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花乡土地\"/>
    </mc:Choice>
  </mc:AlternateContent>
  <xr:revisionPtr revIDLastSave="0" documentId="13_ncr:1_{74AC5469-0C04-4F70-A3DE-50B4DE07EC16}" xr6:coauthVersionLast="47" xr6:coauthVersionMax="47" xr10:uidLastSave="{00000000-0000-0000-0000-000000000000}"/>
  <bookViews>
    <workbookView xWindow="-120" yWindow="-120" windowWidth="21840" windowHeight="13140" tabRatio="917"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4" r:id="rId13"/>
    <sheet name="数据-基础表" sheetId="3" r:id="rId14"/>
    <sheet name="数据-汇总表" sheetId="6" r:id="rId15"/>
    <sheet name="数据-取费表" sheetId="1" r:id="rId16"/>
    <sheet name="估价对象房地状况" sheetId="20" state="hidden" r:id="rId17"/>
    <sheet name="系统读取表" sheetId="74" r:id="rId18"/>
    <sheet name="土地案例" sheetId="85" r:id="rId19"/>
    <sheet name="结果表" sheetId="9" r:id="rId20"/>
    <sheet name="成本法" sheetId="68" state="hidden" r:id="rId21"/>
    <sheet name="成本法 (元)" sheetId="80" state="hidden" r:id="rId22"/>
    <sheet name="成本法 (元)-fei" sheetId="69" state="hidden" r:id="rId23"/>
    <sheet name="收益法" sheetId="15"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假设开发法" sheetId="12" r:id="rId31"/>
    <sheet name="比较法-住宅" sheetId="21" r:id="rId32"/>
    <sheet name="比较法-商业" sheetId="33" state="hidden" r:id="rId33"/>
    <sheet name="比较法-办公" sheetId="34" state="hidden" r:id="rId34"/>
    <sheet name="比较法-工业" sheetId="37" state="hidden" r:id="rId35"/>
    <sheet name="比较法-车位" sheetId="35" r:id="rId36"/>
    <sheet name="比较法-仓储" sheetId="36" r:id="rId37"/>
    <sheet name="住宅" sheetId="98" r:id="rId38"/>
    <sheet name="车位" sheetId="99" r:id="rId39"/>
    <sheet name="仓储" sheetId="100" r:id="rId40"/>
    <sheet name="北京隅·西颂" sheetId="86" r:id="rId41"/>
    <sheet name="中建云境" sheetId="87" r:id="rId42"/>
    <sheet name="建发金茂观宸" sheetId="94" r:id="rId43"/>
    <sheet name="森与天成 (2)" sheetId="101" r:id="rId44"/>
    <sheet name="车位-招商臻园" sheetId="89" r:id="rId45"/>
    <sheet name="车位-建发金茂观宸" sheetId="90" r:id="rId46"/>
    <sheet name="车位-佑安府" sheetId="102" r:id="rId47"/>
    <sheet name="车位-中海甲叁號院" sheetId="91" r:id="rId48"/>
    <sheet name="仓储-建发金茂观宸" sheetId="95" r:id="rId49"/>
    <sheet name="仓储-北京城建·龙樾天元" sheetId="96" r:id="rId50"/>
    <sheet name="仓储-招商臻园" sheetId="97" r:id="rId51"/>
    <sheet name="Sheet10" sheetId="93" r:id="rId52"/>
    <sheet name="森与天成" sheetId="88" r:id="rId53"/>
    <sheet name="车位-正商明苑" sheetId="92" r:id="rId54"/>
    <sheet name="土地比较法-工业" sheetId="40" state="hidden" r:id="rId55"/>
    <sheet name="基准地价（汇总）" sheetId="76" state="hidden" r:id="rId56"/>
    <sheet name="基准地价修正" sheetId="43" state="hidden" r:id="rId57"/>
    <sheet name="剩余法（现房）" sheetId="82" state="hidden" r:id="rId58"/>
    <sheet name="成本逼近法" sheetId="83" state="hidden" r:id="rId59"/>
    <sheet name="修正" sheetId="45" state="hidden" r:id="rId60"/>
    <sheet name="容积率修正" sheetId="46" state="hidden" r:id="rId61"/>
    <sheet name="成本法（废）" sheetId="11" state="hidden" r:id="rId62"/>
    <sheet name="因素修正幅度" sheetId="65" state="hidden" r:id="rId63"/>
    <sheet name="区片价（范围）" sheetId="75" state="hidden" r:id="rId64"/>
    <sheet name="地价-分区" sheetId="79" state="hidden" r:id="rId65"/>
    <sheet name="地价" sheetId="71" state="hidden" r:id="rId66"/>
    <sheet name="区片价" sheetId="44" state="hidden" r:id="rId67"/>
    <sheet name="存贷款利率" sheetId="73" state="hidden" r:id="rId68"/>
  </sheets>
  <externalReferences>
    <externalReference r:id="rId69"/>
    <externalReference r:id="rId7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58" hidden="1">成本逼近法!$A$2:$G$33</definedName>
    <definedName name="_xlnm._FilterDatabase" localSheetId="13" hidden="1">'数据-基础表'!$A$12:$AT$587</definedName>
    <definedName name="_xlnm._FilterDatabase" localSheetId="5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5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55">'基准地价（汇总）'!$A$1:$E$13</definedName>
    <definedName name="_xlnm.Print_Area" localSheetId="56">基准地价修正!$A$1:$J$44,基准地价修正!$A$47:$H$101,基准地价修正!$R$1:$V$16</definedName>
    <definedName name="_xlnm.Print_Area" localSheetId="30">假设开发法!$A$1:$K$37</definedName>
    <definedName name="_xlnm.Print_Area" localSheetId="19">结果表!$A$1:$I$127</definedName>
    <definedName name="_xlnm.Print_Area" localSheetId="57">'剩余法（现房）'!$A$1:$K$34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54">'土地比较法-工业'!$A$1:$K$63,'土地比较法-工业'!$A$66:$M$123</definedName>
    <definedName name="_xlnm.Print_Area" localSheetId="2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L6" i="1"/>
  <c r="L8" i="1" l="1"/>
  <c r="L7" i="1"/>
  <c r="C38" i="9"/>
  <c r="G5" i="21" l="1"/>
  <c r="N14" i="1" l="1"/>
  <c r="L14" i="1"/>
  <c r="C41" i="9"/>
  <c r="C40" i="9"/>
  <c r="E41" i="9" l="1"/>
  <c r="E40" i="9"/>
  <c r="B41" i="9"/>
  <c r="B40" i="9"/>
  <c r="I37" i="35" l="1"/>
  <c r="G37" i="35"/>
  <c r="E37" i="35"/>
  <c r="H3" i="99"/>
  <c r="H4" i="99"/>
  <c r="H5" i="99"/>
  <c r="H6" i="99"/>
  <c r="H7" i="99"/>
  <c r="H8" i="99"/>
  <c r="H9" i="99"/>
  <c r="H10" i="99"/>
  <c r="H11" i="99"/>
  <c r="H12" i="99"/>
  <c r="H13" i="99"/>
  <c r="H14" i="99"/>
  <c r="H15" i="99"/>
  <c r="H16" i="99"/>
  <c r="H17" i="99"/>
  <c r="H18" i="99"/>
  <c r="H19" i="99"/>
  <c r="H2" i="99"/>
  <c r="I35" i="36"/>
  <c r="G35" i="36"/>
  <c r="E35" i="36"/>
  <c r="I30" i="36"/>
  <c r="G30" i="36"/>
  <c r="E30" i="36"/>
  <c r="F4" i="100"/>
  <c r="F5" i="100"/>
  <c r="F6" i="100"/>
  <c r="F7" i="100"/>
  <c r="F8" i="100"/>
  <c r="F9" i="100"/>
  <c r="F10" i="100"/>
  <c r="F11" i="100"/>
  <c r="F12" i="100"/>
  <c r="F13" i="100"/>
  <c r="F14" i="100"/>
  <c r="F15" i="100"/>
  <c r="F16" i="100"/>
  <c r="F17" i="100"/>
  <c r="F18" i="100"/>
  <c r="F19" i="100"/>
  <c r="F20" i="100"/>
  <c r="F21" i="100"/>
  <c r="F22" i="100"/>
  <c r="F23" i="100"/>
  <c r="F24" i="100"/>
  <c r="F25" i="100"/>
  <c r="F26" i="100"/>
  <c r="F27" i="100"/>
  <c r="F28" i="100"/>
  <c r="F29" i="100"/>
  <c r="F30" i="100"/>
  <c r="F31" i="100"/>
  <c r="F32" i="100"/>
  <c r="F33" i="100"/>
  <c r="F34" i="100"/>
  <c r="F35" i="100"/>
  <c r="F36" i="100"/>
  <c r="F37" i="100"/>
  <c r="F38" i="100"/>
  <c r="F39" i="100"/>
  <c r="F40" i="100"/>
  <c r="F41" i="100"/>
  <c r="F42" i="100"/>
  <c r="F43" i="100"/>
  <c r="F44" i="100"/>
  <c r="F45" i="100"/>
  <c r="F3" i="100"/>
  <c r="I7" i="36"/>
  <c r="G7" i="36"/>
  <c r="E7" i="36"/>
  <c r="I5" i="36"/>
  <c r="G5" i="36"/>
  <c r="E5" i="36"/>
  <c r="C31" i="35"/>
  <c r="B14" i="3"/>
  <c r="I31" i="35"/>
  <c r="G31" i="35"/>
  <c r="E31" i="35"/>
  <c r="F4" i="99"/>
  <c r="F5" i="99"/>
  <c r="F6" i="99"/>
  <c r="F7" i="99"/>
  <c r="F8" i="99"/>
  <c r="F9" i="99"/>
  <c r="F10" i="99"/>
  <c r="F11" i="99"/>
  <c r="F12" i="99"/>
  <c r="F13" i="99"/>
  <c r="F14" i="99"/>
  <c r="F15" i="99"/>
  <c r="F16" i="99"/>
  <c r="F17" i="99"/>
  <c r="F18" i="99"/>
  <c r="F19" i="99"/>
  <c r="F3" i="99"/>
  <c r="I7" i="35"/>
  <c r="G7" i="35"/>
  <c r="E7" i="35"/>
  <c r="I5" i="35"/>
  <c r="G5" i="35"/>
  <c r="E5" i="35"/>
  <c r="I47" i="21"/>
  <c r="E47" i="21"/>
  <c r="N3" i="99"/>
  <c r="N4" i="99"/>
  <c r="N5" i="99"/>
  <c r="N6" i="99"/>
  <c r="N7" i="99"/>
  <c r="N8" i="99"/>
  <c r="N9" i="99"/>
  <c r="N10" i="99"/>
  <c r="N11" i="99"/>
  <c r="N12" i="99"/>
  <c r="N13" i="99"/>
  <c r="N14" i="99"/>
  <c r="N15" i="99"/>
  <c r="N16" i="99"/>
  <c r="N17" i="99"/>
  <c r="N18" i="99"/>
  <c r="N19" i="99"/>
  <c r="E81" i="35"/>
  <c r="D81" i="35"/>
  <c r="C81" i="35"/>
  <c r="D54" i="36" l="1"/>
  <c r="E54" i="36" s="1"/>
  <c r="C11" i="21" l="1"/>
  <c r="C33" i="21"/>
  <c r="I7" i="21" l="1"/>
  <c r="G7" i="21"/>
  <c r="E7" i="21"/>
  <c r="D16" i="94"/>
  <c r="C16" i="94"/>
  <c r="E16" i="94"/>
  <c r="E12" i="88"/>
  <c r="F12" i="88" s="1"/>
  <c r="C12" i="88"/>
  <c r="D14" i="87"/>
  <c r="E14" i="87"/>
  <c r="C14" i="87"/>
  <c r="E13" i="86"/>
  <c r="D13" i="86" s="1"/>
  <c r="C13" i="86"/>
  <c r="C13" i="39"/>
  <c r="I48" i="39"/>
  <c r="G48" i="39"/>
  <c r="E48" i="39"/>
  <c r="I40" i="39" l="1"/>
  <c r="G40" i="39"/>
  <c r="E40" i="39"/>
  <c r="C40" i="39"/>
  <c r="I9" i="39" l="1"/>
  <c r="G9" i="39"/>
  <c r="E9" i="39"/>
  <c r="I8" i="39"/>
  <c r="G8" i="39"/>
  <c r="E8" i="39"/>
  <c r="I7" i="39"/>
  <c r="G7" i="39"/>
  <c r="E7" i="39"/>
  <c r="I34" i="1"/>
  <c r="G21" i="6"/>
  <c r="G20" i="6"/>
  <c r="F19" i="6"/>
  <c r="AN15" i="3"/>
  <c r="AF15" i="3"/>
  <c r="M15" i="3"/>
  <c r="AN14" i="3"/>
  <c r="K14" i="3"/>
  <c r="AT14" i="3"/>
  <c r="AL13" i="3"/>
  <c r="AD13" i="3"/>
  <c r="I13" i="3"/>
  <c r="A3" i="3"/>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6" i="79"/>
  <c r="AD44" i="79"/>
  <c r="AD43" i="79"/>
  <c r="AD45" i="79"/>
  <c r="AR48" i="79"/>
  <c r="AR49" i="79" s="1"/>
  <c r="AR50" i="79" s="1"/>
  <c r="AR51" i="79" s="1"/>
  <c r="AR52" i="79" s="1"/>
  <c r="AR53" i="79" s="1"/>
  <c r="AR54" i="79" s="1"/>
  <c r="AR55" i="79" s="1"/>
  <c r="AR56" i="79" s="1"/>
  <c r="AR57" i="79" s="1"/>
  <c r="AR58" i="79" s="1"/>
  <c r="AR59" i="79" s="1"/>
  <c r="AR60" i="79" s="1"/>
  <c r="S41" i="79"/>
  <c r="AG41" i="79" s="1"/>
  <c r="S37" i="79"/>
  <c r="AG37" i="79" s="1"/>
  <c r="S39" i="79"/>
  <c r="AG39" i="79" s="1"/>
  <c r="S40" i="79"/>
  <c r="AG40" i="79" s="1"/>
  <c r="S38" i="79"/>
  <c r="AG38" i="79" s="1"/>
  <c r="S42" i="79"/>
  <c r="AG42" i="79" s="1"/>
  <c r="S43" i="79"/>
  <c r="AG43" i="79" s="1"/>
  <c r="AA35" i="79"/>
  <c r="AD35" i="79" s="1"/>
  <c r="T48" i="79"/>
  <c r="U54" i="79"/>
  <c r="AI54" i="79" s="1"/>
  <c r="AD55" i="79"/>
  <c r="S56" i="79"/>
  <c r="AG56" i="79" s="1"/>
  <c r="U58" i="79"/>
  <c r="AI58" i="79" s="1"/>
  <c r="AD59" i="79"/>
  <c r="T40" i="79"/>
  <c r="T38" i="79"/>
  <c r="T41" i="79"/>
  <c r="T43" i="79"/>
  <c r="T37" i="79"/>
  <c r="T42" i="79"/>
  <c r="T39" i="79"/>
  <c r="Z3" i="79"/>
  <c r="N35" i="79"/>
  <c r="U40" i="79"/>
  <c r="AI40" i="79" s="1"/>
  <c r="U38" i="79"/>
  <c r="AI38" i="79" s="1"/>
  <c r="U43" i="79"/>
  <c r="AI43" i="79" s="1"/>
  <c r="U37" i="79"/>
  <c r="AI37" i="79" s="1"/>
  <c r="U42" i="79"/>
  <c r="AI42"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1" i="79"/>
  <c r="W41" i="79"/>
  <c r="AK41" i="79" s="1"/>
  <c r="W43" i="79"/>
  <c r="AK43" i="79" s="1"/>
  <c r="AH43" i="79"/>
  <c r="AH42" i="79"/>
  <c r="W42" i="79"/>
  <c r="AK42" i="79" s="1"/>
  <c r="AH38" i="79"/>
  <c r="W38" i="79"/>
  <c r="AK38" i="79" s="1"/>
  <c r="AH37" i="79"/>
  <c r="W37" i="79"/>
  <c r="AK37" i="79" s="1"/>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AC27" i="40"/>
  <c r="W27" i="40"/>
  <c r="W18" i="36"/>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U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c r="Q23" i="36"/>
  <c r="Z23" i="36" s="1"/>
  <c r="J23" i="36"/>
  <c r="AC23" i="36" s="1"/>
  <c r="AB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B96" i="21"/>
  <c r="B94" i="21"/>
  <c r="J29" i="21" s="1"/>
  <c r="AC29" i="21" s="1"/>
  <c r="B92" i="21"/>
  <c r="F28" i="21" s="1"/>
  <c r="AA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J33" i="36"/>
  <c r="AC33" i="36" s="1"/>
  <c r="H22" i="35"/>
  <c r="AB22" i="35" s="1"/>
  <c r="W22" i="35"/>
  <c r="U34" i="35"/>
  <c r="F36" i="34"/>
  <c r="J35" i="34"/>
  <c r="W9" i="34"/>
  <c r="H39" i="33"/>
  <c r="AB39" i="33" s="1"/>
  <c r="F26" i="33"/>
  <c r="S40" i="33"/>
  <c r="W33" i="33"/>
  <c r="W39" i="33"/>
  <c r="H39" i="37"/>
  <c r="AB39" i="37"/>
  <c r="F13" i="40"/>
  <c r="AA13" i="40" s="1"/>
  <c r="H13" i="40"/>
  <c r="AB13" i="40" s="1"/>
  <c r="W10"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W34" i="40"/>
  <c r="F39" i="39"/>
  <c r="AA39" i="39" s="1"/>
  <c r="J34" i="36"/>
  <c r="W34" i="36" s="1"/>
  <c r="J30" i="35"/>
  <c r="W30" i="35" s="1"/>
  <c r="H30" i="35"/>
  <c r="AB30" i="35" s="1"/>
  <c r="F22" i="35"/>
  <c r="AA22" i="35" s="1"/>
  <c r="H10" i="35"/>
  <c r="U10" i="35" s="1"/>
  <c r="F33" i="36"/>
  <c r="AA33" i="36"/>
  <c r="W30" i="36"/>
  <c r="H16" i="36"/>
  <c r="U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s="1"/>
  <c r="F17" i="40"/>
  <c r="S17" i="40" s="1"/>
  <c r="H17" i="40"/>
  <c r="AB17" i="40" s="1"/>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c r="M113" i="33" s="1"/>
  <c r="H37" i="33"/>
  <c r="AB37" i="33" s="1"/>
  <c r="H15" i="33"/>
  <c r="AB15" i="33" s="1"/>
  <c r="H11" i="33"/>
  <c r="F30" i="40"/>
  <c r="AA30" i="40" s="1"/>
  <c r="AA42" i="34"/>
  <c r="S42" i="34"/>
  <c r="AC38" i="34"/>
  <c r="AA38" i="34"/>
  <c r="J37" i="34"/>
  <c r="AC37" i="34" s="1"/>
  <c r="J11" i="33"/>
  <c r="W11" i="33" s="1"/>
  <c r="M123" i="21"/>
  <c r="J42" i="21"/>
  <c r="AC42" i="21" s="1"/>
  <c r="H42" i="21"/>
  <c r="U42" i="21" s="1"/>
  <c r="J44" i="34"/>
  <c r="F44" i="34"/>
  <c r="AA44" i="34" s="1"/>
  <c r="J10" i="35"/>
  <c r="AC10" i="35" s="1"/>
  <c r="J14" i="21"/>
  <c r="W14" i="21" s="1"/>
  <c r="H14" i="21"/>
  <c r="U14" i="21"/>
  <c r="H28" i="21"/>
  <c r="AB28" i="21" s="1"/>
  <c r="J28" i="21"/>
  <c r="W28" i="21" s="1"/>
  <c r="H30" i="21"/>
  <c r="U30" i="21" s="1"/>
  <c r="F30" i="21"/>
  <c r="S30" i="21" s="1"/>
  <c r="J30" i="21"/>
  <c r="AC30" i="21"/>
  <c r="J44" i="21"/>
  <c r="AC44" i="21" s="1"/>
  <c r="H44" i="21"/>
  <c r="U44" i="21" s="1"/>
  <c r="F44" i="21"/>
  <c r="AA44" i="21" s="1"/>
  <c r="H46" i="21"/>
  <c r="U46" i="21"/>
  <c r="J46" i="21"/>
  <c r="F46" i="21"/>
  <c r="AA46"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AA13" i="33" s="1"/>
  <c r="J29" i="33"/>
  <c r="H29" i="33"/>
  <c r="U29" i="33"/>
  <c r="F29" i="33"/>
  <c r="S29" i="33" s="1"/>
  <c r="J31" i="33"/>
  <c r="W31" i="33" s="1"/>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AA30" i="33" s="1"/>
  <c r="J30" i="33"/>
  <c r="H44" i="33"/>
  <c r="J44" i="33"/>
  <c r="AC44" i="33"/>
  <c r="F44" i="33"/>
  <c r="J46" i="33"/>
  <c r="AC46" i="33" s="1"/>
  <c r="F46" i="33"/>
  <c r="AA46" i="33" s="1"/>
  <c r="H46" i="33"/>
  <c r="AB46" i="33" s="1"/>
  <c r="H13" i="34"/>
  <c r="U13" i="34" s="1"/>
  <c r="J13" i="34"/>
  <c r="AC13" i="34" s="1"/>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5" i="39"/>
  <c r="AA45" i="39" s="1"/>
  <c r="H45" i="39"/>
  <c r="U45" i="39" s="1"/>
  <c r="J16" i="39"/>
  <c r="AC16" i="39" s="1"/>
  <c r="F16" i="39"/>
  <c r="H16" i="39"/>
  <c r="AB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27" i="37"/>
  <c r="AA27" i="37"/>
  <c r="F15" i="39"/>
  <c r="S15" i="39" s="1"/>
  <c r="J15" i="39"/>
  <c r="W15" i="39" s="1"/>
  <c r="H15" i="39"/>
  <c r="H16" i="40"/>
  <c r="U16" i="40" s="1"/>
  <c r="J16" i="40"/>
  <c r="W16" i="40" s="1"/>
  <c r="F16" i="40"/>
  <c r="AA16" i="40" s="1"/>
  <c r="J14" i="37"/>
  <c r="J27" i="37"/>
  <c r="AC27" i="37"/>
  <c r="AA14" i="33"/>
  <c r="J36" i="37"/>
  <c r="AC36" i="37" s="1"/>
  <c r="J10" i="36"/>
  <c r="AC10" i="36" s="1"/>
  <c r="AB26" i="33"/>
  <c r="W31" i="34"/>
  <c r="S11" i="36"/>
  <c r="AB45" i="33"/>
  <c r="AC28" i="21"/>
  <c r="BA586"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3" i="40"/>
  <c r="AA33" i="40" s="1"/>
  <c r="H33" i="40"/>
  <c r="U33" i="40" s="1"/>
  <c r="F34" i="40"/>
  <c r="S34" i="40"/>
  <c r="H34" i="40"/>
  <c r="AB34" i="40" s="1"/>
  <c r="J38" i="40"/>
  <c r="W38" i="40"/>
  <c r="H19" i="37"/>
  <c r="AB19" i="37" s="1"/>
  <c r="H42" i="33"/>
  <c r="AB42" i="33" s="1"/>
  <c r="J43" i="33"/>
  <c r="AC43" i="33"/>
  <c r="S28" i="31"/>
  <c r="S27" i="31"/>
  <c r="S26" i="31"/>
  <c r="W23" i="35"/>
  <c r="U39" i="37"/>
  <c r="U26" i="37"/>
  <c r="W47" i="34"/>
  <c r="AC36" i="34"/>
  <c r="AC31" i="33"/>
  <c r="AC45" i="33"/>
  <c r="W44" i="33"/>
  <c r="W44" i="21"/>
  <c r="F43" i="33"/>
  <c r="AA43" i="33"/>
  <c r="W15" i="34"/>
  <c r="AC15" i="34"/>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s="1"/>
  <c r="AA25" i="21"/>
  <c r="H21" i="40"/>
  <c r="U21" i="40" s="1"/>
  <c r="F90" i="40"/>
  <c r="G90" i="40" s="1"/>
  <c r="F21" i="40"/>
  <c r="S21" i="40" s="1"/>
  <c r="S16" i="40"/>
  <c r="AC15" i="40"/>
  <c r="AC45" i="39"/>
  <c r="W45" i="39"/>
  <c r="AB46" i="39"/>
  <c r="U46" i="39"/>
  <c r="H39" i="39"/>
  <c r="AB39" i="39" s="1"/>
  <c r="AC39" i="39"/>
  <c r="W39" i="39"/>
  <c r="H27" i="39"/>
  <c r="U27" i="39" s="1"/>
  <c r="J27" i="39"/>
  <c r="W27" i="39" s="1"/>
  <c r="F27" i="39"/>
  <c r="AA27" i="39" s="1"/>
  <c r="H43" i="39"/>
  <c r="AB43" i="39" s="1"/>
  <c r="AB36" i="39"/>
  <c r="J21" i="40"/>
  <c r="AC21" i="40" s="1"/>
  <c r="J52" i="40"/>
  <c r="H103" i="9"/>
  <c r="D8" i="53" s="1"/>
  <c r="B16" i="53"/>
  <c r="B33" i="72" s="1"/>
  <c r="W37" i="40"/>
  <c r="A118" i="9"/>
  <c r="J13" i="39"/>
  <c r="W13" i="39" s="1"/>
  <c r="F13" i="39"/>
  <c r="S13" i="39" s="1"/>
  <c r="G4" i="4"/>
  <c r="I4" i="4"/>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79" i="3"/>
  <c r="AZ168" i="3"/>
  <c r="G534" i="3"/>
  <c r="G530" i="3"/>
  <c r="G522" i="3"/>
  <c r="G516" i="3"/>
  <c r="G512" i="3"/>
  <c r="G506" i="3"/>
  <c r="G498" i="3"/>
  <c r="G494" i="3"/>
  <c r="G16"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AZ269" i="3"/>
  <c r="BA379" i="3"/>
  <c r="BL380" i="3"/>
  <c r="AZ380" i="3" s="1"/>
  <c r="G381" i="3"/>
  <c r="BA383" i="3"/>
  <c r="AZ383" i="3" s="1"/>
  <c r="BL384" i="3"/>
  <c r="G385" i="3"/>
  <c r="BA387" i="3"/>
  <c r="BL388" i="3"/>
  <c r="G389" i="3"/>
  <c r="BA391" i="3"/>
  <c r="AZ391" i="3" s="1"/>
  <c r="BL392" i="3"/>
  <c r="G393" i="3"/>
  <c r="BO5" i="3"/>
  <c r="BJ5" i="3"/>
  <c r="BH5" i="3"/>
  <c r="BF5" i="3"/>
  <c r="BD5" i="3"/>
  <c r="AZ325" i="3"/>
  <c r="AC5" i="3"/>
  <c r="AZ506" i="3"/>
  <c r="AZ496" i="3"/>
  <c r="G548" i="3"/>
  <c r="G538" i="3"/>
  <c r="G520" i="3"/>
  <c r="G502" i="3"/>
  <c r="BS5" i="3"/>
  <c r="BP5" i="3"/>
  <c r="BN5" i="3"/>
  <c r="BK5" i="3"/>
  <c r="BI5" i="3"/>
  <c r="BG5" i="3"/>
  <c r="BE5" i="3"/>
  <c r="G17" i="3"/>
  <c r="BA17" i="3"/>
  <c r="BT5" i="3"/>
  <c r="AZ350" i="3"/>
  <c r="BA15" i="3"/>
  <c r="BB5" i="3"/>
  <c r="BR5" i="3"/>
  <c r="AZ392" i="3"/>
  <c r="AZ499" i="3"/>
  <c r="G509" i="3"/>
  <c r="BL493" i="3"/>
  <c r="AZ493" i="3" s="1"/>
  <c r="U38" i="40"/>
  <c r="F83" i="43"/>
  <c r="H85" i="43" s="1"/>
  <c r="F50" i="43"/>
  <c r="H54" i="43" s="1"/>
  <c r="F72" i="43"/>
  <c r="H75" i="43" s="1"/>
  <c r="U19" i="39"/>
  <c r="AZ501" i="3"/>
  <c r="W44" i="34"/>
  <c r="AC44" i="34"/>
  <c r="S15" i="37"/>
  <c r="U13" i="37"/>
  <c r="U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W29" i="35"/>
  <c r="H35" i="37"/>
  <c r="U35" i="37" s="1"/>
  <c r="H20" i="35"/>
  <c r="U20" i="35" s="1"/>
  <c r="F20" i="35"/>
  <c r="AA20" i="35" s="1"/>
  <c r="AB23" i="35"/>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27" i="3"/>
  <c r="AZ235" i="3"/>
  <c r="AZ251" i="3"/>
  <c r="AZ256" i="3"/>
  <c r="AZ271" i="3"/>
  <c r="AZ77" i="3"/>
  <c r="F25" i="39"/>
  <c r="AA25" i="39" s="1"/>
  <c r="H27" i="36"/>
  <c r="U27" i="36" s="1"/>
  <c r="F27" i="36"/>
  <c r="AA27" i="36" s="1"/>
  <c r="H33" i="34"/>
  <c r="U33" i="34"/>
  <c r="F32" i="37"/>
  <c r="AA32" i="37" s="1"/>
  <c r="F20" i="36"/>
  <c r="AA20" i="36" s="1"/>
  <c r="J33" i="34"/>
  <c r="AC33" i="34" s="1"/>
  <c r="H25" i="39"/>
  <c r="U25" i="39" s="1"/>
  <c r="K9" i="1"/>
  <c r="M9" i="1" s="1"/>
  <c r="K6" i="1"/>
  <c r="AC26" i="33"/>
  <c r="W26" i="33"/>
  <c r="W27" i="34"/>
  <c r="AC27" i="34"/>
  <c r="AB34" i="36"/>
  <c r="U34" i="36"/>
  <c r="AB33" i="36"/>
  <c r="U33" i="36"/>
  <c r="AC14" i="39"/>
  <c r="W14" i="39"/>
  <c r="AZ586" i="3"/>
  <c r="W12" i="33"/>
  <c r="AC12" i="33"/>
  <c r="AA32" i="36"/>
  <c r="S32" i="36"/>
  <c r="AZ473" i="3"/>
  <c r="BL14" i="3"/>
  <c r="U30" i="33"/>
  <c r="W28" i="37"/>
  <c r="S21" i="39"/>
  <c r="F12" i="33"/>
  <c r="H14" i="39"/>
  <c r="AB14" i="39"/>
  <c r="F41" i="40"/>
  <c r="AA41" i="40" s="1"/>
  <c r="BA14" i="3"/>
  <c r="AZ254" i="3"/>
  <c r="AZ286" i="3"/>
  <c r="AZ157" i="3"/>
  <c r="B12" i="1"/>
  <c r="E12" i="1" s="1"/>
  <c r="B10" i="1"/>
  <c r="E10" i="1" s="1"/>
  <c r="AZ88" i="3"/>
  <c r="K12" i="1"/>
  <c r="M12" i="1" s="1"/>
  <c r="S13" i="1"/>
  <c r="AR13" i="1" s="1"/>
  <c r="R13" i="1"/>
  <c r="J51" i="67"/>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W21" i="39"/>
  <c r="U21" i="39"/>
  <c r="S19" i="39"/>
  <c r="AA14" i="39"/>
  <c r="U16" i="39"/>
  <c r="AC15" i="39"/>
  <c r="U14" i="39"/>
  <c r="U13" i="36"/>
  <c r="S33" i="36"/>
  <c r="AA22" i="36"/>
  <c r="U22" i="36"/>
  <c r="S24" i="36"/>
  <c r="U23" i="36"/>
  <c r="AA25" i="35"/>
  <c r="S23" i="35"/>
  <c r="W24" i="35"/>
  <c r="AB13" i="35"/>
  <c r="U32" i="35"/>
  <c r="S28" i="35"/>
  <c r="U22" i="35"/>
  <c r="S22" i="35"/>
  <c r="AA11" i="35"/>
  <c r="AC12" i="35"/>
  <c r="H9" i="35"/>
  <c r="U9" i="35" s="1"/>
  <c r="AB40" i="37"/>
  <c r="S25" i="37"/>
  <c r="W27" i="37"/>
  <c r="AC29" i="37"/>
  <c r="U29" i="37"/>
  <c r="S32"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J35" i="33"/>
  <c r="W35" i="33" s="1"/>
  <c r="S37" i="33"/>
  <c r="AA37" i="33"/>
  <c r="S39" i="33"/>
  <c r="F101" i="33"/>
  <c r="G101" i="33" s="1"/>
  <c r="H101" i="33" s="1"/>
  <c r="I101" i="33" s="1"/>
  <c r="J101" i="33" s="1"/>
  <c r="K101" i="33" s="1"/>
  <c r="L101" i="33" s="1"/>
  <c r="M101" i="33" s="1"/>
  <c r="J32" i="33"/>
  <c r="S46" i="33"/>
  <c r="W43" i="33"/>
  <c r="S43"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36" i="21"/>
  <c r="W41" i="21"/>
  <c r="J15" i="21"/>
  <c r="AC15" i="21" s="1"/>
  <c r="F77" i="21"/>
  <c r="G77" i="21" s="1"/>
  <c r="F23" i="21"/>
  <c r="S23" i="21" s="1"/>
  <c r="E85" i="21"/>
  <c r="F85" i="21" s="1"/>
  <c r="G85" i="21" s="1"/>
  <c r="AA14" i="21"/>
  <c r="H120" i="9"/>
  <c r="H121" i="9" s="1"/>
  <c r="D7" i="52" s="1"/>
  <c r="C18" i="9"/>
  <c r="F34" i="67"/>
  <c r="F62" i="67" s="1"/>
  <c r="M20" i="67"/>
  <c r="F20" i="15"/>
  <c r="F72" i="15" s="1"/>
  <c r="BA13" i="3"/>
  <c r="BL17" i="3"/>
  <c r="AZ17" i="3" s="1"/>
  <c r="BL13" i="3"/>
  <c r="J56" i="9"/>
  <c r="J57" i="9" s="1"/>
  <c r="J59" i="9" s="1"/>
  <c r="J61" i="9" s="1"/>
  <c r="A24" i="51"/>
  <c r="B18" i="72" s="1"/>
  <c r="U29" i="34"/>
  <c r="E32" i="6"/>
  <c r="K1" i="12"/>
  <c r="E17" i="68"/>
  <c r="E1" i="73"/>
  <c r="G23" i="68"/>
  <c r="G22" i="11"/>
  <c r="C6" i="43"/>
  <c r="B19" i="53"/>
  <c r="B37" i="72" s="1"/>
  <c r="A4" i="51"/>
  <c r="B6" i="72" s="1"/>
  <c r="L20" i="6"/>
  <c r="B6" i="1"/>
  <c r="E6" i="1" s="1"/>
  <c r="K11" i="1"/>
  <c r="M11" i="1" s="1"/>
  <c r="O11" i="1" s="1"/>
  <c r="B9" i="1"/>
  <c r="E9" i="1" s="1"/>
  <c r="G1" i="69"/>
  <c r="W25" i="40"/>
  <c r="U34" i="40"/>
  <c r="AB33" i="40"/>
  <c r="AB30" i="40"/>
  <c r="W30" i="40"/>
  <c r="W36" i="40"/>
  <c r="W21" i="40"/>
  <c r="S38" i="40"/>
  <c r="S15" i="40"/>
  <c r="S35" i="40"/>
  <c r="AA17" i="40"/>
  <c r="U13" i="40"/>
  <c r="AB15" i="40"/>
  <c r="U17" i="40"/>
  <c r="AB19" i="40"/>
  <c r="U10" i="40"/>
  <c r="S10" i="40"/>
  <c r="U15" i="39"/>
  <c r="AB15" i="39"/>
  <c r="S16" i="39"/>
  <c r="AA16" i="39"/>
  <c r="W19" i="39"/>
  <c r="AC19" i="39"/>
  <c r="W33" i="39"/>
  <c r="AC33" i="39"/>
  <c r="W36" i="39"/>
  <c r="U40" i="39"/>
  <c r="S10" i="39"/>
  <c r="S20" i="36"/>
  <c r="AC25" i="36"/>
  <c r="U32" i="36"/>
  <c r="U25" i="36"/>
  <c r="AA13" i="36"/>
  <c r="W22" i="36"/>
  <c r="W23" i="36"/>
  <c r="AC25" i="35"/>
  <c r="U25" i="35"/>
  <c r="S24" i="35"/>
  <c r="U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C43" i="34"/>
  <c r="W43" i="34"/>
  <c r="AC35" i="34"/>
  <c r="W35" i="34"/>
  <c r="U12" i="34"/>
  <c r="AB12" i="34"/>
  <c r="AB28" i="33"/>
  <c r="AC37" i="33"/>
  <c r="W46" i="33"/>
  <c r="U39" i="33"/>
  <c r="U38" i="33"/>
  <c r="S33" i="33"/>
  <c r="U44" i="33"/>
  <c r="AB44" i="33"/>
  <c r="S30" i="33"/>
  <c r="AC14" i="33"/>
  <c r="W14" i="33"/>
  <c r="AC30" i="33"/>
  <c r="W30" i="33"/>
  <c r="W13" i="33"/>
  <c r="AC13" i="33"/>
  <c r="U15" i="33"/>
  <c r="S11" i="33"/>
  <c r="U37" i="33"/>
  <c r="AC28" i="33"/>
  <c r="S28" i="33"/>
  <c r="W8" i="33"/>
  <c r="S44" i="21"/>
  <c r="U28" i="21"/>
  <c r="I101" i="21"/>
  <c r="J101" i="21" s="1"/>
  <c r="K101" i="21" s="1"/>
  <c r="L101" i="21" s="1"/>
  <c r="M101" i="21" s="1"/>
  <c r="F33" i="21"/>
  <c r="AA33" i="21" s="1"/>
  <c r="J33" i="21"/>
  <c r="AC33" i="21" s="1"/>
  <c r="H33" i="21"/>
  <c r="AB33" i="21" s="1"/>
  <c r="AA26" i="21"/>
  <c r="AB14" i="21"/>
  <c r="AB46" i="21"/>
  <c r="AB31" i="21"/>
  <c r="U31" i="21"/>
  <c r="U13" i="21"/>
  <c r="AB13" i="21"/>
  <c r="H15" i="21"/>
  <c r="U15" i="21" s="1"/>
  <c r="J17" i="21"/>
  <c r="W17" i="21" s="1"/>
  <c r="W39" i="21"/>
  <c r="AC14" i="21"/>
  <c r="W30" i="21"/>
  <c r="S46" i="21"/>
  <c r="F29" i="21"/>
  <c r="AA29" i="21" s="1"/>
  <c r="F13" i="21"/>
  <c r="AA13" i="21" s="1"/>
  <c r="H32" i="21"/>
  <c r="U32" i="21" s="1"/>
  <c r="H9" i="21"/>
  <c r="U9" i="21" s="1"/>
  <c r="J9" i="21"/>
  <c r="W9" i="21" s="1"/>
  <c r="J32" i="21"/>
  <c r="W32" i="21" s="1"/>
  <c r="F32" i="21"/>
  <c r="S32" i="21" s="1"/>
  <c r="AA31" i="21"/>
  <c r="W29" i="21"/>
  <c r="K141" i="21"/>
  <c r="K144" i="21"/>
  <c r="K143" i="21"/>
  <c r="U27" i="21"/>
  <c r="AB25" i="21"/>
  <c r="AB44" i="21"/>
  <c r="AA30" i="21"/>
  <c r="W13" i="21"/>
  <c r="F10" i="21"/>
  <c r="AA10" i="21" s="1"/>
  <c r="K145" i="21"/>
  <c r="W25" i="21"/>
  <c r="W31" i="21"/>
  <c r="S27" i="21"/>
  <c r="AC26" i="21"/>
  <c r="S28" i="21"/>
  <c r="C21" i="39"/>
  <c r="C19" i="40"/>
  <c r="C25" i="40"/>
  <c r="C23" i="40"/>
  <c r="B56" i="43"/>
  <c r="B67" i="43"/>
  <c r="B51" i="43"/>
  <c r="B54" i="43"/>
  <c r="B58" i="43"/>
  <c r="B62" i="43"/>
  <c r="B65" i="43"/>
  <c r="B69" i="43"/>
  <c r="E4" i="4"/>
  <c r="B5" i="62" s="1"/>
  <c r="B73" i="72" s="1"/>
  <c r="C4" i="4"/>
  <c r="S12" i="33"/>
  <c r="AA12" i="33"/>
  <c r="J34" i="39"/>
  <c r="AC34" i="39" s="1"/>
  <c r="H34" i="39"/>
  <c r="AB34" i="39" s="1"/>
  <c r="AA34" i="39"/>
  <c r="S34" i="39"/>
  <c r="S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J27" i="33"/>
  <c r="U25" i="33"/>
  <c r="AB25" i="33"/>
  <c r="S25" i="33"/>
  <c r="AA25" i="33"/>
  <c r="J25" i="33"/>
  <c r="AB23" i="33"/>
  <c r="U23" i="33"/>
  <c r="F23" i="33"/>
  <c r="AA19" i="33"/>
  <c r="H19" i="33"/>
  <c r="U19" i="33" s="1"/>
  <c r="G81" i="33"/>
  <c r="H17" i="33"/>
  <c r="U17" i="33" s="1"/>
  <c r="F17" i="33"/>
  <c r="S17" i="33" s="1"/>
  <c r="W17" i="33"/>
  <c r="AC17" i="33"/>
  <c r="J23" i="21"/>
  <c r="W23" i="21" s="1"/>
  <c r="H23" i="21"/>
  <c r="U23" i="21" s="1"/>
  <c r="S13" i="21"/>
  <c r="AP7" i="1"/>
  <c r="U34" i="39"/>
  <c r="W34" i="39"/>
  <c r="J11" i="37"/>
  <c r="AC11" i="37" s="1"/>
  <c r="J11" i="34"/>
  <c r="W11" i="34" s="1"/>
  <c r="W27" i="33"/>
  <c r="AC27" i="33"/>
  <c r="W25" i="33"/>
  <c r="AC25" i="33"/>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E10" i="76"/>
  <c r="F6" i="73"/>
  <c r="D6" i="73"/>
  <c r="D34" i="9"/>
  <c r="E11" i="76"/>
  <c r="E13" i="76"/>
  <c r="E7" i="76"/>
  <c r="F3" i="73"/>
  <c r="B11" i="76"/>
  <c r="E12" i="76"/>
  <c r="D35" i="9"/>
  <c r="AO13" i="1"/>
  <c r="F4" i="73"/>
  <c r="E8" i="76"/>
  <c r="F5" i="73"/>
  <c r="B12" i="76"/>
  <c r="B8" i="76"/>
  <c r="B13" i="76"/>
  <c r="F20" i="31"/>
  <c r="B9" i="76"/>
  <c r="B10" i="76"/>
  <c r="E2" i="69"/>
  <c r="E9" i="76"/>
  <c r="B7" i="76"/>
  <c r="G22" i="69" l="1"/>
  <c r="D45" i="15"/>
  <c r="AB47" i="39"/>
  <c r="AA47" i="39"/>
  <c r="J29" i="39"/>
  <c r="W29" i="39" s="1"/>
  <c r="AC30" i="35"/>
  <c r="AA16" i="35"/>
  <c r="U30" i="36"/>
  <c r="AC31" i="35"/>
  <c r="AC27" i="35"/>
  <c r="AB29" i="36"/>
  <c r="S31" i="35"/>
  <c r="AA33" i="35"/>
  <c r="S32" i="35"/>
  <c r="S20" i="35"/>
  <c r="S14" i="35"/>
  <c r="AB16" i="35"/>
  <c r="AB27" i="35"/>
  <c r="U28" i="35"/>
  <c r="W9" i="36"/>
  <c r="AC20" i="36"/>
  <c r="AB16" i="36"/>
  <c r="S16" i="36"/>
  <c r="S14" i="36"/>
  <c r="AB14" i="36"/>
  <c r="W14" i="36"/>
  <c r="AB20" i="35"/>
  <c r="AC20" i="35"/>
  <c r="U14" i="35"/>
  <c r="AC14" i="35"/>
  <c r="AC9" i="35"/>
  <c r="F9" i="35"/>
  <c r="S9" i="35" s="1"/>
  <c r="U31" i="36"/>
  <c r="W29" i="36"/>
  <c r="AC26" i="36"/>
  <c r="U26" i="36"/>
  <c r="U31" i="35"/>
  <c r="S27" i="35"/>
  <c r="F43" i="21"/>
  <c r="S43" i="21" s="1"/>
  <c r="S40" i="21"/>
  <c r="H37" i="21"/>
  <c r="U37" i="21" s="1"/>
  <c r="J37" i="21"/>
  <c r="W37" i="21" s="1"/>
  <c r="F37" i="21"/>
  <c r="AA37" i="21" s="1"/>
  <c r="AC34" i="21"/>
  <c r="AB41" i="21"/>
  <c r="S35" i="21"/>
  <c r="U43" i="21"/>
  <c r="W42" i="21"/>
  <c r="AB42" i="21"/>
  <c r="AC40" i="21"/>
  <c r="AB36" i="21"/>
  <c r="U35" i="21"/>
  <c r="AA42" i="21"/>
  <c r="AB39" i="21"/>
  <c r="AA38" i="21"/>
  <c r="AB38" i="21"/>
  <c r="AA36" i="21"/>
  <c r="AB34" i="21"/>
  <c r="AA32" i="21"/>
  <c r="AB32" i="21"/>
  <c r="J19" i="21"/>
  <c r="W19" i="21" s="1"/>
  <c r="U19" i="21"/>
  <c r="AB23" i="21"/>
  <c r="S17" i="21"/>
  <c r="AA23" i="21"/>
  <c r="AC23" i="21"/>
  <c r="S19" i="21"/>
  <c r="U17" i="21"/>
  <c r="AC17" i="21"/>
  <c r="W15" i="21"/>
  <c r="AB15" i="21"/>
  <c r="AA15" i="21"/>
  <c r="AA9" i="21"/>
  <c r="AC9" i="21"/>
  <c r="AB9" i="21"/>
  <c r="H23" i="39"/>
  <c r="AB23" i="39" s="1"/>
  <c r="F23" i="39"/>
  <c r="AA23" i="39" s="1"/>
  <c r="S11" i="39"/>
  <c r="AB29" i="39"/>
  <c r="U44" i="39"/>
  <c r="S44" i="39"/>
  <c r="U42" i="39"/>
  <c r="AC40" i="39"/>
  <c r="S40" i="39"/>
  <c r="AC27" i="39"/>
  <c r="S25" i="39"/>
  <c r="W25" i="39"/>
  <c r="W11" i="39"/>
  <c r="W10" i="39"/>
  <c r="G1" i="15"/>
  <c r="G1" i="68"/>
  <c r="K7" i="1"/>
  <c r="M7" i="1" s="1"/>
  <c r="O7" i="1" s="1"/>
  <c r="P7" i="1" s="1"/>
  <c r="G1" i="67"/>
  <c r="E5" i="6"/>
  <c r="D22" i="83" s="1"/>
  <c r="C22" i="83" s="1"/>
  <c r="A2" i="9"/>
  <c r="A4" i="52"/>
  <c r="B41" i="72" s="1"/>
  <c r="AB19" i="33"/>
  <c r="AC28" i="34"/>
  <c r="W28" i="34"/>
  <c r="W16" i="35"/>
  <c r="AC16" i="35"/>
  <c r="F45" i="21"/>
  <c r="J45" i="21"/>
  <c r="AB34" i="34"/>
  <c r="U34" i="34"/>
  <c r="C21" i="71"/>
  <c r="D21" i="71" s="1"/>
  <c r="AC27" i="21"/>
  <c r="AB45" i="39"/>
  <c r="W13" i="35"/>
  <c r="AA36" i="35"/>
  <c r="AA47" i="34"/>
  <c r="AA14" i="40"/>
  <c r="AZ379" i="3"/>
  <c r="AZ571" i="3"/>
  <c r="AZ579" i="3"/>
  <c r="AA26" i="33"/>
  <c r="S26" i="33"/>
  <c r="BL587" i="3"/>
  <c r="B101" i="43"/>
  <c r="B79" i="43"/>
  <c r="C27" i="39"/>
  <c r="AB33" i="33"/>
  <c r="U33" i="33"/>
  <c r="AZ587" i="3"/>
  <c r="AB28" i="36"/>
  <c r="S39" i="21"/>
  <c r="AA13" i="37"/>
  <c r="G29" i="6"/>
  <c r="AZ372" i="3"/>
  <c r="AZ337" i="3"/>
  <c r="AA17" i="33"/>
  <c r="AC23" i="37"/>
  <c r="AC35" i="33"/>
  <c r="AA23" i="37"/>
  <c r="S41" i="40"/>
  <c r="U32" i="40"/>
  <c r="C17" i="40"/>
  <c r="H45" i="21"/>
  <c r="S31" i="33"/>
  <c r="AC23" i="34"/>
  <c r="AB14" i="34"/>
  <c r="AA15" i="39"/>
  <c r="AC16" i="40"/>
  <c r="W43" i="21"/>
  <c r="AA34" i="36"/>
  <c r="AC34" i="33"/>
  <c r="AC35" i="21"/>
  <c r="AZ334" i="3"/>
  <c r="AZ390" i="3"/>
  <c r="AZ371" i="3"/>
  <c r="AZ351" i="3"/>
  <c r="AZ336" i="3"/>
  <c r="AZ305" i="3"/>
  <c r="AZ360" i="3"/>
  <c r="AC12" i="37"/>
  <c r="AZ547" i="3"/>
  <c r="AZ529" i="3"/>
  <c r="AZ537" i="3"/>
  <c r="AZ518" i="3"/>
  <c r="AZ556" i="3"/>
  <c r="AB30" i="21"/>
  <c r="AB11" i="33"/>
  <c r="U11" i="33"/>
  <c r="W13" i="40"/>
  <c r="U40" i="33"/>
  <c r="AB40" i="33"/>
  <c r="AA28" i="34"/>
  <c r="S28" i="34"/>
  <c r="AA40" i="34"/>
  <c r="S33" i="40"/>
  <c r="S39" i="40"/>
  <c r="AB29" i="21"/>
  <c r="AC38" i="21"/>
  <c r="U40" i="21"/>
  <c r="AB34" i="33"/>
  <c r="U25" i="34"/>
  <c r="W39" i="40"/>
  <c r="AB41" i="34"/>
  <c r="AB20" i="36"/>
  <c r="AA25" i="36"/>
  <c r="AA26" i="36"/>
  <c r="W37" i="37"/>
  <c r="AZ387" i="3"/>
  <c r="AZ338" i="3"/>
  <c r="AZ304" i="3"/>
  <c r="AZ306" i="3"/>
  <c r="AB35" i="40"/>
  <c r="AZ557" i="3"/>
  <c r="AZ513" i="3"/>
  <c r="AZ575" i="3"/>
  <c r="AB46" i="34"/>
  <c r="U46" i="33"/>
  <c r="S14" i="37"/>
  <c r="S44" i="33"/>
  <c r="AA44" i="33"/>
  <c r="S13" i="33"/>
  <c r="AB12" i="35"/>
  <c r="F9" i="33"/>
  <c r="AA9" i="33" s="1"/>
  <c r="J9" i="33"/>
  <c r="H9" i="33"/>
  <c r="BL585" i="3"/>
  <c r="AZ585" i="3" s="1"/>
  <c r="B75" i="43"/>
  <c r="AB35" i="33"/>
  <c r="H36" i="35"/>
  <c r="H24" i="36"/>
  <c r="BL550" i="3"/>
  <c r="W28" i="35"/>
  <c r="G574" i="3"/>
  <c r="AZ394" i="3"/>
  <c r="AZ519" i="3"/>
  <c r="AZ531" i="3"/>
  <c r="AZ573" i="3"/>
  <c r="AZ583" i="3"/>
  <c r="AZ568" i="3"/>
  <c r="AZ576" i="3"/>
  <c r="U38" i="39"/>
  <c r="S44" i="34"/>
  <c r="AA29" i="35"/>
  <c r="W28" i="36"/>
  <c r="G587" i="3"/>
  <c r="H12" i="36"/>
  <c r="F23" i="36"/>
  <c r="F46" i="39"/>
  <c r="J41" i="40"/>
  <c r="H41" i="40"/>
  <c r="AZ451" i="3"/>
  <c r="AZ469" i="3"/>
  <c r="BA551" i="3"/>
  <c r="AZ551" i="3" s="1"/>
  <c r="BA550" i="3"/>
  <c r="AZ550" i="3" s="1"/>
  <c r="BL548" i="3"/>
  <c r="AZ548" i="3" s="1"/>
  <c r="BL398" i="3"/>
  <c r="G402" i="3"/>
  <c r="BL403" i="3"/>
  <c r="G405" i="3"/>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A438" i="3"/>
  <c r="G442" i="3"/>
  <c r="G443" i="3"/>
  <c r="BA446" i="3"/>
  <c r="BA450" i="3"/>
  <c r="BA453" i="3"/>
  <c r="BA455" i="3"/>
  <c r="AZ455" i="3" s="1"/>
  <c r="BL457" i="3"/>
  <c r="BL460" i="3"/>
  <c r="BL461" i="3"/>
  <c r="BL463" i="3"/>
  <c r="G465" i="3"/>
  <c r="BA471" i="3"/>
  <c r="BA398" i="3"/>
  <c r="BA399" i="3"/>
  <c r="AZ399" i="3" s="1"/>
  <c r="BL401" i="3"/>
  <c r="AZ401" i="3" s="1"/>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4" i="3"/>
  <c r="BA457" i="3"/>
  <c r="AZ457" i="3" s="1"/>
  <c r="BA459" i="3"/>
  <c r="BA460" i="3"/>
  <c r="AZ460" i="3" s="1"/>
  <c r="BA461" i="3"/>
  <c r="AZ461" i="3" s="1"/>
  <c r="BL464" i="3"/>
  <c r="BL466" i="3"/>
  <c r="G468" i="3"/>
  <c r="BL476" i="3"/>
  <c r="BL477" i="3"/>
  <c r="BA482" i="3"/>
  <c r="AZ217" i="3"/>
  <c r="AZ403" i="3"/>
  <c r="BA404" i="3"/>
  <c r="AZ404" i="3" s="1"/>
  <c r="BA405" i="3"/>
  <c r="AZ405" i="3" s="1"/>
  <c r="BL410" i="3"/>
  <c r="G412" i="3"/>
  <c r="AZ419" i="3"/>
  <c r="AZ444" i="3"/>
  <c r="AZ448" i="3"/>
  <c r="AZ464" i="3"/>
  <c r="AZ466" i="3"/>
  <c r="AZ476" i="3"/>
  <c r="BA481" i="3"/>
  <c r="G484" i="3"/>
  <c r="BA487" i="3"/>
  <c r="AZ487" i="3" s="1"/>
  <c r="BL490" i="3"/>
  <c r="BL400" i="3"/>
  <c r="AZ400" i="3" s="1"/>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5" i="3"/>
  <c r="AZ228"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G222" i="3"/>
  <c r="BA253" i="3"/>
  <c r="BL260" i="3"/>
  <c r="G262" i="3"/>
  <c r="BL263" i="3"/>
  <c r="G264" i="3"/>
  <c r="BL270" i="3"/>
  <c r="AZ270" i="3" s="1"/>
  <c r="BA272" i="3"/>
  <c r="AZ272" i="3" s="1"/>
  <c r="BL275" i="3"/>
  <c r="AZ275" i="3" s="1"/>
  <c r="G277" i="3"/>
  <c r="G280" i="3"/>
  <c r="G282" i="3"/>
  <c r="BL285" i="3"/>
  <c r="BL287" i="3"/>
  <c r="BA290" i="3"/>
  <c r="G297" i="3"/>
  <c r="BL301" i="3"/>
  <c r="BL302" i="3"/>
  <c r="BA114" i="3"/>
  <c r="BL225" i="3"/>
  <c r="BL226" i="3"/>
  <c r="BA239" i="3"/>
  <c r="BL239" i="3"/>
  <c r="BA241" i="3"/>
  <c r="BL241" i="3"/>
  <c r="BA244" i="3"/>
  <c r="BL244" i="3"/>
  <c r="BA246" i="3"/>
  <c r="BA252" i="3"/>
  <c r="AZ252" i="3" s="1"/>
  <c r="BL266" i="3"/>
  <c r="BA268" i="3"/>
  <c r="BL273" i="3"/>
  <c r="G274" i="3"/>
  <c r="BA277" i="3"/>
  <c r="BL277" i="3"/>
  <c r="BA282" i="3"/>
  <c r="BL282" i="3"/>
  <c r="BA284" i="3"/>
  <c r="BL290" i="3"/>
  <c r="BL291" i="3"/>
  <c r="AZ291" i="3" s="1"/>
  <c r="BL293" i="3"/>
  <c r="BL294" i="3"/>
  <c r="BA297" i="3"/>
  <c r="AZ297" i="3" s="1"/>
  <c r="BL297" i="3"/>
  <c r="BA117" i="3"/>
  <c r="BA124" i="3"/>
  <c r="AZ124" i="3" s="1"/>
  <c r="BL127" i="3"/>
  <c r="AZ127" i="3" s="1"/>
  <c r="BA130" i="3"/>
  <c r="BL130"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BA259" i="3"/>
  <c r="AZ259" i="3" s="1"/>
  <c r="BL261" i="3"/>
  <c r="BA263" i="3"/>
  <c r="AZ263" i="3" s="1"/>
  <c r="AZ301" i="3"/>
  <c r="AZ302" i="3"/>
  <c r="BL123" i="3"/>
  <c r="AZ123" i="3" s="1"/>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G288" i="3"/>
  <c r="BL292" i="3"/>
  <c r="BA294" i="3"/>
  <c r="BL295" i="3"/>
  <c r="BL300" i="3"/>
  <c r="G126" i="3"/>
  <c r="BA128" i="3"/>
  <c r="AZ128" i="3" s="1"/>
  <c r="BA133" i="3"/>
  <c r="AZ133" i="3" s="1"/>
  <c r="G136" i="3"/>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52" i="3"/>
  <c r="BA52"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AZ41" i="3" s="1"/>
  <c r="BA42" i="3"/>
  <c r="G47" i="3"/>
  <c r="BL48" i="3"/>
  <c r="BA55" i="3"/>
  <c r="AZ55" i="3" s="1"/>
  <c r="BA56" i="3"/>
  <c r="BA57" i="3"/>
  <c r="BL58" i="3"/>
  <c r="BA60" i="3"/>
  <c r="BA63" i="3"/>
  <c r="BL72" i="3"/>
  <c r="AZ72" i="3" s="1"/>
  <c r="BL75" i="3"/>
  <c r="T40" i="71"/>
  <c r="D40" i="71"/>
  <c r="V24" i="71"/>
  <c r="E23" i="71"/>
  <c r="E22" i="71" s="1"/>
  <c r="E21" i="71" s="1"/>
  <c r="E20" i="71" s="1"/>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BA48" i="3"/>
  <c r="BA49" i="3"/>
  <c r="BL52" i="3"/>
  <c r="G53" i="3"/>
  <c r="BL53" i="3"/>
  <c r="BL57" i="3"/>
  <c r="G59" i="3"/>
  <c r="G62" i="3"/>
  <c r="BL62" i="3"/>
  <c r="BL63" i="3"/>
  <c r="G65" i="3"/>
  <c r="BL65" i="3"/>
  <c r="AZ65" i="3" s="1"/>
  <c r="BL66" i="3"/>
  <c r="AZ66" i="3" s="1"/>
  <c r="BL67" i="3"/>
  <c r="AZ67" i="3" s="1"/>
  <c r="G69" i="3"/>
  <c r="G70" i="3"/>
  <c r="BL70" i="3"/>
  <c r="AZ70" i="3" s="1"/>
  <c r="BL71" i="3"/>
  <c r="AZ71" i="3" s="1"/>
  <c r="P65" i="71"/>
  <c r="P66" i="71"/>
  <c r="C32" i="71"/>
  <c r="D31" i="71"/>
  <c r="D46" i="71"/>
  <c r="C47" i="71"/>
  <c r="D47" i="71" s="1"/>
  <c r="C52" i="71"/>
  <c r="D51" i="71"/>
  <c r="C64" i="71"/>
  <c r="D63" i="71"/>
  <c r="N67" i="71"/>
  <c r="B66" i="71"/>
  <c r="BA45" i="3"/>
  <c r="AZ45" i="3" s="1"/>
  <c r="BA46" i="3"/>
  <c r="BL49" i="3"/>
  <c r="BL50" i="3"/>
  <c r="AZ50" i="3" s="1"/>
  <c r="BA53" i="3"/>
  <c r="AZ53" i="3" s="1"/>
  <c r="BA54" i="3"/>
  <c r="AZ62" i="3"/>
  <c r="AZ64" i="3"/>
  <c r="BL68" i="3"/>
  <c r="BA69" i="3"/>
  <c r="AZ69" i="3" s="1"/>
  <c r="C55" i="71"/>
  <c r="D54" i="71"/>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M9" i="15"/>
  <c r="F9" i="67"/>
  <c r="F22" i="15"/>
  <c r="F30" i="15"/>
  <c r="F6" i="15"/>
  <c r="M9" i="67"/>
  <c r="F30" i="81"/>
  <c r="M29" i="67"/>
  <c r="M22" i="81"/>
  <c r="M31" i="15"/>
  <c r="M8" i="15"/>
  <c r="M24" i="15"/>
  <c r="F28" i="81"/>
  <c r="D4" i="73"/>
  <c r="F48" i="81"/>
  <c r="F7" i="81"/>
  <c r="F9" i="15"/>
  <c r="D7" i="73"/>
  <c r="F26" i="81"/>
  <c r="M28" i="67"/>
  <c r="M30" i="15"/>
  <c r="D3" i="73"/>
  <c r="C71" i="15"/>
  <c r="F6" i="81"/>
  <c r="F7" i="15"/>
  <c r="M6" i="67"/>
  <c r="F28" i="15"/>
  <c r="F9" i="81"/>
  <c r="M22" i="67"/>
  <c r="F38" i="67"/>
  <c r="M6" i="81"/>
  <c r="F52" i="81"/>
  <c r="F8" i="81"/>
  <c r="M26" i="67"/>
  <c r="F52" i="15"/>
  <c r="M28" i="81"/>
  <c r="L57" i="81"/>
  <c r="L48" i="67"/>
  <c r="M24" i="67"/>
  <c r="L56" i="15"/>
  <c r="M22" i="15"/>
  <c r="C19" i="81"/>
  <c r="C88" i="15"/>
  <c r="F24" i="15"/>
  <c r="M31" i="81"/>
  <c r="F13" i="67"/>
  <c r="C76" i="67"/>
  <c r="M26" i="15"/>
  <c r="F8" i="67"/>
  <c r="F22" i="81"/>
  <c r="M23" i="67"/>
  <c r="L47" i="67"/>
  <c r="F16" i="67"/>
  <c r="M8" i="81"/>
  <c r="F26" i="15"/>
  <c r="D5" i="73"/>
  <c r="F26" i="67"/>
  <c r="F6" i="67"/>
  <c r="C71" i="81"/>
  <c r="C88" i="81"/>
  <c r="F8" i="15"/>
  <c r="F38" i="81"/>
  <c r="F42" i="67"/>
  <c r="F40" i="67"/>
  <c r="M6" i="15"/>
  <c r="F43" i="67"/>
  <c r="F7" i="67"/>
  <c r="M28" i="15"/>
  <c r="M24" i="81"/>
  <c r="F38" i="15"/>
  <c r="F32" i="81"/>
  <c r="F32" i="15"/>
  <c r="F36" i="67"/>
  <c r="M36" i="15"/>
  <c r="J15" i="67"/>
  <c r="M9" i="81"/>
  <c r="M30" i="81"/>
  <c r="M26" i="81"/>
  <c r="M8" i="67"/>
  <c r="L56" i="81"/>
  <c r="M36" i="81"/>
  <c r="F48" i="15"/>
  <c r="L57" i="15"/>
  <c r="F37" i="67"/>
  <c r="F24" i="81"/>
  <c r="AC29" i="39" l="1"/>
  <c r="AA43" i="21"/>
  <c r="S37" i="21"/>
  <c r="AC19" i="21"/>
  <c r="AC17" i="39"/>
  <c r="F68" i="67"/>
  <c r="M59" i="67"/>
  <c r="N59" i="67"/>
  <c r="L59" i="67"/>
  <c r="Q61" i="67" s="1"/>
  <c r="F66" i="67"/>
  <c r="M7" i="67"/>
  <c r="J6" i="67" s="1"/>
  <c r="F50" i="67"/>
  <c r="C27" i="67"/>
  <c r="F64" i="67"/>
  <c r="F84" i="15"/>
  <c r="F75" i="15"/>
  <c r="M7" i="15"/>
  <c r="J7" i="15" s="1"/>
  <c r="J9" i="15" s="1"/>
  <c r="F59" i="15"/>
  <c r="Q82" i="15"/>
  <c r="L8" i="15"/>
  <c r="F80" i="15"/>
  <c r="F77" i="15"/>
  <c r="C49" i="15"/>
  <c r="C7" i="15"/>
  <c r="C9" i="15" s="1"/>
  <c r="F78" i="15"/>
  <c r="E8" i="15"/>
  <c r="F60" i="15"/>
  <c r="E60" i="15" s="1"/>
  <c r="L68" i="15"/>
  <c r="Q85" i="15" s="1"/>
  <c r="E12" i="6"/>
  <c r="E59" i="40" s="1"/>
  <c r="F30" i="6"/>
  <c r="Q16" i="1"/>
  <c r="F27" i="69" s="1"/>
  <c r="C47" i="69" s="1"/>
  <c r="D45" i="69" s="1"/>
  <c r="H16" i="1"/>
  <c r="N68" i="15"/>
  <c r="D69" i="39"/>
  <c r="D71" i="39" s="1"/>
  <c r="M68" i="15"/>
  <c r="J7" i="36"/>
  <c r="Q71" i="67"/>
  <c r="F65" i="67"/>
  <c r="F71" i="67"/>
  <c r="F51" i="67"/>
  <c r="F59" i="67" s="1"/>
  <c r="F31" i="67"/>
  <c r="C6" i="67"/>
  <c r="G5" i="3"/>
  <c r="B3" i="3" s="1"/>
  <c r="C44" i="71"/>
  <c r="D43" i="71"/>
  <c r="AZ102" i="3"/>
  <c r="N65" i="71"/>
  <c r="N66" i="71"/>
  <c r="AZ49" i="3"/>
  <c r="AZ57" i="3"/>
  <c r="AZ27" i="3"/>
  <c r="AZ118" i="3"/>
  <c r="AZ38" i="3"/>
  <c r="AZ294" i="3"/>
  <c r="AZ130" i="3"/>
  <c r="AZ282" i="3"/>
  <c r="AZ241" i="3"/>
  <c r="AZ332" i="3"/>
  <c r="AZ459" i="3"/>
  <c r="AZ415" i="3"/>
  <c r="AZ398" i="3"/>
  <c r="AZ428" i="3"/>
  <c r="W41" i="40"/>
  <c r="AC41" i="40"/>
  <c r="AB24" i="36"/>
  <c r="U24" i="36"/>
  <c r="AA45" i="21"/>
  <c r="S45" i="21"/>
  <c r="B27" i="71"/>
  <c r="B26" i="71" s="1"/>
  <c r="S28" i="71"/>
  <c r="AZ111" i="3"/>
  <c r="C56" i="71"/>
  <c r="D55" i="71"/>
  <c r="T52" i="71"/>
  <c r="D52" i="71"/>
  <c r="T32" i="71"/>
  <c r="D32" i="71"/>
  <c r="AZ63" i="3"/>
  <c r="AZ52" i="3"/>
  <c r="AZ25" i="3"/>
  <c r="AZ453" i="3"/>
  <c r="AZ432" i="3"/>
  <c r="AZ417" i="3"/>
  <c r="AA46" i="39"/>
  <c r="S46" i="39"/>
  <c r="AB36" i="35"/>
  <c r="U36" i="35"/>
  <c r="AB9" i="33"/>
  <c r="U9" i="33"/>
  <c r="C86" i="71"/>
  <c r="D86" i="71" s="1"/>
  <c r="D87" i="71"/>
  <c r="C26" i="71"/>
  <c r="D26" i="71" s="1"/>
  <c r="D27" i="71"/>
  <c r="AZ31" i="3"/>
  <c r="AZ150" i="3"/>
  <c r="AZ368" i="3"/>
  <c r="AZ353" i="3"/>
  <c r="AZ284" i="3"/>
  <c r="AZ277" i="3"/>
  <c r="AZ244" i="3"/>
  <c r="AZ239" i="3"/>
  <c r="AZ454" i="3"/>
  <c r="AZ418" i="3"/>
  <c r="AZ471" i="3"/>
  <c r="AA23" i="36"/>
  <c r="S23" i="36"/>
  <c r="AC9" i="33"/>
  <c r="W9" i="33"/>
  <c r="C36" i="71"/>
  <c r="D35" i="71"/>
  <c r="AZ108" i="3"/>
  <c r="AZ435" i="3"/>
  <c r="U41" i="40"/>
  <c r="AB41" i="40"/>
  <c r="U12" i="36"/>
  <c r="AB12" i="36"/>
  <c r="U45" i="21"/>
  <c r="AB45" i="21"/>
  <c r="W45" i="21"/>
  <c r="AC45" i="21"/>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J7" i="37"/>
  <c r="AC7" i="37" s="1"/>
  <c r="K1" i="73"/>
  <c r="E510" i="3"/>
  <c r="E499" i="3"/>
  <c r="R6" i="3"/>
  <c r="E255" i="3"/>
  <c r="I3" i="6"/>
  <c r="E479" i="3"/>
  <c r="E56" i="3"/>
  <c r="E292" i="3"/>
  <c r="E363" i="3"/>
  <c r="E484" i="3"/>
  <c r="E425" i="3"/>
  <c r="E249" i="3"/>
  <c r="E300" i="3"/>
  <c r="E33" i="3"/>
  <c r="E144" i="3"/>
  <c r="E81" i="3"/>
  <c r="E264" i="3"/>
  <c r="E281" i="3"/>
  <c r="E332" i="3"/>
  <c r="E96" i="3"/>
  <c r="E129" i="3"/>
  <c r="E206" i="3"/>
  <c r="E251" i="3"/>
  <c r="E205" i="3"/>
  <c r="E140" i="3"/>
  <c r="E456" i="3"/>
  <c r="E469" i="3"/>
  <c r="E13" i="3"/>
  <c r="E452" i="3"/>
  <c r="E225" i="3"/>
  <c r="E243" i="3"/>
  <c r="E324" i="3"/>
  <c r="E342" i="3"/>
  <c r="E326" i="3"/>
  <c r="E83" i="3"/>
  <c r="E393" i="3"/>
  <c r="E493" i="3"/>
  <c r="E440" i="3"/>
  <c r="E490" i="3"/>
  <c r="E463" i="3"/>
  <c r="E40" i="3"/>
  <c r="E346" i="3"/>
  <c r="E333" i="3"/>
  <c r="E15" i="3"/>
  <c r="E455" i="3"/>
  <c r="E299" i="3"/>
  <c r="E339" i="3"/>
  <c r="E123" i="3"/>
  <c r="E147" i="3"/>
  <c r="E176" i="3"/>
  <c r="E218" i="3"/>
  <c r="E552" i="3"/>
  <c r="E398" i="3"/>
  <c r="E521" i="3"/>
  <c r="E65" i="3"/>
  <c r="E312" i="3"/>
  <c r="E421" i="3"/>
  <c r="E138" i="3"/>
  <c r="E209" i="3"/>
  <c r="E464" i="3"/>
  <c r="E582" i="3"/>
  <c r="E341" i="3"/>
  <c r="E373" i="3"/>
  <c r="E66" i="3"/>
  <c r="Y6" i="3"/>
  <c r="E154" i="3"/>
  <c r="E167" i="3"/>
  <c r="E82" i="3"/>
  <c r="E122" i="3"/>
  <c r="E313" i="3"/>
  <c r="E532" i="3"/>
  <c r="E471" i="3"/>
  <c r="E475" i="3"/>
  <c r="E93" i="3"/>
  <c r="E397" i="3"/>
  <c r="E548" i="3"/>
  <c r="E432" i="3"/>
  <c r="E126" i="3"/>
  <c r="E272" i="3"/>
  <c r="E501" i="3"/>
  <c r="E153" i="3"/>
  <c r="E97" i="3"/>
  <c r="E390" i="3"/>
  <c r="E298" i="3"/>
  <c r="E169" i="3"/>
  <c r="E17" i="3"/>
  <c r="E302" i="3"/>
  <c r="E159" i="3"/>
  <c r="E303" i="3"/>
  <c r="E353" i="3"/>
  <c r="E280" i="3"/>
  <c r="E156" i="3"/>
  <c r="E238" i="3"/>
  <c r="E434" i="3"/>
  <c r="E262" i="3"/>
  <c r="E120" i="3"/>
  <c r="E177" i="3"/>
  <c r="Q6" i="3"/>
  <c r="E437" i="3"/>
  <c r="E481" i="3"/>
  <c r="E344" i="3"/>
  <c r="AE6" i="3"/>
  <c r="E429" i="3"/>
  <c r="E55" i="3"/>
  <c r="E73" i="3"/>
  <c r="E203"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2" i="40"/>
  <c r="E16" i="6"/>
  <c r="E60" i="40"/>
  <c r="E64" i="39"/>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F11" i="15"/>
  <c r="M11" i="15"/>
  <c r="J10" i="15" s="1"/>
  <c r="F11" i="67"/>
  <c r="AE11" i="1"/>
  <c r="AE12" i="1"/>
  <c r="AE10" i="1"/>
  <c r="AE9" i="1"/>
  <c r="AE8" i="1"/>
  <c r="C18" i="12"/>
  <c r="H34" i="1" s="1"/>
  <c r="G1" i="73"/>
  <c r="C38" i="81"/>
  <c r="C19" i="15"/>
  <c r="C38" i="15"/>
  <c r="C16" i="67"/>
  <c r="S7" i="36" l="1"/>
  <c r="C59" i="15"/>
  <c r="C61" i="15" s="1"/>
  <c r="F30" i="83"/>
  <c r="F27" i="11"/>
  <c r="C29" i="11" s="1"/>
  <c r="D27" i="11" s="1"/>
  <c r="C29" i="69"/>
  <c r="D27" i="69" s="1"/>
  <c r="F27" i="68"/>
  <c r="C54" i="68" s="1"/>
  <c r="F45" i="69"/>
  <c r="F33" i="12"/>
  <c r="C34" i="12" s="1"/>
  <c r="F28" i="82"/>
  <c r="C30" i="82" s="1"/>
  <c r="F27" i="80"/>
  <c r="F52" i="80" s="1"/>
  <c r="C6" i="15"/>
  <c r="C16" i="15" s="1"/>
  <c r="J5" i="67"/>
  <c r="J24" i="67" s="1"/>
  <c r="Q74" i="67"/>
  <c r="Q70" i="15"/>
  <c r="AT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AN6" i="3"/>
  <c r="E254"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E256" i="3"/>
  <c r="E496" i="3"/>
  <c r="E424" i="3"/>
  <c r="E330" i="3"/>
  <c r="E128" i="3"/>
  <c r="AA6" i="3"/>
  <c r="E402" i="3"/>
  <c r="E221"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AC6" i="3"/>
  <c r="G16" i="1"/>
  <c r="F12" i="40" s="1"/>
  <c r="J18" i="67"/>
  <c r="C49" i="67"/>
  <c r="AB7" i="36"/>
  <c r="T36" i="36" s="1"/>
  <c r="G36" i="36" s="1"/>
  <c r="G41" i="36" s="1"/>
  <c r="H41" i="36" s="1"/>
  <c r="T36" i="71"/>
  <c r="D36" i="71"/>
  <c r="R36" i="36"/>
  <c r="D56" i="71"/>
  <c r="T56" i="71"/>
  <c r="T44" i="71"/>
  <c r="D44" i="71"/>
  <c r="Q61" i="15"/>
  <c r="F1" i="15"/>
  <c r="J9" i="81"/>
  <c r="C10" i="15"/>
  <c r="C62" i="15"/>
  <c r="Q84" i="15"/>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Q61" i="81"/>
  <c r="F1" i="81"/>
  <c r="J6" i="15"/>
  <c r="J5" i="15" s="1"/>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F65" i="40"/>
  <c r="E67" i="40"/>
  <c r="W7" i="33"/>
  <c r="AC7" i="33"/>
  <c r="V48" i="33" s="1"/>
  <c r="I48" i="33" s="1"/>
  <c r="AA7" i="37"/>
  <c r="R42" i="37" s="1"/>
  <c r="S7" i="37"/>
  <c r="I40" i="36"/>
  <c r="J40" i="36" s="1"/>
  <c r="S7" i="33"/>
  <c r="AA7" i="33"/>
  <c r="R48" i="33" s="1"/>
  <c r="G53" i="34"/>
  <c r="H53" i="34" s="1"/>
  <c r="G46" i="37"/>
  <c r="H46" i="37" s="1"/>
  <c r="I46" i="37"/>
  <c r="J46" i="37" s="1"/>
  <c r="G48" i="35"/>
  <c r="U7" i="33"/>
  <c r="AB7" i="33"/>
  <c r="T48" i="33" s="1"/>
  <c r="G48" i="33" s="1"/>
  <c r="C53" i="67"/>
  <c r="C10" i="67"/>
  <c r="C5" i="67" s="1"/>
  <c r="C38" i="67" s="1"/>
  <c r="AE7" i="1"/>
  <c r="AE6" i="1"/>
  <c r="F29" i="81"/>
  <c r="M27" i="67"/>
  <c r="M29" i="81"/>
  <c r="F41" i="67"/>
  <c r="M29" i="15"/>
  <c r="F29" i="15"/>
  <c r="G40" i="36" l="1"/>
  <c r="H40" i="36" s="1"/>
  <c r="R37" i="36"/>
  <c r="C58" i="15"/>
  <c r="C57" i="15" s="1"/>
  <c r="E36" i="36"/>
  <c r="E41" i="36" s="1"/>
  <c r="F41" i="36" s="1"/>
  <c r="C5" i="15"/>
  <c r="C28" i="15" s="1"/>
  <c r="C29" i="68"/>
  <c r="C29" i="80"/>
  <c r="F52" i="68"/>
  <c r="C54" i="80"/>
  <c r="H12" i="39"/>
  <c r="U12" i="39" s="1"/>
  <c r="J12" i="40"/>
  <c r="AC12" i="40" s="1"/>
  <c r="J12" i="39"/>
  <c r="W12" i="39" s="1"/>
  <c r="F12" i="39"/>
  <c r="H6" i="3"/>
  <c r="E6" i="3" s="1"/>
  <c r="S12" i="40"/>
  <c r="AA12" i="40"/>
  <c r="C48" i="67"/>
  <c r="C66" i="67" s="1"/>
  <c r="G54" i="34"/>
  <c r="H54" i="34" s="1"/>
  <c r="J6" i="81"/>
  <c r="J16" i="81" s="1"/>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G52" i="33"/>
  <c r="H52" i="33" s="1"/>
  <c r="G53" i="33"/>
  <c r="H53" i="33" s="1"/>
  <c r="H48" i="35"/>
  <c r="C49" i="34"/>
  <c r="C50" i="34"/>
  <c r="R43" i="37"/>
  <c r="E42" i="37"/>
  <c r="G65" i="40"/>
  <c r="F67" i="40"/>
  <c r="C37" i="36"/>
  <c r="C36" i="36"/>
  <c r="G58" i="21"/>
  <c r="D10" i="69"/>
  <c r="C34" i="69"/>
  <c r="D23" i="12"/>
  <c r="D22" i="12"/>
  <c r="D16" i="68"/>
  <c r="C39" i="81"/>
  <c r="C39" i="15"/>
  <c r="C14" i="67"/>
  <c r="C36" i="81"/>
  <c r="C17" i="67"/>
  <c r="H33" i="1" l="1"/>
  <c r="H37" i="1"/>
  <c r="H36" i="1"/>
  <c r="I41" i="36"/>
  <c r="J41" i="36" s="1"/>
  <c r="C68" i="15"/>
  <c r="C26" i="15"/>
  <c r="D17" i="80"/>
  <c r="D18" i="80" s="1"/>
  <c r="C60" i="67"/>
  <c r="W12" i="40"/>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C17" i="80" l="1"/>
  <c r="C18" i="80"/>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67"/>
  <c r="F35" i="67"/>
  <c r="M21" i="15"/>
  <c r="F21" i="81"/>
  <c r="F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59" i="12"/>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10" i="12" s="1"/>
  <c r="C48" i="21"/>
  <c r="E53" i="21"/>
  <c r="F53" i="21" s="1"/>
  <c r="G42" i="35"/>
  <c r="H42" i="35" s="1"/>
  <c r="K67" i="40"/>
  <c r="L65" i="40"/>
  <c r="C58" i="80" l="1"/>
  <c r="C32" i="80"/>
  <c r="C33" i="80" s="1"/>
  <c r="D3" i="80" s="1"/>
  <c r="B3" i="80" s="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2" i="80"/>
  <c r="C70" i="81"/>
  <c r="C18" i="81"/>
  <c r="J24" i="81"/>
  <c r="J17" i="81" s="1"/>
  <c r="M25" i="81"/>
  <c r="F23" i="15"/>
  <c r="Q58" i="15"/>
  <c r="J68" i="15"/>
  <c r="F74" i="15"/>
  <c r="C74" i="15" s="1"/>
  <c r="C22" i="15"/>
  <c r="C52" i="15"/>
  <c r="Q81" i="15" s="1"/>
  <c r="J35" i="15"/>
  <c r="C57" i="69"/>
  <c r="C56" i="69" s="1"/>
  <c r="C33" i="68"/>
  <c r="B2" i="68" s="1"/>
  <c r="C59" i="68"/>
  <c r="C64" i="68"/>
  <c r="C63" i="68" s="1"/>
  <c r="C10" i="71"/>
  <c r="D11" i="71"/>
  <c r="C80" i="67"/>
  <c r="C79" i="67" s="1"/>
  <c r="C40" i="67"/>
  <c r="C45" i="67" s="1"/>
  <c r="C56" i="11"/>
  <c r="C57" i="11" s="1"/>
  <c r="B3" i="21"/>
  <c r="C8" i="12" s="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4"/>
  <c r="F2" i="37"/>
  <c r="F2" i="35"/>
  <c r="F2" i="36"/>
  <c r="L60" i="81"/>
  <c r="D2" i="35" l="1"/>
  <c r="B2" i="35" s="1"/>
  <c r="D2" i="36"/>
  <c r="B2" i="36"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M3" i="35"/>
  <c r="B3" i="37"/>
  <c r="B3" i="34"/>
  <c r="W9" i="39"/>
  <c r="AC9" i="39"/>
  <c r="V49" i="39" s="1"/>
  <c r="I49" i="39" s="1"/>
  <c r="E49" i="39"/>
  <c r="U9" i="39"/>
  <c r="AB9" i="39"/>
  <c r="T49" i="39" s="1"/>
  <c r="G49" i="39" s="1"/>
  <c r="J9" i="40"/>
  <c r="F9" i="40"/>
  <c r="H9" i="40"/>
  <c r="AO12" i="1"/>
  <c r="AO11" i="1"/>
  <c r="AO10" i="1"/>
  <c r="B3" i="36" l="1"/>
  <c r="E8" i="12" s="1"/>
  <c r="E10" i="12"/>
  <c r="D10" i="12"/>
  <c r="B3" i="35"/>
  <c r="D8" i="12" s="1"/>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13" i="12" l="1"/>
  <c r="C32" i="12" s="1"/>
  <c r="C62" i="12" s="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C46" i="12" l="1"/>
  <c r="C28" i="12"/>
  <c r="C31" i="12" s="1"/>
  <c r="C29" i="12" s="1"/>
  <c r="C63" i="12" s="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19" i="9"/>
  <c r="C61" i="12" l="1"/>
  <c r="C60" i="12" s="1"/>
  <c r="C48" i="12" s="1"/>
  <c r="C35" i="12"/>
  <c r="C33" i="12" s="1"/>
  <c r="C64" i="12" s="1"/>
  <c r="C102"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1" i="9"/>
  <c r="C20" i="9"/>
  <c r="C36" i="12" l="1"/>
  <c r="C37" i="12" s="1"/>
  <c r="B2" i="12" s="1"/>
  <c r="B5" i="12" s="1"/>
  <c r="C103" i="9"/>
  <c r="B3" i="40"/>
  <c r="B4" i="40"/>
  <c r="B5" i="40"/>
  <c r="C95" i="15"/>
  <c r="C94" i="15" s="1"/>
  <c r="D19" i="9"/>
  <c r="AO9" i="1"/>
  <c r="AO6" i="1"/>
  <c r="AO8" i="1"/>
  <c r="B4" i="12" l="1"/>
  <c r="I19" i="9"/>
  <c r="D22" i="9"/>
  <c r="D102" i="9"/>
  <c r="G19" i="9"/>
  <c r="B3" i="12"/>
  <c r="C65" i="12"/>
  <c r="B9" i="70"/>
  <c r="B8" i="70"/>
  <c r="B6" i="70"/>
  <c r="B3" i="15"/>
  <c r="D20" i="9"/>
  <c r="D21" i="9"/>
  <c r="G22" i="9" l="1"/>
  <c r="D14" i="74"/>
  <c r="G21" i="9"/>
  <c r="G20" i="9"/>
  <c r="C32" i="9" s="1"/>
  <c r="N117" i="9" s="1"/>
  <c r="H118" i="9" s="1"/>
  <c r="I4" i="52" s="1"/>
  <c r="D103" i="9"/>
  <c r="B2" i="70"/>
  <c r="B3" i="70" s="1"/>
  <c r="E14" i="74" l="1"/>
  <c r="B5" i="74"/>
  <c r="F14" i="74"/>
  <c r="C35" i="9"/>
  <c r="C34" i="9" s="1"/>
  <c r="L117" i="9" s="1"/>
  <c r="N119" i="9"/>
  <c r="I118" i="9" s="1"/>
  <c r="H101" i="9" s="1"/>
  <c r="H102" i="9"/>
  <c r="D7" i="53" s="1"/>
  <c r="B21" i="72" s="1"/>
  <c r="C105" i="9"/>
  <c r="M119" i="9"/>
  <c r="C5" i="74" l="1"/>
  <c r="D5" i="74"/>
  <c r="L119" i="9"/>
  <c r="E118" i="9" s="1"/>
  <c r="C104" i="9"/>
  <c r="M117" i="9"/>
  <c r="G118" i="9" s="1"/>
  <c r="F118" i="9" s="1"/>
  <c r="H4" i="52"/>
  <c r="H119" i="9"/>
  <c r="H5" i="52" s="1"/>
  <c r="D5" i="53"/>
  <c r="M48" i="9"/>
  <c r="H107" i="9"/>
  <c r="G14" i="74" s="1"/>
  <c r="B6" i="74" s="1"/>
  <c r="D45" i="9"/>
  <c r="D6" i="74" l="1"/>
  <c r="C6" i="74"/>
  <c r="H65" i="9"/>
  <c r="H64" i="9" s="1"/>
  <c r="H63" i="9" s="1"/>
  <c r="D53" i="9" s="1"/>
  <c r="C93" i="9" s="1"/>
  <c r="C64" i="9"/>
  <c r="C63" i="9" s="1"/>
  <c r="C67" i="9" s="1"/>
  <c r="C68" i="9" s="1"/>
  <c r="D52" i="9"/>
  <c r="D55" i="9"/>
  <c r="M53" i="9" s="1"/>
  <c r="D13" i="53"/>
  <c r="H108" i="9"/>
  <c r="D15" i="53" s="1"/>
  <c r="B31" i="72" s="1"/>
  <c r="M49" i="9"/>
  <c r="I20" i="9" s="1"/>
  <c r="H122" i="9"/>
  <c r="D6" i="53"/>
  <c r="B22" i="72" s="1"/>
  <c r="B20" i="72"/>
  <c r="D54" i="9"/>
  <c r="C85" i="9" l="1"/>
  <c r="D59" i="9"/>
  <c r="M55" i="9" s="1"/>
  <c r="H123" i="9"/>
  <c r="D9" i="52" s="1"/>
  <c r="D8" i="52"/>
  <c r="L63" i="9"/>
  <c r="M63" i="9" s="1"/>
  <c r="L64" i="9"/>
  <c r="M64" i="9" s="1"/>
  <c r="L67" i="9"/>
  <c r="M67" i="9" s="1"/>
  <c r="L68" i="9"/>
  <c r="M68" i="9" s="1"/>
  <c r="L66" i="9"/>
  <c r="M66" i="9" s="1"/>
  <c r="L65" i="9"/>
  <c r="M65" i="9" s="1"/>
  <c r="D14" i="53"/>
  <c r="B32" i="72" s="1"/>
  <c r="B30" i="72"/>
  <c r="C86" i="9"/>
  <c r="C95" i="9" s="1"/>
  <c r="C72" i="9"/>
  <c r="D56" i="9" s="1"/>
  <c r="C78" i="9"/>
  <c r="C73" i="9" s="1"/>
  <c r="D119" i="9"/>
  <c r="D5" i="52" s="1"/>
  <c r="B49" i="72" s="1"/>
  <c r="D4" i="52"/>
  <c r="B47" i="72" s="1"/>
  <c r="F119" i="9"/>
  <c r="F5" i="52" s="1"/>
  <c r="B53" i="72" s="1"/>
  <c r="F4" i="52"/>
  <c r="B51" i="72" s="1"/>
  <c r="M69" i="9" l="1"/>
  <c r="N69" i="9" s="1"/>
  <c r="C79" i="9"/>
  <c r="C96" i="9"/>
  <c r="E96" i="9" s="1"/>
  <c r="E97" i="9" s="1"/>
  <c r="G4" i="52"/>
  <c r="B52" i="72" s="1"/>
  <c r="D118" i="9"/>
  <c r="E4" i="52" s="1"/>
  <c r="B48" i="72" s="1"/>
  <c r="C97" i="9" l="1"/>
  <c r="D58" i="9" s="1"/>
  <c r="M54" i="9" s="1"/>
  <c r="N57" i="9" s="1"/>
  <c r="N59" i="9" s="1"/>
  <c r="N61" i="9" s="1"/>
  <c r="C80" i="9"/>
  <c r="E80" i="9" s="1"/>
  <c r="E81" i="9" s="1"/>
  <c r="N60" i="9" l="1"/>
  <c r="P57" i="9"/>
  <c r="N58" i="9"/>
  <c r="C81" i="9"/>
  <c r="J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<sst xmlns="http://schemas.openxmlformats.org/spreadsheetml/2006/main" count="11252" uniqueCount="4395">
  <si>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</si>
  <si>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</si>
  <si>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</si>
  <si>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</si>
  <si>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</si>
  <si>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</si>
  <si>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</si>
  <si>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</si>
  <si>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</si>
  <si>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</si>
  <si>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</si>
  <si>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</si>
  <si>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t>
    <phoneticPr fontId="19" type="noConversion"/>
  </si>
  <si>
    <t>100/</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</si>
  <si>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</si>
  <si>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</si>
  <si>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</si>
  <si>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</si>
  <si>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</si>
  <si>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</si>
  <si>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</si>
  <si>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</si>
  <si>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</si>
  <si>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</si>
  <si>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</si>
  <si>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</si>
  <si>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</si>
  <si>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</si>
  <si>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</si>
  <si>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</si>
  <si>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</si>
  <si>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</si>
  <si>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</si>
  <si>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</si>
  <si>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</si>
  <si>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</si>
  <si>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</si>
  <si>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</si>
  <si>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</si>
  <si>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</si>
  <si>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</si>
  <si>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</si>
  <si>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</si>
  <si>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</si>
  <si>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</si>
  <si>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</si>
  <si>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</si>
  <si>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</si>
  <si>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</si>
  <si>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</si>
  <si>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</si>
  <si>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</si>
  <si>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</si>
  <si>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</si>
  <si>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</si>
  <si>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</si>
  <si>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</si>
  <si>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</si>
  <si>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</si>
  <si>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</si>
  <si>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</si>
  <si>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</si>
  <si>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</si>
  <si>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</si>
  <si>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</si>
  <si>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</si>
  <si>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</si>
  <si>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</si>
  <si>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</si>
  <si>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</si>
  <si>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</si>
  <si>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</si>
  <si>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</si>
  <si>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</si>
  <si>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</si>
  <si>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</si>
  <si>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</si>
  <si>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</si>
  <si>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</si>
  <si>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</si>
  <si>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</si>
  <si>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</si>
  <si>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</si>
  <si>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</si>
  <si>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</si>
  <si>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</si>
  <si>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</si>
  <si>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</si>
  <si>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</si>
  <si>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</si>
  <si>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</si>
  <si>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</si>
  <si>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</si>
  <si>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</si>
  <si>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</si>
  <si>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</si>
  <si>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</si>
  <si>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</si>
  <si>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</si>
  <si>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</si>
  <si>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</si>
  <si>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</si>
  <si>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</si>
  <si>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</si>
  <si>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</si>
  <si>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</si>
  <si>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</si>
  <si>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</si>
  <si>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</si>
  <si>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</si>
  <si>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</si>
  <si>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</si>
  <si>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</si>
  <si>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</si>
  <si>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</si>
  <si>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</si>
  <si>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</si>
  <si>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</si>
  <si>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</si>
  <si>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</si>
  <si>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</si>
  <si>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</si>
  <si>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</si>
  <si>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</si>
  <si>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</si>
  <si>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</si>
  <si>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</si>
  <si>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</si>
  <si>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</si>
  <si>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</si>
  <si>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</si>
  <si>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</si>
  <si>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</si>
  <si>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</si>
  <si>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</si>
  <si>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</si>
  <si>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</si>
  <si>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</si>
  <si>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</si>
  <si>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</si>
  <si>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</si>
  <si>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</si>
  <si>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</si>
  <si>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</si>
  <si>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</si>
  <si>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</si>
  <si>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</si>
  <si>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</si>
  <si>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</si>
  <si>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</si>
  <si>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</si>
  <si>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</si>
  <si>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</si>
  <si>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</si>
  <si>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</si>
  <si>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</si>
  <si>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</si>
  <si>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</si>
  <si>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</si>
  <si>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</si>
  <si>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</si>
  <si>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</si>
  <si>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</si>
  <si>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</si>
  <si>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</si>
  <si>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</si>
  <si>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</si>
  <si>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</si>
  <si>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</si>
  <si>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</si>
  <si>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</si>
  <si>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</si>
  <si>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</si>
  <si>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</si>
  <si>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</si>
  <si>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</si>
  <si>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</si>
  <si>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</si>
  <si>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</si>
  <si>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</si>
  <si>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</si>
  <si>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</si>
  <si>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</si>
  <si>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</si>
  <si>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</si>
  <si>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</si>
  <si>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</si>
  <si>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</si>
  <si>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</si>
  <si>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</si>
  <si>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</si>
  <si>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</si>
  <si>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</si>
  <si>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</si>
  <si>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</si>
  <si>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</si>
  <si>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</si>
  <si>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</si>
  <si>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</si>
  <si>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</si>
  <si>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</si>
  <si>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</si>
  <si>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</si>
  <si>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</si>
  <si>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</si>
  <si>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</si>
  <si>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</si>
  <si>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</si>
  <si>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</si>
  <si>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</si>
  <si>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</si>
  <si>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</si>
  <si>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</si>
  <si>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</si>
  <si>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</si>
  <si>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</si>
  <si>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</si>
  <si>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</si>
  <si>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</si>
  <si>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</si>
  <si>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</si>
  <si>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</si>
  <si>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</si>
  <si>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</si>
  <si>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</si>
  <si>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</si>
  <si>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</si>
  <si>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</si>
  <si>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</si>
  <si>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</si>
  <si>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</si>
  <si>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</si>
  <si>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</si>
  <si>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</si>
  <si>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</si>
  <si>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</si>
  <si>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</si>
  <si>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</si>
  <si>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</si>
  <si>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</si>
  <si>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</si>
  <si>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</si>
  <si>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</si>
  <si>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</si>
  <si>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</si>
  <si>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</si>
  <si>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</si>
  <si>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</si>
  <si>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</si>
  <si>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</si>
  <si>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</si>
  <si>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</si>
  <si>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</si>
  <si>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</si>
  <si>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</si>
  <si>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</si>
  <si>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</si>
  <si>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</si>
  <si>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</si>
  <si>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</si>
  <si>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</si>
  <si>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</si>
  <si>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</si>
  <si>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</si>
  <si>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</si>
  <si>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</si>
  <si>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</si>
  <si>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</si>
  <si>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</si>
  <si>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</si>
  <si>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</si>
  <si>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</si>
  <si>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</si>
  <si>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</si>
  <si>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</si>
  <si>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</si>
  <si>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</si>
  <si>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</si>
  <si>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</si>
  <si>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</si>
  <si>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</si>
  <si>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</si>
  <si>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</si>
  <si>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</si>
  <si>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</si>
  <si>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</si>
  <si>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</si>
  <si>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</si>
  <si>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</si>
  <si>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</si>
  <si>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</si>
  <si>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</si>
  <si>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</si>
  <si>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</si>
  <si>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</si>
  <si>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</si>
  <si>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</si>
  <si>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</si>
  <si>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</si>
  <si>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</si>
  <si>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</si>
  <si>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</si>
  <si>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</si>
  <si>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</si>
  <si>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</si>
  <si>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</si>
  <si>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</si>
  <si>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</si>
  <si>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</si>
  <si>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</si>
  <si>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</si>
  <si>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</si>
  <si>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</si>
  <si>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</si>
  <si>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</si>
  <si>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</si>
  <si>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</si>
  <si>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</si>
  <si>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</si>
  <si>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</si>
  <si>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</si>
  <si>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</si>
  <si>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</si>
  <si>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</si>
  <si>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</si>
  <si>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</si>
  <si>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</si>
  <si>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</si>
  <si>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</si>
  <si>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</si>
  <si>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</si>
  <si>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</si>
  <si>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</si>
  <si>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</si>
  <si>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</si>
  <si>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</si>
  <si>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</si>
  <si>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</si>
  <si>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</si>
  <si>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</si>
  <si>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</si>
  <si>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</si>
  <si>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</si>
  <si>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</si>
  <si>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</si>
  <si>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</si>
  <si>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</si>
  <si>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</si>
  <si>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</si>
  <si>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</si>
  <si>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</si>
  <si>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</si>
  <si>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</si>
  <si>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</si>
  <si>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</si>
  <si>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</si>
  <si>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</si>
  <si>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</si>
  <si>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</si>
  <si>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</si>
  <si>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</si>
  <si>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</si>
  <si>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</si>
  <si>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</si>
  <si>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</si>
  <si>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</si>
  <si>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</si>
  <si>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</si>
  <si>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</si>
  <si>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</si>
  <si>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</si>
  <si>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</si>
  <si>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</si>
  <si>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</si>
  <si>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</si>
  <si>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</si>
  <si>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</si>
  <si>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</si>
  <si>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</si>
  <si>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</si>
  <si>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</si>
  <si>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</si>
  <si>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</si>
  <si>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</si>
  <si>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</si>
  <si>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</si>
  <si>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</si>
  <si>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</si>
  <si>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</si>
  <si>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</si>
  <si>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</si>
  <si>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</si>
  <si>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</si>
  <si>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</si>
  <si>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</si>
  <si>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</si>
  <si>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</si>
  <si>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</si>
  <si>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</si>
  <si>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</si>
  <si>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</si>
  <si>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</si>
  <si>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</si>
  <si>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</si>
  <si>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</si>
  <si>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</si>
  <si>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</si>
  <si>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</si>
  <si>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</si>
  <si>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</si>
  <si>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</si>
  <si>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</si>
  <si>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</si>
  <si>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</si>
  <si>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</si>
  <si>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</si>
  <si>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</si>
  <si>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</si>
  <si>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</si>
  <si>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</si>
  <si>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</si>
  <si>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</si>
  <si>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</si>
  <si>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</si>
  <si>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</si>
  <si>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</si>
  <si>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</si>
  <si>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</si>
  <si>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</si>
  <si>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</si>
  <si>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</si>
  <si>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</si>
  <si>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</si>
  <si>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</si>
  <si>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</si>
  <si>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</si>
  <si>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</si>
  <si>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</si>
  <si>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</si>
  <si>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</si>
  <si>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</si>
  <si>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</si>
  <si>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</si>
  <si>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</si>
  <si>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</si>
  <si>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</si>
  <si>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</si>
  <si>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</si>
  <si>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</si>
  <si>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</si>
  <si>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</si>
  <si>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</si>
  <si>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</si>
  <si>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</si>
  <si>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</si>
  <si>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</si>
  <si>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</si>
  <si>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</si>
  <si>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</si>
  <si>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</si>
  <si>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</si>
  <si>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</si>
  <si>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</si>
  <si>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</si>
  <si>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</si>
  <si>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</si>
  <si>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</si>
  <si>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</si>
  <si>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</si>
  <si>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</si>
  <si>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</si>
  <si>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</si>
  <si>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</si>
  <si>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</si>
  <si>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</si>
  <si>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</si>
  <si>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</si>
  <si>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</si>
  <si>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</si>
  <si>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</si>
  <si>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</si>
  <si>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</si>
  <si>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</si>
  <si>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</si>
  <si>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</si>
  <si>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</si>
  <si>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</si>
  <si>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</si>
  <si>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</si>
  <si>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</si>
  <si>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</si>
  <si>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</si>
  <si>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</si>
  <si>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</si>
  <si>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</si>
  <si>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</si>
  <si>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</si>
  <si>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</si>
  <si>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</si>
  <si>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</si>
  <si>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</si>
  <si>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</si>
  <si>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</si>
  <si>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</si>
  <si>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</si>
  <si>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</si>
  <si>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</si>
  <si>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</si>
  <si>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</si>
  <si>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</si>
  <si>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</si>
  <si>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</si>
  <si>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</si>
  <si>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</si>
  <si>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</si>
  <si>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</si>
  <si>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</si>
  <si>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</si>
  <si>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</si>
  <si>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</si>
  <si>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</si>
  <si>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</si>
  <si>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</si>
  <si>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</si>
  <si>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</si>
  <si>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</si>
  <si>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</si>
  <si>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</si>
  <si>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</si>
  <si>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7"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</si>
  <si>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</si>
  <si>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</si>
  <si>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</si>
  <si>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</si>
  <si>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</si>
  <si>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</si>
  <si>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</si>
  <si>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</si>
  <si>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</si>
  <si>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</si>
  <si>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</si>
  <si>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</si>
  <si>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</si>
  <si>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</si>
  <si>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</si>
  <si>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</si>
  <si>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</si>
  <si>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</si>
  <si>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</si>
  <si>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</si>
  <si>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</si>
  <si>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</si>
  <si>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</si>
  <si>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</si>
  <si>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</si>
  <si>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</si>
  <si>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</si>
  <si>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</si>
  <si>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</si>
  <si>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</si>
  <si>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</si>
  <si>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</si>
  <si>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</si>
  <si>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</si>
  <si>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</si>
  <si>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</si>
  <si>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</si>
  <si>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</si>
  <si>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</si>
  <si>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</si>
  <si>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</si>
  <si>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</si>
  <si>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</si>
  <si>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</si>
  <si>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</si>
  <si>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</si>
  <si>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</si>
  <si>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</si>
  <si>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</si>
  <si>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</si>
  <si>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</si>
  <si>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</si>
  <si>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</si>
  <si>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</si>
  <si>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</si>
  <si>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</si>
  <si>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</si>
  <si>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</si>
  <si>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</si>
  <si>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</si>
  <si>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</si>
  <si>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</si>
  <si>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7"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</si>
  <si>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</si>
  <si>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</si>
  <si>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</si>
  <si>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</si>
  <si>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</si>
  <si>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</si>
  <si>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</si>
  <si>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</si>
  <si>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</si>
  <si>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</si>
  <si>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</si>
  <si>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</si>
  <si>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</si>
  <si>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</si>
  <si>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</si>
  <si>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</si>
  <si>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</si>
  <si>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</si>
  <si>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</si>
  <si>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</si>
  <si>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</si>
  <si>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</si>
  <si>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</si>
  <si>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</si>
  <si>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</si>
  <si>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</si>
  <si>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</si>
  <si>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</si>
  <si>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</si>
  <si>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</si>
  <si>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</si>
  <si>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</si>
  <si>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</si>
  <si>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</si>
  <si>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</si>
  <si>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</si>
  <si>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</si>
  <si>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</si>
  <si>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</si>
  <si>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</si>
  <si>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</si>
  <si>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</si>
  <si>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</si>
  <si>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</si>
  <si>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</si>
  <si>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</si>
  <si>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</si>
  <si>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</si>
  <si>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</si>
  <si>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</si>
  <si>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</si>
  <si>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</si>
  <si>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</si>
  <si>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</si>
  <si>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</si>
  <si>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</si>
  <si>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</si>
  <si>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</si>
  <si>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</si>
  <si>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</si>
  <si>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</si>
  <si>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</si>
  <si>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</si>
  <si>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</si>
  <si>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</si>
  <si>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</si>
  <si>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</si>
  <si>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</si>
  <si>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</si>
  <si>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</si>
  <si>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</si>
  <si>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</si>
  <si>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</si>
  <si>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</si>
  <si>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</si>
  <si>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</si>
  <si>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</si>
  <si>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</si>
  <si>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</si>
  <si>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</si>
  <si>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</si>
  <si>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</si>
  <si>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</si>
  <si>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</si>
  <si>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</si>
  <si>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</si>
  <si>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</si>
  <si>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</si>
  <si>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</si>
  <si>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</si>
  <si>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</si>
  <si>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</si>
  <si>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</si>
  <si>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</si>
  <si>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</si>
  <si>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</si>
  <si>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</si>
  <si>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</si>
  <si>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</si>
  <si>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</si>
  <si>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</si>
  <si>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</si>
  <si>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</si>
  <si>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</si>
  <si>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</si>
  <si>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</si>
  <si>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</si>
  <si>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</si>
  <si>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</si>
  <si>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</si>
  <si>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</si>
  <si>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</si>
  <si>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</si>
  <si>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</si>
  <si>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</si>
  <si>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</si>
  <si>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</si>
  <si>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</si>
  <si>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</si>
  <si>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</si>
  <si>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</si>
  <si>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</si>
  <si>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</si>
  <si>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</si>
  <si>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</si>
  <si>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</si>
  <si>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</si>
  <si>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</si>
  <si>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</si>
  <si>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</si>
  <si>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</si>
  <si>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</si>
  <si>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</si>
  <si>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</si>
  <si>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</si>
  <si>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</si>
  <si>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</si>
  <si>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</si>
  <si>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</si>
  <si>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</si>
  <si>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</si>
  <si>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</si>
  <si>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</si>
  <si>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</si>
  <si>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</si>
  <si>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</si>
  <si>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</si>
  <si>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</si>
  <si>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</si>
  <si>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</si>
  <si>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</si>
  <si>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</si>
  <si>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</si>
  <si>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</si>
  <si>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</si>
  <si>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</si>
  <si>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</si>
  <si>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</si>
  <si>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</si>
  <si>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</si>
  <si>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</si>
  <si>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</si>
  <si>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</si>
  <si>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</si>
  <si>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</si>
  <si>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</si>
  <si>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</si>
  <si>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</si>
  <si>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</si>
  <si>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</si>
  <si>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</si>
  <si>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</si>
  <si>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</si>
  <si>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</si>
  <si>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</si>
  <si>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</si>
  <si>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</si>
  <si>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</si>
  <si>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</si>
  <si>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</si>
  <si>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</si>
  <si>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</si>
  <si>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</si>
  <si>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</si>
  <si>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</si>
  <si>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</si>
  <si>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</si>
  <si>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</si>
  <si>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</si>
  <si>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</si>
  <si>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</si>
  <si>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</si>
  <si>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</si>
  <si>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</si>
  <si>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</si>
  <si>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</si>
  <si>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</si>
  <si>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</si>
  <si>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</si>
  <si>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</si>
  <si>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</si>
  <si>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</si>
  <si>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</si>
  <si>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</si>
  <si>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</si>
  <si>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</si>
  <si>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</si>
  <si>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</si>
  <si>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</si>
  <si>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</si>
  <si>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</si>
  <si>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</si>
  <si>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</si>
  <si>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</si>
  <si>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</si>
  <si>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</si>
  <si>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</si>
  <si>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</si>
  <si>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</si>
  <si>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</si>
  <si>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</si>
  <si>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</si>
  <si>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</si>
  <si>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</si>
  <si>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</si>
  <si>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</si>
  <si>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</si>
  <si>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</si>
  <si>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</si>
  <si>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</si>
  <si>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</si>
  <si>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</si>
  <si>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</si>
  <si>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</si>
  <si>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</si>
  <si>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</si>
  <si>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</si>
  <si>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</si>
  <si>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</si>
  <si>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</si>
  <si>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</si>
  <si>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</si>
  <si>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</si>
  <si>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</si>
  <si>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</si>
  <si>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</si>
  <si>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</si>
  <si>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</si>
  <si>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</si>
  <si>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</si>
  <si>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</si>
  <si>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</si>
  <si>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</si>
  <si>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</si>
  <si>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</si>
  <si>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</si>
  <si>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</si>
  <si>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</si>
  <si>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</si>
  <si>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</si>
  <si>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</si>
  <si>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</si>
  <si>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</si>
  <si>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</si>
  <si>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</si>
  <si>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</si>
  <si>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</si>
  <si>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</si>
  <si>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</si>
  <si>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</si>
  <si>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</si>
  <si>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</si>
  <si>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</si>
  <si>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</si>
  <si>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</si>
  <si>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</si>
  <si>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</si>
  <si>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</si>
  <si>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</si>
  <si>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</si>
  <si>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</si>
  <si>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</si>
  <si>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</si>
  <si>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</si>
  <si>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</si>
  <si>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</si>
  <si>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</si>
  <si>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</si>
  <si>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</si>
  <si>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</si>
  <si>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</si>
  <si>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</si>
  <si>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</si>
  <si>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</si>
  <si>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</si>
  <si>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</si>
  <si>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</si>
  <si>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</si>
  <si>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</si>
  <si>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</si>
  <si>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</si>
  <si>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</si>
  <si>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</si>
  <si>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</si>
  <si>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</si>
  <si>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</si>
  <si>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</si>
  <si>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</si>
  <si>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</si>
  <si>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</si>
  <si>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</si>
  <si>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</si>
  <si>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</si>
  <si>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</si>
  <si>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</si>
  <si>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</si>
  <si>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</si>
  <si>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</si>
  <si>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</si>
  <si>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</si>
  <si>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</si>
  <si>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</si>
  <si>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</si>
  <si>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</si>
  <si>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</si>
  <si>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</si>
  <si>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</si>
  <si>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</si>
  <si>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</si>
  <si>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</si>
  <si>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</si>
  <si>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</si>
  <si>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</si>
  <si>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</si>
  <si>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</si>
  <si>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</si>
  <si>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</si>
  <si>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</si>
  <si>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</si>
  <si>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</si>
  <si>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</si>
  <si>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</si>
  <si>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</si>
  <si>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</si>
  <si>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</si>
  <si>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</si>
  <si>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</si>
  <si>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</si>
  <si>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</si>
  <si>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</si>
  <si>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</si>
  <si>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</si>
  <si>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</si>
  <si>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</si>
  <si>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</si>
  <si>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</si>
  <si>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</si>
  <si>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</si>
  <si>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</si>
  <si>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</si>
  <si>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</si>
  <si>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</si>
  <si>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</si>
  <si>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</si>
  <si>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</si>
  <si>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</si>
  <si>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</si>
  <si>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</si>
  <si>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</si>
  <si>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</si>
  <si>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</si>
  <si>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</si>
  <si>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</si>
  <si>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</si>
  <si>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</si>
  <si>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</si>
  <si>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</si>
  <si>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</si>
  <si>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</si>
  <si>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</si>
  <si>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</si>
  <si>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</si>
  <si>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</si>
  <si>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</si>
  <si>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</si>
  <si>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</si>
  <si>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</si>
  <si>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</si>
  <si>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</si>
  <si>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</si>
  <si>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</si>
  <si>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</si>
  <si>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</si>
  <si>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</si>
  <si>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</si>
  <si>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</si>
  <si>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</si>
  <si>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</si>
  <si>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</si>
  <si>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</si>
  <si>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</si>
  <si>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</si>
  <si>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</si>
  <si>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</si>
  <si>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</si>
  <si>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</si>
  <si>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</si>
  <si>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</si>
  <si>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</si>
  <si>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</si>
  <si>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</si>
  <si>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</si>
  <si>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</si>
  <si>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</si>
  <si>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</si>
  <si>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</si>
  <si>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</si>
  <si>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</si>
  <si>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</si>
  <si>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</si>
  <si>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</si>
  <si>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</si>
  <si>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</si>
  <si>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</si>
  <si>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</si>
  <si>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</si>
  <si>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</si>
  <si>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</si>
  <si>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</si>
  <si>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</si>
  <si>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</si>
  <si>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</si>
  <si>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</si>
  <si>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</si>
  <si>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</si>
  <si>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</si>
  <si>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</si>
  <si>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</si>
  <si>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</si>
  <si>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</si>
  <si>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</si>
  <si>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</si>
  <si>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</si>
  <si>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</si>
  <si>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</si>
  <si>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</si>
  <si>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</si>
  <si>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</si>
  <si>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</si>
  <si>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</si>
  <si>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</si>
  <si>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</si>
  <si>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</si>
  <si>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</si>
  <si>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</si>
  <si>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</si>
  <si>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</si>
  <si>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</si>
  <si>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</si>
  <si>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</si>
  <si>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</si>
  <si>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</si>
  <si>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</si>
  <si>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</si>
  <si>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</si>
  <si>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</si>
  <si>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</si>
  <si>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</si>
  <si>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</si>
  <si>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</si>
  <si>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</si>
  <si>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</si>
  <si>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</si>
  <si>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</si>
  <si>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</si>
  <si>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</si>
  <si>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</si>
  <si>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</si>
  <si>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</si>
  <si>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</si>
  <si>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</si>
  <si>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</si>
  <si>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</si>
  <si>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</si>
  <si>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</si>
  <si>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</si>
  <si>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</si>
  <si>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</si>
  <si>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</si>
  <si>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</si>
  <si>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</si>
  <si>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</si>
  <si>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</si>
  <si>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</si>
  <si>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</si>
  <si>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</si>
  <si>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</si>
  <si>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</si>
  <si>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</si>
  <si>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</si>
  <si>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</si>
  <si>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</si>
  <si>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</si>
  <si>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</si>
  <si>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</si>
  <si>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</si>
  <si>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</si>
  <si>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</si>
  <si>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</si>
  <si>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</si>
  <si>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</si>
  <si>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</si>
  <si>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</si>
  <si>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</si>
  <si>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</si>
  <si>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</si>
  <si>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</si>
  <si>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</si>
  <si>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</si>
  <si>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</si>
  <si>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</si>
  <si>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</si>
  <si>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</si>
  <si>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</si>
  <si>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</si>
  <si>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</si>
  <si>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</si>
  <si>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</si>
  <si>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</si>
  <si>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</si>
  <si>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</si>
  <si>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</si>
  <si>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</si>
  <si>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</si>
  <si>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</si>
  <si>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</si>
  <si>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</si>
  <si>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</si>
  <si>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</si>
  <si>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</si>
  <si>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</si>
  <si>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</si>
  <si>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</si>
  <si>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</si>
  <si>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</si>
  <si>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</si>
  <si>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</si>
  <si>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</si>
  <si>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</si>
  <si>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</si>
  <si>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</si>
  <si>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</si>
  <si>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</si>
  <si>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</si>
  <si>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</si>
  <si>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</si>
  <si>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</si>
  <si>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</si>
  <si>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</si>
  <si>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</si>
  <si>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</si>
  <si>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</si>
  <si>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</si>
  <si>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</si>
  <si>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</si>
  <si>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</si>
  <si>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</si>
  <si>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</si>
  <si>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</si>
  <si>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</si>
  <si>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</si>
  <si>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</si>
  <si>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</si>
  <si>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</si>
  <si>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</si>
  <si>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</si>
  <si>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</si>
  <si>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</si>
  <si>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</si>
  <si>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</si>
  <si>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</si>
  <si>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</si>
  <si>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</si>
  <si>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</si>
  <si>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</si>
  <si>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</si>
  <si>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</si>
  <si>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</si>
  <si>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</si>
  <si>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</si>
  <si>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</si>
  <si>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</si>
  <si>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</si>
  <si>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</si>
  <si>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</si>
  <si>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</si>
  <si>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</si>
  <si>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</si>
  <si>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</si>
  <si>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</si>
  <si>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</si>
  <si>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</si>
  <si>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</si>
  <si>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</si>
  <si>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</si>
  <si>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</si>
  <si>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</si>
  <si>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</si>
  <si>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</si>
  <si>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</si>
  <si>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</si>
  <si>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</si>
  <si>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</si>
  <si>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</si>
  <si>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</si>
  <si>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</si>
  <si>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</si>
  <si>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</si>
  <si>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</si>
  <si>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</si>
  <si>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</si>
  <si>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</si>
  <si>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</si>
  <si>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</si>
  <si>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</si>
  <si>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</si>
  <si>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</si>
  <si>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</si>
  <si>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</si>
  <si>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</si>
  <si>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</si>
  <si>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</si>
  <si>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</si>
  <si>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</si>
  <si>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</si>
  <si>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</si>
  <si>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</si>
  <si>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</si>
  <si>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</si>
  <si>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</si>
  <si>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</si>
  <si>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</si>
  <si>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</si>
  <si>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</si>
  <si>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</si>
  <si>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</si>
  <si>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</si>
  <si>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</si>
  <si>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</si>
  <si>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</si>
  <si>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</si>
  <si>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</si>
  <si>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</si>
  <si>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</si>
  <si>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</si>
  <si>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</si>
  <si>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</si>
  <si>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</si>
  <si>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</si>
  <si>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</si>
  <si>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</si>
  <si>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</si>
  <si>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</si>
  <si>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</si>
  <si>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</si>
  <si>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</si>
  <si>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</si>
  <si>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</si>
  <si>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</si>
  <si>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</si>
  <si>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</si>
  <si>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</si>
  <si>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</si>
  <si>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</si>
  <si>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</si>
  <si>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</si>
  <si>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</si>
  <si>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</si>
  <si>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</si>
  <si>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</si>
  <si>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</si>
  <si>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</si>
  <si>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</si>
  <si>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</si>
  <si>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</si>
  <si>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</si>
  <si>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</si>
  <si>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</si>
  <si>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</si>
  <si>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</si>
  <si>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</si>
  <si>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</si>
  <si>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</si>
  <si>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</si>
  <si>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</si>
  <si>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</si>
  <si>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</si>
  <si>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</si>
  <si>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</si>
  <si>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</si>
  <si>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</si>
  <si>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</si>
  <si>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</si>
  <si>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</si>
  <si>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</si>
  <si>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</si>
  <si>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</si>
  <si>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</si>
  <si>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</si>
  <si>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</si>
  <si>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</si>
  <si>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</si>
  <si>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</si>
  <si>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</si>
  <si>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</si>
  <si>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</si>
  <si>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</si>
  <si>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</si>
  <si>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</si>
  <si>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</si>
  <si>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</si>
  <si>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</si>
  <si>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</si>
  <si>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</si>
  <si>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</si>
  <si>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</si>
  <si>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</si>
  <si>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</si>
  <si>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</si>
  <si>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</si>
  <si>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</si>
  <si>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</si>
  <si>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</si>
  <si>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</si>
  <si>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</si>
  <si>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</si>
  <si>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</si>
  <si>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</si>
  <si>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</si>
  <si>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</si>
  <si>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</si>
  <si>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</si>
  <si>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</si>
  <si>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</si>
  <si>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</si>
  <si>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</si>
  <si>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</si>
  <si>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</si>
  <si>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</si>
  <si>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</si>
  <si>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</si>
  <si>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</si>
  <si>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</si>
  <si>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</si>
  <si>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</si>
  <si>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</si>
  <si>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</si>
  <si>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</si>
  <si>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</si>
  <si>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</si>
  <si>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</si>
  <si>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</si>
  <si>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</si>
  <si>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</si>
  <si>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</si>
  <si>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</si>
  <si>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</si>
  <si>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</si>
  <si>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</si>
  <si>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</si>
  <si>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</si>
  <si>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</si>
  <si>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</si>
  <si>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</si>
  <si>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</si>
  <si>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</si>
  <si>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</si>
  <si>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</si>
  <si>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</si>
  <si>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</si>
  <si>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</si>
  <si>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</si>
  <si>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</si>
  <si>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</si>
  <si>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</si>
  <si>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</si>
  <si>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</si>
  <si>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</si>
  <si>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</si>
  <si>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</si>
  <si>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</si>
  <si>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</si>
  <si>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</si>
  <si>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</si>
  <si>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</si>
  <si>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</si>
  <si>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</si>
  <si>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</si>
  <si>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</si>
  <si>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</si>
  <si>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</si>
  <si>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</si>
  <si>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</si>
  <si>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</si>
  <si>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</si>
  <si>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</si>
  <si>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</si>
  <si>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</si>
  <si>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</si>
  <si>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</si>
  <si>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</si>
  <si>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</si>
  <si>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</si>
  <si>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</si>
  <si>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</si>
  <si>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</si>
  <si>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</si>
  <si>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</si>
  <si>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</si>
  <si>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</si>
  <si>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</si>
  <si>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</si>
  <si>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</si>
  <si>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</si>
  <si>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</si>
  <si>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</si>
  <si>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</si>
  <si>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</si>
  <si>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</si>
  <si>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</si>
  <si>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</si>
  <si>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</si>
  <si>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</si>
  <si>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</si>
  <si>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</si>
  <si>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</si>
  <si>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</si>
  <si>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</si>
  <si>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</si>
  <si>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</si>
  <si>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</si>
  <si>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</si>
  <si>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</si>
  <si>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</si>
  <si>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</si>
  <si>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</si>
  <si>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</si>
  <si>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</si>
  <si>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</si>
  <si>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</si>
  <si>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</si>
  <si>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</si>
  <si>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</si>
  <si>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</si>
  <si>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</si>
  <si>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</si>
  <si>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</si>
  <si>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</si>
  <si>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</si>
  <si>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</si>
  <si>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t>2</t>
    </r>
    <r>
      <rPr>
        <sz val="10"/>
        <rFont val="宋体"/>
        <family val="3"/>
        <charset val="134"/>
      </rPr>
      <t>）</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</si>
  <si>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</si>
  <si>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</si>
  <si>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</si>
  <si>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</si>
  <si>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</si>
  <si>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</si>
  <si>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</si>
  <si>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</si>
  <si>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</si>
  <si>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</si>
  <si>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</si>
  <si>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</si>
  <si>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</si>
  <si>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</si>
  <si>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</si>
  <si>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</si>
  <si>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</si>
  <si>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</si>
  <si>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</si>
  <si>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</si>
  <si>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</si>
  <si>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</si>
  <si>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</si>
  <si>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</si>
  <si>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</si>
  <si>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</si>
  <si>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</si>
  <si>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</si>
  <si>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</si>
  <si>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</si>
  <si>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</si>
  <si>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</si>
  <si>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</si>
  <si>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</si>
  <si>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</si>
  <si>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</si>
  <si>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</si>
  <si>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</si>
  <si>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</si>
  <si>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</si>
  <si>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</si>
  <si>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</si>
  <si>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</si>
  <si>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</si>
  <si>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</si>
  <si>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</si>
  <si>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</si>
  <si>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</si>
  <si>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</si>
  <si>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</si>
  <si>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</si>
  <si>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</si>
  <si>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</si>
  <si>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</si>
  <si>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</si>
  <si>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</si>
  <si>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</si>
  <si>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</si>
  <si>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</si>
  <si>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</si>
  <si>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</si>
  <si>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</si>
  <si>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</si>
  <si>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</si>
  <si>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</si>
  <si>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</si>
  <si>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</si>
  <si>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</si>
  <si>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</si>
  <si>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</si>
  <si>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</si>
  <si>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</si>
  <si>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</si>
  <si>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</si>
  <si>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</si>
  <si>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</si>
  <si>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</si>
  <si>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</si>
  <si>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</si>
  <si>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</si>
  <si>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</si>
  <si>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</si>
  <si>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</si>
  <si>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</si>
  <si>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</si>
  <si>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</si>
  <si>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</si>
  <si>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</si>
  <si>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</si>
  <si>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</si>
  <si>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</si>
  <si>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</si>
  <si>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</si>
  <si>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</si>
  <si>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</si>
  <si>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</si>
  <si>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</si>
  <si>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</si>
  <si>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取得税费</t>
    </r>
    <phoneticPr fontId="19" type="noConversion"/>
  </si>
  <si>
    <r>
      <rPr>
        <sz val="10"/>
        <color indexed="8"/>
        <rFont val="宋体"/>
        <family val="3"/>
        <charset val="134"/>
      </rPr>
      <t>估价对象及取得税费产生的利息</t>
    </r>
    <phoneticPr fontId="19"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</si>
  <si>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</si>
  <si>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</si>
  <si>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</si>
  <si>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b/>
        <sz val="11"/>
        <color indexed="8"/>
        <rFont val="宋体"/>
        <family val="3"/>
        <charset val="134"/>
      </rPr>
      <t>销售税费</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</si>
  <si>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</si>
  <si>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</si>
  <si>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</si>
  <si>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</si>
  <si>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</si>
  <si>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</si>
  <si>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</si>
  <si>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</si>
  <si>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</si>
  <si>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</si>
  <si>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</si>
  <si>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</si>
  <si>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</si>
  <si>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</si>
  <si>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</si>
  <si>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</si>
  <si>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</si>
  <si>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</si>
  <si>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</si>
  <si>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</si>
  <si>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</si>
  <si>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</si>
  <si>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</si>
  <si>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</si>
  <si>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</si>
  <si>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</si>
  <si>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</si>
  <si>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</si>
  <si>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</si>
  <si>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</si>
  <si>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</si>
  <si>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</si>
  <si>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</si>
  <si>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</si>
  <si>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</si>
  <si>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</si>
  <si>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</si>
  <si>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</si>
  <si>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</si>
  <si>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</si>
  <si>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</si>
  <si>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</si>
  <si>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</si>
  <si>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</si>
  <si>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</si>
  <si>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</si>
  <si>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</si>
  <si>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</si>
  <si>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</si>
  <si>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</si>
  <si>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</si>
  <si>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</si>
  <si>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</si>
  <si>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</si>
  <si>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</si>
  <si>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</si>
  <si>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</si>
  <si>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</si>
  <si>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</si>
  <si>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</si>
  <si>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</si>
  <si>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</si>
  <si>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</si>
  <si>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</si>
  <si>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</si>
  <si>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</si>
  <si>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</si>
  <si>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</si>
  <si>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</si>
  <si>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</si>
  <si>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</si>
  <si>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</si>
  <si>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</si>
  <si>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</si>
  <si>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</si>
  <si>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</si>
  <si>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</si>
  <si>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</si>
  <si>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</si>
  <si>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</si>
  <si>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</si>
  <si>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</si>
  <si>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</si>
  <si>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</si>
  <si>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</si>
  <si>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</si>
  <si>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</si>
  <si>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</si>
  <si>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</si>
  <si>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</si>
  <si>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</si>
  <si>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</si>
  <si>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</si>
  <si>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</si>
  <si>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</si>
  <si>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</si>
  <si>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</si>
  <si>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</si>
  <si>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</si>
  <si>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</si>
  <si>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</si>
  <si>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</si>
  <si>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</si>
  <si>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</si>
  <si>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</si>
  <si>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</si>
  <si>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</si>
  <si>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</si>
  <si>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</si>
  <si>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</si>
  <si>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</si>
  <si>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</si>
  <si>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</si>
  <si>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</si>
  <si>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</si>
  <si>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</si>
  <si>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</si>
  <si>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</si>
  <si>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</si>
  <si>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</si>
  <si>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</si>
  <si>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</si>
  <si>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</si>
  <si>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</si>
  <si>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</si>
  <si>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</si>
  <si>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</si>
  <si>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</si>
  <si>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</si>
  <si>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</si>
  <si>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</si>
  <si>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</si>
  <si>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</si>
  <si>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</si>
  <si>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</si>
  <si>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</si>
  <si>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</si>
  <si>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</si>
  <si>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</si>
  <si>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</si>
  <si>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</si>
  <si>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</si>
  <si>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</si>
  <si>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</si>
  <si>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</si>
  <si>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</si>
  <si>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</si>
  <si>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</si>
  <si>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</si>
  <si>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</si>
  <si>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</si>
  <si>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</si>
  <si>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</si>
  <si>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</si>
  <si>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</si>
  <si>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</si>
  <si>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</si>
  <si>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</si>
  <si>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</si>
  <si>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</si>
  <si>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</si>
  <si>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</si>
  <si>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</si>
  <si>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</si>
  <si>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</si>
  <si>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</si>
  <si>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</si>
  <si>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</si>
  <si>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</si>
  <si>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</si>
  <si>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</si>
  <si>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</si>
  <si>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</si>
  <si>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</si>
  <si>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</si>
  <si>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</si>
  <si>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</si>
  <si>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</si>
  <si>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</si>
  <si>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</si>
  <si>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</si>
  <si>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</si>
  <si>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</si>
  <si>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</si>
  <si>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</si>
  <si>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</si>
  <si>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</si>
  <si>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</si>
  <si>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</si>
  <si>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</si>
  <si>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</si>
  <si>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</si>
  <si>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</si>
  <si>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</si>
  <si>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</si>
  <si>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</si>
  <si>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</si>
  <si>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</si>
  <si>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</si>
  <si>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</si>
  <si>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</si>
  <si>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</si>
  <si>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</si>
  <si>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</si>
  <si>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</si>
  <si>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</si>
  <si>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</si>
  <si>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</si>
  <si>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</si>
  <si>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</si>
  <si>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</si>
  <si>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</si>
  <si>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</si>
  <si>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</si>
  <si>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</si>
  <si>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</si>
  <si>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</si>
  <si>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</si>
  <si>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</si>
  <si>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</si>
  <si>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</si>
  <si>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</si>
  <si>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</si>
  <si>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</si>
  <si>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</si>
  <si>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</si>
  <si>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</si>
  <si>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</si>
  <si>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</si>
  <si>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</si>
  <si>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</si>
  <si>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</si>
  <si>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</si>
  <si>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</si>
  <si>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</si>
  <si>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</si>
  <si>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</si>
  <si>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</si>
  <si>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</si>
  <si>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</si>
  <si>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</si>
  <si>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</si>
  <si>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</si>
  <si>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</si>
  <si>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</si>
  <si>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</si>
  <si>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</si>
  <si>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</si>
  <si>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</si>
  <si>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</si>
  <si>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</si>
  <si>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</si>
  <si>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</si>
  <si>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</si>
  <si>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</si>
  <si>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</si>
  <si>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</si>
  <si>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</si>
  <si>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</si>
  <si>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</si>
  <si>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</si>
  <si>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</si>
  <si>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</si>
  <si>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</si>
  <si>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</si>
  <si>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</si>
  <si>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</si>
  <si>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</si>
  <si>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</si>
  <si>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</si>
  <si>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</si>
  <si>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</si>
  <si>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</si>
  <si>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</si>
  <si>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</si>
  <si>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</si>
  <si>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</si>
  <si>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</si>
  <si>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</si>
  <si>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</si>
  <si>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</si>
  <si>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</si>
  <si>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</si>
  <si>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</si>
  <si>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</si>
  <si>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</si>
  <si>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</si>
  <si>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</si>
  <si>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</si>
  <si>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</si>
  <si>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</si>
  <si>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</si>
  <si>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</si>
  <si>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</si>
  <si>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</si>
  <si>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</si>
  <si>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</si>
  <si>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</si>
  <si>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</si>
  <si>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</si>
  <si>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</si>
  <si>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</si>
  <si>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</si>
  <si>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</si>
  <si>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</si>
  <si>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</si>
  <si>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</si>
  <si>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</si>
  <si>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</si>
  <si>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</si>
  <si>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</si>
  <si>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</si>
  <si>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</si>
  <si>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</si>
  <si>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</si>
  <si>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</si>
  <si>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</si>
  <si>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</si>
  <si>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</si>
  <si>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</si>
  <si>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</si>
  <si>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</si>
  <si>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</si>
  <si>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</si>
  <si>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</si>
  <si>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</si>
  <si>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</si>
  <si>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</si>
  <si>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</si>
  <si>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</si>
  <si>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</si>
  <si>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</si>
  <si>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</si>
  <si>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</si>
  <si>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</si>
  <si>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</si>
  <si>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</si>
  <si>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</si>
  <si>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</si>
  <si>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</si>
  <si>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</si>
  <si>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</si>
  <si>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</si>
  <si>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</si>
  <si>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</si>
  <si>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</si>
  <si>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</si>
  <si>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</si>
  <si>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</si>
  <si>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</si>
  <si>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</si>
  <si>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</si>
  <si>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</si>
  <si>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</si>
  <si>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</si>
  <si>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</si>
  <si>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</si>
  <si>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</si>
  <si>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</si>
  <si>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</si>
  <si>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</si>
  <si>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</si>
  <si>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</si>
  <si>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</si>
  <si>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</si>
  <si>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</si>
  <si>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</si>
  <si>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</si>
  <si>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</si>
  <si>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</si>
  <si>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</si>
  <si>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</si>
  <si>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</si>
  <si>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</si>
  <si>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</si>
  <si>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</si>
  <si>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</si>
  <si>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</si>
  <si>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</si>
  <si>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</si>
  <si>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</si>
  <si>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</si>
  <si>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</si>
  <si>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</si>
  <si>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</si>
  <si>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</si>
  <si>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</si>
  <si>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</si>
  <si>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</si>
  <si>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</si>
  <si>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</si>
  <si>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</si>
  <si>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</si>
  <si>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</si>
  <si>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</si>
  <si>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</si>
  <si>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</si>
  <si>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</si>
  <si>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</si>
  <si>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</si>
  <si>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</si>
  <si>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</si>
  <si>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</si>
  <si>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</si>
  <si>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</si>
  <si>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</si>
  <si>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</si>
  <si>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</si>
  <si>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</si>
  <si>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</si>
  <si>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</si>
  <si>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</si>
  <si>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</si>
  <si>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</si>
  <si>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</si>
  <si>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</si>
  <si>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</si>
  <si>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</si>
  <si>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</si>
  <si>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</si>
  <si>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</si>
  <si>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</si>
  <si>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</si>
  <si>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</si>
  <si>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</si>
  <si>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</si>
  <si>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</si>
  <si>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</si>
  <si>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</si>
  <si>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</si>
  <si>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</si>
  <si>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</si>
  <si>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</si>
  <si>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</si>
  <si>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</si>
  <si>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</si>
  <si>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</si>
  <si>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</si>
  <si>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</si>
  <si>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</si>
  <si>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</si>
  <si>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</si>
  <si>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</si>
  <si>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</si>
  <si>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</si>
  <si>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</si>
  <si>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</si>
  <si>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</si>
  <si>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</si>
  <si>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</si>
  <si>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</si>
  <si>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</si>
  <si>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</si>
  <si>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</si>
  <si>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</si>
  <si>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</si>
  <si>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</si>
  <si>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</si>
  <si>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</si>
  <si>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</si>
  <si>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</si>
  <si>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</si>
  <si>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</si>
  <si>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</si>
  <si>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</si>
  <si>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</si>
  <si>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</si>
  <si>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</si>
  <si>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</si>
  <si>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</si>
  <si>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</si>
  <si>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</si>
  <si>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</si>
  <si>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</si>
  <si>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</si>
  <si>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</si>
  <si>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</si>
  <si>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</si>
  <si>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</si>
  <si>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</si>
  <si>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</si>
  <si>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</si>
  <si>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</si>
  <si>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</si>
  <si>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</si>
  <si>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</si>
  <si>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</si>
  <si>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</si>
  <si>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</si>
  <si>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</si>
  <si>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</si>
  <si>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</si>
  <si>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</si>
  <si>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</si>
  <si>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</si>
  <si>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</si>
  <si>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</si>
  <si>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</si>
  <si>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</si>
  <si>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</si>
  <si>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</si>
  <si>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</si>
  <si>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</si>
  <si>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</si>
  <si>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</si>
  <si>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</si>
  <si>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</si>
  <si>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</si>
  <si>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</si>
  <si>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</si>
  <si>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</si>
  <si>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</si>
  <si>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</si>
  <si>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</si>
  <si>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</si>
  <si>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</si>
  <si>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</si>
  <si>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</si>
  <si>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</si>
  <si>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</si>
  <si>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</si>
  <si>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</si>
  <si>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</si>
  <si>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</si>
  <si>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</si>
  <si>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</si>
  <si>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</si>
  <si>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</si>
  <si>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</si>
  <si>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</si>
  <si>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</si>
  <si>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</si>
  <si>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</si>
  <si>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</si>
  <si>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</si>
  <si>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</si>
  <si>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</si>
  <si>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</si>
  <si>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</si>
  <si>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</si>
  <si>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</si>
  <si>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</si>
  <si>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</si>
  <si>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</si>
  <si>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</si>
  <si>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</si>
  <si>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</si>
  <si>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</si>
  <si>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</si>
  <si>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</si>
  <si>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</si>
  <si>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</si>
  <si>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</si>
  <si>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</si>
  <si>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</si>
  <si>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</si>
  <si>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</si>
  <si>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</si>
  <si>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</si>
  <si>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</si>
  <si>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</si>
  <si>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</si>
  <si>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</si>
  <si>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</si>
  <si>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</si>
  <si>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</si>
  <si>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</si>
  <si>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</si>
  <si>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</si>
  <si>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</si>
  <si>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</si>
  <si>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</si>
  <si>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</si>
  <si>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</si>
  <si>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</si>
  <si>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</si>
  <si>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</si>
  <si>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</si>
  <si>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</si>
  <si>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</si>
  <si>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</si>
  <si>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</si>
  <si>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</si>
  <si>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</si>
  <si>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</si>
  <si>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</si>
  <si>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</si>
  <si>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</si>
  <si>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</si>
  <si>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</si>
  <si>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</si>
  <si>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</si>
  <si>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</si>
  <si>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</si>
  <si>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</si>
  <si>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</si>
  <si>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</si>
  <si>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</si>
  <si>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</si>
  <si>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</si>
  <si>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</si>
  <si>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</si>
  <si>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</si>
  <si>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</si>
  <si>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</si>
  <si>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</si>
  <si>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indexed="8"/>
        <rFont val="宋体"/>
        <family val="3"/>
        <charset val="134"/>
      </rPr>
      <t>环境状况</t>
    </r>
    <phoneticPr fontId="31"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</si>
  <si>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</si>
  <si>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</si>
  <si>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</si>
  <si>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</si>
  <si>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</si>
  <si>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</si>
  <si>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</si>
  <si>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</si>
  <si>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</si>
  <si>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</si>
  <si>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</si>
  <si>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</si>
  <si>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</si>
  <si>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</si>
  <si>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</si>
  <si>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</si>
  <si>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</si>
  <si>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</si>
  <si>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</si>
  <si>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</si>
  <si>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</si>
  <si>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</si>
  <si>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</si>
  <si>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</si>
  <si>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t>★默认为已完成的土地开发期★</t>
    <phoneticPr fontId="6" type="noConversion"/>
  </si>
  <si>
    <t>★外省请录依据文件名称★：</t>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</si>
  <si>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</si>
  <si>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</si>
  <si>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</si>
  <si>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</si>
  <si>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</si>
  <si>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</si>
  <si>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</si>
  <si>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</si>
  <si>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</si>
  <si>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</si>
  <si>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</si>
  <si>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</si>
  <si>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</si>
  <si>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</si>
  <si>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</si>
  <si>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</si>
  <si>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</si>
  <si>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</si>
  <si>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</si>
  <si>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</si>
  <si>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</si>
  <si>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</si>
  <si>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</si>
  <si>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</si>
  <si>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</si>
  <si>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</si>
  <si>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</si>
  <si>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</si>
  <si>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</si>
  <si>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</si>
  <si>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</si>
  <si>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</si>
  <si>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</si>
  <si>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</si>
  <si>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</si>
  <si>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</si>
  <si>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</si>
  <si>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</si>
  <si>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</si>
  <si>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</si>
  <si>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</si>
  <si>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</si>
  <si>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</si>
  <si>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</si>
  <si>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</si>
  <si>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</si>
  <si>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</si>
  <si>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</si>
  <si>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</si>
  <si>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</si>
  <si>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</si>
  <si>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</si>
  <si>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</si>
  <si>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</si>
  <si>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</si>
  <si>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</si>
  <si>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</si>
  <si>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</si>
  <si>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</si>
  <si>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</si>
  <si>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</si>
  <si>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</si>
  <si>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</si>
  <si>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</si>
  <si>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</si>
  <si>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</si>
  <si>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</si>
  <si>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</si>
  <si>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</si>
  <si>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</si>
  <si>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</si>
  <si>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</si>
  <si>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</si>
  <si>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</si>
  <si>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</si>
  <si>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</si>
  <si>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</si>
  <si>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</si>
  <si>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</si>
  <si>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</si>
  <si>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</si>
  <si>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</si>
  <si>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</si>
  <si>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</si>
  <si>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</si>
  <si>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</si>
  <si>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</si>
  <si>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</si>
  <si>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</si>
  <si>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</si>
  <si>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</si>
  <si>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</si>
  <si>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</si>
  <si>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</si>
  <si>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</si>
  <si>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</si>
  <si>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</si>
  <si>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</si>
  <si>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</si>
  <si>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</si>
  <si>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</si>
  <si>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</si>
  <si>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</si>
  <si>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</si>
  <si>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</si>
  <si>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</si>
  <si>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</si>
  <si>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</si>
  <si>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</si>
  <si>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</si>
  <si>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</si>
  <si>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</si>
  <si>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</si>
  <si>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</si>
  <si>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</si>
  <si>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</si>
  <si>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</si>
  <si>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</si>
  <si>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</si>
  <si>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</si>
  <si>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</si>
  <si>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</si>
  <si>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</si>
  <si>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</si>
  <si>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</si>
  <si>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</si>
  <si>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</si>
  <si>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</si>
  <si>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</si>
  <si>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</si>
  <si>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</si>
  <si>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</si>
  <si>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</si>
  <si>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</si>
  <si>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</si>
  <si>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</si>
  <si>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</si>
  <si>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</si>
  <si>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</si>
  <si>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</si>
  <si>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</si>
  <si>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</si>
  <si>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</si>
  <si>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</si>
  <si>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</si>
  <si>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</si>
  <si>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</si>
  <si>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</si>
  <si>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</si>
  <si>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</si>
  <si>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</si>
  <si>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</si>
  <si>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</si>
  <si>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</si>
  <si>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</si>
  <si>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</si>
  <si>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</si>
  <si>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</si>
  <si>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</si>
  <si>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</si>
  <si>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</si>
  <si>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</si>
  <si>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</si>
  <si>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</si>
  <si>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</si>
  <si>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</si>
  <si>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</si>
  <si>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</si>
  <si>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</si>
  <si>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</si>
  <si>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</si>
  <si>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</si>
  <si>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</si>
  <si>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</si>
  <si>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</si>
  <si>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</si>
  <si>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</si>
  <si>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</si>
  <si>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</si>
  <si>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</si>
  <si>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</si>
  <si>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</si>
  <si>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</si>
  <si>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</si>
  <si>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</si>
  <si>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</si>
  <si>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</si>
  <si>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</si>
  <si>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</si>
  <si>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</si>
  <si>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</si>
  <si>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</si>
  <si>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</si>
  <si>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</si>
  <si>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</si>
  <si>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</si>
  <si>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</si>
  <si>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</si>
  <si>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</si>
  <si>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</si>
  <si>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</si>
  <si>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</si>
  <si>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</si>
  <si>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</si>
  <si>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</si>
  <si>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</si>
  <si>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</si>
  <si>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</si>
  <si>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</si>
  <si>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</si>
  <si>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</si>
  <si>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</si>
  <si>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</si>
  <si>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</si>
  <si>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</si>
  <si>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</si>
  <si>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</si>
  <si>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</si>
  <si>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</si>
  <si>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</si>
  <si>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</si>
  <si>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</si>
  <si>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</si>
  <si>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</si>
  <si>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</si>
  <si>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</si>
  <si>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</si>
  <si>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</si>
  <si>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</si>
  <si>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</si>
  <si>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</si>
  <si>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</si>
  <si>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</si>
  <si>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</si>
  <si>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</si>
  <si>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</si>
  <si>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</si>
  <si>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</si>
  <si>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</si>
  <si>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</si>
  <si>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</si>
  <si>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</si>
  <si>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</si>
  <si>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</si>
  <si>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</si>
  <si>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</si>
  <si>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</si>
  <si>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</si>
  <si>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</si>
  <si>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</si>
  <si>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</si>
  <si>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</si>
  <si>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</si>
  <si>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</si>
  <si>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</si>
  <si>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</si>
  <si>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</si>
  <si>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</si>
  <si>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</si>
  <si>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</si>
  <si>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</si>
  <si>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</si>
  <si>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</si>
  <si>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</si>
  <si>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</si>
  <si>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</si>
  <si>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</si>
  <si>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</si>
  <si>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</si>
  <si>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</si>
  <si>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</si>
  <si>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</si>
  <si>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</si>
  <si>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</si>
  <si>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</si>
  <si>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</si>
  <si>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</si>
  <si>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</si>
  <si>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</si>
  <si>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</si>
  <si>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</si>
  <si>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</si>
  <si>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</si>
  <si>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</si>
  <si>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</si>
  <si>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</si>
  <si>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</si>
  <si>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</si>
  <si>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</si>
  <si>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</si>
  <si>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</si>
  <si>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</si>
  <si>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</si>
  <si>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</si>
  <si>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</si>
  <si>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</si>
  <si>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</si>
  <si>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</si>
  <si>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</si>
  <si>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</si>
  <si>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</si>
  <si>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</si>
  <si>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</si>
  <si>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</si>
  <si>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</si>
  <si>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</si>
  <si>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</si>
  <si>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</si>
  <si>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</si>
  <si>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</si>
  <si>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</si>
  <si>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</si>
  <si>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</si>
  <si>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</si>
  <si>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</si>
  <si>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</si>
  <si>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</si>
  <si>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</si>
  <si>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</si>
  <si>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</si>
  <si>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</si>
  <si>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</si>
  <si>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</si>
  <si>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</si>
  <si>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</si>
  <si>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</si>
  <si>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</si>
  <si>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</si>
  <si>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</si>
  <si>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</si>
  <si>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</si>
  <si>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</si>
  <si>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</si>
  <si>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</si>
  <si>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</si>
  <si>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</si>
  <si>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</si>
  <si>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</si>
  <si>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</si>
  <si>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</si>
  <si>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</si>
  <si>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</si>
  <si>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</si>
  <si>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</si>
  <si>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</si>
  <si>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</si>
  <si>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</si>
  <si>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</si>
  <si>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</si>
  <si>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</si>
  <si>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</si>
  <si>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</si>
  <si>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</si>
  <si>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</si>
  <si>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</si>
  <si>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</si>
  <si>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</si>
  <si>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</si>
  <si>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</si>
  <si>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</si>
  <si>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</si>
  <si>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</si>
  <si>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</si>
  <si>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</si>
  <si>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</si>
  <si>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</si>
  <si>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</si>
  <si>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</si>
  <si>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</si>
  <si>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</si>
  <si>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</si>
  <si>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</si>
  <si>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</si>
  <si>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</si>
  <si>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</si>
  <si>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</si>
  <si>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</si>
  <si>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</si>
  <si>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</si>
  <si>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</si>
  <si>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</si>
  <si>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</si>
  <si>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</si>
  <si>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</si>
  <si>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</si>
  <si>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</si>
  <si>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</si>
  <si>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</si>
  <si>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</si>
  <si>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</si>
  <si>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</si>
  <si>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</si>
  <si>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</si>
  <si>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</si>
  <si>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</si>
  <si>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</si>
  <si>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</si>
  <si>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</si>
  <si>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</si>
  <si>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</si>
  <si>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</si>
  <si>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</si>
  <si>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</si>
  <si>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</si>
  <si>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</si>
  <si>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</si>
  <si>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</si>
  <si>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</si>
  <si>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</si>
  <si>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</si>
  <si>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</si>
  <si>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</si>
  <si>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</si>
  <si>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</si>
  <si>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</si>
  <si>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</si>
  <si>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</si>
  <si>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</si>
  <si>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</si>
  <si>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</si>
  <si>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</si>
  <si>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</si>
  <si>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</si>
  <si>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</si>
  <si>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</si>
  <si>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</si>
  <si>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</si>
  <si>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</si>
  <si>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</si>
  <si>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</si>
  <si>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</si>
  <si>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</si>
  <si>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</si>
  <si>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</si>
  <si>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</si>
  <si>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</si>
  <si>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</si>
  <si>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</si>
  <si>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</si>
  <si>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</si>
  <si>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</si>
  <si>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</si>
  <si>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</si>
  <si>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</si>
  <si>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</si>
  <si>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</si>
  <si>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</si>
  <si>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</si>
  <si>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</si>
  <si>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</si>
  <si>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</si>
  <si>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</si>
  <si>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</si>
  <si>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</si>
  <si>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</si>
  <si>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</si>
  <si>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</si>
  <si>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</si>
  <si>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</si>
  <si>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</si>
  <si>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</si>
  <si>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</si>
  <si>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</si>
  <si>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</si>
  <si>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</si>
  <si>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</si>
  <si>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</si>
  <si>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</si>
  <si>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</si>
  <si>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</si>
  <si>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</si>
  <si>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</si>
  <si>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</si>
  <si>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</si>
  <si>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</si>
  <si>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</si>
  <si>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</si>
  <si>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</si>
  <si>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</si>
  <si>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</si>
  <si>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</si>
  <si>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</si>
  <si>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</si>
  <si>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</si>
  <si>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</si>
  <si>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</si>
  <si>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</si>
  <si>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</si>
  <si>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</si>
  <si>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</si>
  <si>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</si>
  <si>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</si>
  <si>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</si>
  <si>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</si>
  <si>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</si>
  <si>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</si>
  <si>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</si>
  <si>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</si>
  <si>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</si>
  <si>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</si>
  <si>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</si>
  <si>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</si>
  <si>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</si>
  <si>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</si>
  <si>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</si>
  <si>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</si>
  <si>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</si>
  <si>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</si>
  <si>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</si>
  <si>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</si>
  <si>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</si>
  <si>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</si>
  <si>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</si>
  <si>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</si>
  <si>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</si>
  <si>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r>
      <rPr>
        <b/>
        <sz val="10"/>
        <color theme="1"/>
        <rFont val="楷体_GB2312"/>
        <family val="2"/>
        <charset val="134"/>
      </rPr>
      <t>核算至百分数</t>
    </r>
    <phoneticPr fontId="144"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</si>
  <si>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</si>
  <si>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</si>
  <si>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</si>
  <si>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</si>
  <si>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</si>
  <si>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</si>
  <si>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</si>
  <si>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</si>
  <si>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</si>
  <si>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</si>
  <si>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</si>
  <si>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</si>
  <si>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</si>
  <si>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</si>
  <si>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</si>
  <si>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</si>
  <si>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</si>
  <si>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</si>
  <si>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</si>
  <si>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</si>
  <si>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</si>
  <si>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</si>
  <si>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</si>
  <si>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</si>
  <si>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</si>
  <si>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</si>
  <si>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</si>
  <si>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</si>
  <si>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</si>
  <si>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</si>
  <si>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</si>
  <si>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</si>
  <si>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</si>
  <si>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</si>
  <si>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</si>
  <si>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</si>
  <si>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</si>
  <si>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</si>
  <si>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</si>
  <si>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</si>
  <si>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</si>
  <si>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</si>
  <si>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</si>
  <si>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</si>
  <si>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</si>
  <si>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</si>
  <si>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</si>
  <si>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</si>
  <si>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</si>
  <si>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</si>
  <si>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</si>
  <si>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</si>
  <si>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</si>
  <si>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</si>
  <si>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</si>
  <si>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</si>
  <si>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</si>
  <si>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</si>
  <si>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</si>
  <si>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</si>
  <si>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</si>
  <si>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</si>
  <si>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</si>
  <si>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</si>
  <si>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</si>
  <si>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</si>
  <si>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</si>
  <si>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</si>
  <si>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</si>
  <si>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</si>
  <si>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</si>
  <si>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</si>
  <si>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</si>
  <si>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</si>
  <si>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</si>
  <si>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</si>
  <si>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</si>
  <si>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</si>
  <si>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</si>
  <si>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</si>
  <si>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</si>
  <si>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</si>
  <si>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</si>
  <si>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</si>
  <si>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</si>
  <si>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</si>
  <si>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</si>
  <si>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</si>
  <si>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</si>
  <si>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</si>
  <si>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</si>
  <si>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</si>
  <si>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</si>
  <si>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</si>
  <si>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</si>
  <si>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</si>
  <si>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</si>
  <si>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</si>
  <si>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</si>
  <si>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</si>
  <si>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</si>
  <si>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</si>
  <si>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</si>
  <si>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</si>
  <si>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</si>
  <si>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</si>
  <si>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</si>
  <si>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</si>
  <si>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</si>
  <si>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</si>
  <si>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</si>
  <si>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</si>
  <si>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</si>
  <si>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</si>
  <si>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</si>
  <si>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</si>
  <si>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</si>
  <si>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</si>
  <si>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</si>
  <si>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</si>
  <si>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</si>
  <si>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</si>
  <si>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</si>
  <si>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</si>
  <si>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</si>
  <si>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</si>
  <si>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</si>
  <si>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</si>
  <si>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</si>
  <si>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</si>
  <si>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</si>
  <si>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</si>
  <si>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</si>
  <si>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</si>
  <si>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</si>
  <si>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</si>
  <si>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</si>
  <si>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</si>
  <si>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</si>
  <si>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</si>
  <si>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</si>
  <si>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</si>
  <si>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</si>
  <si>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</si>
  <si>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</si>
  <si>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</si>
  <si>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</si>
  <si>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</si>
  <si>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</si>
  <si>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</si>
  <si>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</si>
  <si>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</si>
  <si>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</si>
  <si>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</si>
  <si>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</si>
  <si>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</si>
  <si>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</si>
  <si>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</si>
  <si>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</si>
  <si>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</si>
  <si>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</si>
  <si>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</si>
  <si>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</si>
  <si>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</si>
  <si>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</si>
  <si>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</si>
  <si>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</si>
  <si>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</si>
  <si>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</si>
  <si>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</si>
  <si>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</si>
  <si>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</si>
  <si>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</si>
  <si>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</si>
  <si>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</si>
  <si>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</si>
  <si>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</si>
  <si>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</si>
  <si>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</si>
  <si>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</si>
  <si>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</si>
  <si>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</si>
  <si>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</si>
  <si>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</si>
  <si>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</si>
  <si>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</si>
  <si>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</si>
  <si>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</si>
  <si>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</si>
  <si>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</si>
  <si>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</si>
  <si>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</si>
  <si>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</si>
  <si>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</si>
  <si>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</si>
  <si>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</si>
  <si>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</si>
  <si>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</si>
  <si>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</si>
  <si>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</si>
  <si>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</si>
  <si>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</si>
  <si>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</si>
  <si>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</si>
  <si>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</si>
  <si>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</si>
  <si>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</si>
  <si>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</si>
  <si>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</si>
  <si>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</si>
  <si>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</si>
  <si>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</si>
  <si>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</si>
  <si>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</si>
  <si>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</si>
  <si>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</si>
  <si>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</si>
  <si>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</si>
  <si>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</si>
  <si>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</si>
  <si>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</si>
  <si>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</si>
  <si>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</si>
  <si>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</si>
  <si>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</si>
  <si>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</si>
  <si>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</si>
  <si>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</si>
  <si>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</si>
  <si>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</si>
  <si>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</si>
  <si>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</si>
  <si>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</si>
  <si>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</si>
  <si>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</si>
  <si>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</si>
  <si>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</si>
  <si>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</si>
  <si>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</si>
  <si>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</si>
  <si>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</si>
  <si>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</si>
  <si>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</si>
  <si>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</si>
  <si>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</si>
  <si>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</si>
  <si>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</si>
  <si>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</si>
  <si>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</si>
  <si>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</si>
  <si>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</si>
  <si>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</si>
  <si>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</si>
  <si>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</si>
  <si>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</si>
  <si>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</si>
  <si>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</si>
  <si>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</si>
  <si>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</si>
  <si>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</si>
  <si>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</si>
  <si>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</si>
  <si>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</si>
  <si>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</si>
  <si>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</si>
  <si>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</si>
  <si>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</si>
  <si>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</si>
  <si>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</si>
  <si>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</si>
  <si>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</si>
  <si>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</si>
  <si>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</si>
  <si>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</si>
  <si>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</si>
  <si>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</si>
  <si>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</si>
  <si>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</si>
  <si>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</si>
  <si>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</si>
  <si>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</si>
  <si>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</si>
  <si>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</si>
  <si>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</si>
  <si>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</si>
  <si>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</si>
  <si>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</si>
  <si>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</si>
  <si>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</si>
  <si>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</si>
  <si>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</si>
  <si>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</si>
  <si>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</si>
  <si>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</si>
  <si>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</si>
  <si>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</si>
  <si>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</si>
  <si>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</si>
  <si>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</si>
  <si>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</si>
  <si>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</si>
  <si>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</si>
  <si>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</si>
  <si>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</si>
  <si>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</si>
  <si>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</si>
  <si>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</si>
  <si>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</si>
  <si>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</si>
  <si>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</si>
  <si>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</si>
  <si>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</si>
  <si>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</si>
  <si>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</si>
  <si>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</si>
  <si>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</si>
  <si>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</si>
  <si>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</si>
  <si>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</si>
  <si>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</si>
  <si>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</si>
  <si>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</si>
  <si>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</si>
  <si>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</si>
  <si>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</si>
  <si>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</si>
  <si>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</si>
  <si>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</si>
  <si>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</si>
  <si>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</si>
  <si>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</si>
  <si>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</si>
  <si>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</si>
  <si>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</si>
  <si>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</si>
  <si>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</si>
  <si>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</si>
  <si>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</si>
  <si>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</si>
  <si>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</si>
  <si>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</si>
  <si>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</si>
  <si>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</si>
  <si>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</si>
  <si>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</si>
  <si>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</si>
  <si>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</si>
  <si>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</si>
  <si>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</si>
  <si>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</si>
  <si>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</si>
  <si>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</si>
  <si>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</si>
  <si>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</si>
  <si>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</si>
  <si>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</si>
  <si>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</si>
  <si>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</si>
  <si>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</si>
  <si>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</si>
  <si>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</si>
  <si>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</si>
  <si>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</si>
  <si>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</si>
  <si>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</si>
  <si>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</si>
  <si>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</si>
  <si>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</si>
  <si>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</si>
  <si>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</si>
  <si>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</si>
  <si>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</si>
  <si>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</si>
  <si>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</si>
  <si>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</si>
  <si>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</si>
  <si>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</si>
  <si>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</si>
  <si>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</si>
  <si>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</si>
  <si>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</si>
  <si>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</si>
  <si>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</si>
  <si>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</si>
  <si>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</si>
  <si>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</si>
  <si>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</si>
  <si>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</si>
  <si>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</si>
  <si>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</si>
  <si>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</si>
  <si>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</si>
  <si>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</si>
  <si>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</si>
  <si>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</si>
  <si>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</si>
  <si>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</si>
  <si>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</si>
  <si>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</si>
  <si>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</si>
  <si>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</si>
  <si>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</si>
  <si>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</si>
  <si>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</si>
  <si>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</si>
  <si>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</si>
  <si>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</si>
  <si>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</si>
  <si>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</si>
  <si>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</si>
  <si>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</si>
  <si>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</si>
  <si>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</si>
  <si>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</si>
  <si>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</si>
  <si>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</si>
  <si>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</si>
  <si>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</si>
  <si>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</si>
  <si>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</si>
  <si>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</si>
  <si>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</si>
  <si>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</si>
  <si>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</si>
  <si>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</si>
  <si>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</si>
  <si>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</si>
  <si>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</si>
  <si>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</si>
  <si>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</si>
  <si>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</si>
  <si>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</si>
  <si>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</si>
  <si>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</si>
  <si>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</si>
  <si>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</si>
  <si>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</si>
  <si>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</si>
  <si>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</si>
  <si>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</si>
  <si>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</si>
  <si>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</si>
  <si>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</si>
  <si>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</si>
  <si>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</si>
  <si>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</si>
  <si>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</si>
  <si>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</si>
  <si>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</si>
  <si>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</si>
  <si>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</si>
  <si>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</si>
  <si>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</si>
  <si>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</si>
  <si>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</si>
  <si>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</si>
  <si>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</si>
  <si>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</si>
  <si>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</si>
  <si>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</si>
  <si>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</si>
  <si>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</si>
  <si>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</si>
  <si>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</si>
  <si>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</si>
  <si>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</si>
  <si>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</si>
  <si>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</si>
  <si>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</si>
  <si>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</si>
  <si>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</si>
  <si>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</si>
  <si>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</si>
  <si>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</si>
  <si>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</si>
  <si>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</si>
  <si>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</si>
  <si>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</si>
  <si>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</si>
  <si>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</si>
  <si>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</si>
  <si>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</si>
  <si>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</si>
  <si>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</si>
  <si>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</si>
  <si>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</si>
  <si>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</si>
  <si>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</si>
  <si>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</si>
  <si>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</si>
  <si>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</si>
  <si>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</si>
  <si>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</si>
  <si>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</si>
  <si>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</si>
  <si>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</si>
  <si>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</si>
  <si>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</si>
  <si>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</si>
  <si>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</si>
  <si>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</si>
  <si>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</si>
  <si>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</si>
  <si>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</si>
  <si>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</si>
  <si>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</si>
  <si>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</si>
  <si>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</si>
  <si>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</si>
  <si>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</si>
  <si>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</si>
  <si>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</si>
  <si>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</si>
  <si>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</si>
  <si>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</si>
  <si>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</si>
  <si>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</si>
  <si>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</si>
  <si>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</si>
  <si>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</si>
  <si>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</si>
  <si>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</si>
  <si>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</si>
  <si>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</si>
  <si>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</si>
  <si>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</si>
  <si>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</si>
  <si>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</si>
  <si>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</si>
  <si>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</si>
  <si>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</si>
  <si>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</si>
  <si>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</si>
  <si>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</si>
  <si>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</si>
  <si>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2022-4</t>
    <phoneticPr fontId="6" type="noConversion"/>
  </si>
  <si>
    <t>2023-1</t>
    <phoneticPr fontId="6" type="noConversion"/>
  </si>
  <si>
    <t>2023-2</t>
    <phoneticPr fontId="6" type="noConversion"/>
  </si>
  <si>
    <t>2023-2</t>
    <phoneticPr fontId="6" type="noConversion"/>
  </si>
  <si>
    <t>2023-3</t>
    <phoneticPr fontId="6" type="noConversion"/>
  </si>
  <si>
    <t>2023-4</t>
    <phoneticPr fontId="6" type="noConversion"/>
  </si>
  <si>
    <t>2023-4</t>
    <phoneticPr fontId="6" type="noConversion"/>
  </si>
  <si>
    <t>2024-3</t>
    <phoneticPr fontId="6" type="noConversion"/>
  </si>
  <si>
    <t>2024-1</t>
    <phoneticPr fontId="6" type="noConversion"/>
  </si>
  <si>
    <t>2024-1</t>
    <phoneticPr fontId="6" type="noConversion"/>
  </si>
  <si>
    <t>2024-2</t>
    <phoneticPr fontId="6" type="noConversion"/>
  </si>
  <si>
    <t>2024-2</t>
    <phoneticPr fontId="6"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</si>
  <si>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</si>
  <si>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</si>
  <si>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</si>
  <si>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</si>
  <si>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6"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</si>
  <si>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6"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</si>
  <si>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6" type="noConversion"/>
  </si>
  <si>
    <t>平均</t>
  </si>
  <si>
    <t>住宅</t>
  </si>
  <si>
    <t>公共服务</t>
  </si>
  <si>
    <t>2025-1</t>
    <phoneticPr fontId="6" type="noConversion"/>
  </si>
  <si>
    <t>2024-4</t>
    <phoneticPr fontId="6" type="noConversion"/>
  </si>
  <si>
    <t>2025-1</t>
    <phoneticPr fontId="6" type="noConversion"/>
  </si>
  <si>
    <t>农产品批发市场</t>
    <phoneticPr fontId="6" type="noConversion"/>
  </si>
  <si>
    <t>经市政府批准的一级农产品批发市场用地</t>
    <phoneticPr fontId="6" type="noConversion"/>
  </si>
  <si>
    <t>商务金融用地</t>
  </si>
  <si>
    <t>城镇住宅用地</t>
  </si>
  <si>
    <t>M4科研用地</t>
  </si>
  <si>
    <t>农产品批发市场</t>
  </si>
  <si>
    <t>经市政府批准的一级农产品批发市场用地</t>
  </si>
  <si>
    <t>2025-3</t>
    <phoneticPr fontId="6" type="noConversion"/>
  </si>
  <si>
    <t>2025-2</t>
    <phoneticPr fontId="6" type="noConversion"/>
  </si>
  <si>
    <t>增值税及附加</t>
    <phoneticPr fontId="6" type="noConversion"/>
  </si>
  <si>
    <t>开发建设成本</t>
    <phoneticPr fontId="137" type="noConversion"/>
  </si>
  <si>
    <r>
      <t>4）</t>
    </r>
    <r>
      <rPr>
        <sz val="10"/>
        <rFont val="宋体"/>
        <family val="3"/>
        <charset val="134"/>
      </rPr>
      <t/>
    </r>
  </si>
  <si>
    <t>①</t>
    <phoneticPr fontId="137" type="noConversion"/>
  </si>
  <si>
    <t>②</t>
    <phoneticPr fontId="6" type="noConversion"/>
  </si>
  <si>
    <t>③</t>
    <phoneticPr fontId="6" type="noConversion"/>
  </si>
  <si>
    <r>
      <t>6）</t>
    </r>
    <r>
      <rPr>
        <sz val="10"/>
        <rFont val="宋体"/>
        <family val="3"/>
        <charset val="134"/>
      </rPr>
      <t/>
    </r>
  </si>
  <si>
    <t>其他工程费</t>
    <phoneticPr fontId="6" type="noConversion"/>
  </si>
  <si>
    <t>开发期间税费</t>
    <phoneticPr fontId="6" type="noConversion"/>
  </si>
  <si>
    <r>
      <rPr>
        <sz val="10"/>
        <rFont val="宋体"/>
        <family val="3"/>
        <charset val="134"/>
      </rPr>
      <t>土地开发费用</t>
    </r>
    <r>
      <rPr>
        <sz val="10"/>
        <rFont val="Arial"/>
        <family val="2"/>
      </rPr>
      <t>-</t>
    </r>
    <r>
      <rPr>
        <sz val="10"/>
        <rFont val="宋体"/>
        <family val="3"/>
        <charset val="134"/>
      </rPr>
      <t>红线外（现状）</t>
    </r>
    <phoneticPr fontId="19" type="noConversion"/>
  </si>
  <si>
    <t>投资利息</t>
    <phoneticPr fontId="19"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</si>
  <si>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9" type="noConversion"/>
  </si>
  <si>
    <t>投资利润</t>
    <phoneticPr fontId="19" type="noConversion"/>
  </si>
  <si>
    <t>不计算，成本均为不含税成本</t>
    <phoneticPr fontId="19" type="noConversion"/>
  </si>
  <si>
    <t>折旧</t>
    <phoneticPr fontId="137" type="noConversion"/>
  </si>
  <si>
    <t>3</t>
    <phoneticPr fontId="6" type="noConversion"/>
  </si>
  <si>
    <t>成本价值</t>
    <phoneticPr fontId="137" type="noConversion"/>
  </si>
  <si>
    <t>建筑物重置成本</t>
    <phoneticPr fontId="6" type="noConversion"/>
  </si>
  <si>
    <t>建造成本</t>
    <phoneticPr fontId="137" type="noConversion"/>
  </si>
  <si>
    <r>
      <t>1</t>
    </r>
    <r>
      <rPr>
        <sz val="10"/>
        <rFont val="宋体"/>
        <family val="3"/>
        <charset val="134"/>
      </rPr>
      <t>）</t>
    </r>
    <phoneticPr fontId="6" type="noConversion"/>
  </si>
  <si>
    <r>
      <t>2</t>
    </r>
    <r>
      <rPr>
        <sz val="10"/>
        <rFont val="宋体"/>
        <family val="3"/>
        <charset val="134"/>
      </rPr>
      <t>）</t>
    </r>
    <phoneticPr fontId="6" type="noConversion"/>
  </si>
  <si>
    <r>
      <t>5）</t>
    </r>
    <r>
      <rPr>
        <sz val="10"/>
        <rFont val="宋体"/>
        <family val="3"/>
        <charset val="134"/>
      </rPr>
      <t/>
    </r>
  </si>
  <si>
    <t>开发期间税费</t>
    <phoneticPr fontId="137" type="noConversion"/>
  </si>
  <si>
    <r>
      <t>1</t>
    </r>
    <r>
      <rPr>
        <sz val="10"/>
        <rFont val="宋体"/>
        <family val="3"/>
        <charset val="134"/>
      </rPr>
      <t>）</t>
    </r>
    <phoneticPr fontId="6" type="noConversion"/>
  </si>
  <si>
    <r>
      <t>2</t>
    </r>
    <r>
      <rPr>
        <sz val="10"/>
        <rFont val="宋体"/>
        <family val="3"/>
        <charset val="134"/>
      </rPr>
      <t>）</t>
    </r>
    <phoneticPr fontId="6" type="noConversion"/>
  </si>
  <si>
    <t>（3）项产生的利息</t>
    <phoneticPr fontId="6" type="noConversion"/>
  </si>
  <si>
    <t>投资利润</t>
    <phoneticPr fontId="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</si>
  <si>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6" type="noConversion"/>
  </si>
  <si>
    <r>
      <rPr>
        <sz val="10"/>
        <rFont val="宋体"/>
        <family val="3"/>
        <charset val="134"/>
      </rPr>
      <t>（</t>
    </r>
    <r>
      <rPr>
        <sz val="10"/>
        <rFont val="Arial"/>
        <family val="2"/>
      </rPr>
      <t>3</t>
    </r>
    <r>
      <rPr>
        <sz val="10"/>
        <rFont val="宋体"/>
        <family val="3"/>
        <charset val="134"/>
      </rPr>
      <t>）项产生的利润</t>
    </r>
    <phoneticPr fontId="6" type="noConversion"/>
  </si>
  <si>
    <t>折旧</t>
    <phoneticPr fontId="137" type="noConversion"/>
  </si>
  <si>
    <t>建筑物重置成新价（含税）</t>
    <phoneticPr fontId="137" type="noConversion"/>
  </si>
  <si>
    <t>不计，成本均为不含税成本</t>
    <phoneticPr fontId="137" type="noConversion"/>
  </si>
  <si>
    <t>前述5项相加</t>
    <phoneticPr fontId="6" type="noConversion"/>
  </si>
  <si>
    <t>建筑物重置价值×成新率</t>
    <phoneticPr fontId="137" type="noConversion"/>
  </si>
  <si>
    <t>建筑物重置价值－折旧</t>
    <phoneticPr fontId="6" type="noConversion"/>
  </si>
  <si>
    <t>城市基础设施建设费（行政收费）</t>
    <phoneticPr fontId="19" type="noConversion"/>
  </si>
  <si>
    <t xml:space="preserve">  建安费用</t>
    <phoneticPr fontId="137" type="noConversion"/>
  </si>
  <si>
    <t xml:space="preserve">  前期费用</t>
    <phoneticPr fontId="137" type="noConversion"/>
  </si>
  <si>
    <t xml:space="preserve">  公共配套设施费用</t>
    <phoneticPr fontId="137" type="noConversion"/>
  </si>
  <si>
    <t xml:space="preserve">  基础设施建设费</t>
    <phoneticPr fontId="137" type="noConversion"/>
  </si>
  <si>
    <t xml:space="preserve">  其他工程费</t>
    <phoneticPr fontId="137" type="noConversion"/>
  </si>
  <si>
    <t xml:space="preserve">  开发期间税费</t>
    <phoneticPr fontId="137" type="noConversion"/>
  </si>
  <si>
    <t>1</t>
    <phoneticPr fontId="19" type="noConversion"/>
  </si>
  <si>
    <t>序号</t>
    <phoneticPr fontId="137" type="noConversion"/>
  </si>
  <si>
    <t>项目</t>
    <phoneticPr fontId="137" type="noConversion"/>
  </si>
  <si>
    <t>备注</t>
    <phoneticPr fontId="137" type="noConversion"/>
  </si>
  <si>
    <t>房地产重置价值（V）</t>
    <phoneticPr fontId="137" type="noConversion"/>
  </si>
  <si>
    <t>房地产重置价值－折旧</t>
    <phoneticPr fontId="137" type="noConversion"/>
  </si>
  <si>
    <r>
      <t>成本价值</t>
    </r>
    <r>
      <rPr>
        <b/>
        <sz val="12"/>
        <color rgb="FFFF0000"/>
        <rFont val="宋体"/>
        <family val="3"/>
        <charset val="134"/>
      </rPr>
      <t>（含税）</t>
    </r>
    <phoneticPr fontId="137" type="noConversion"/>
  </si>
  <si>
    <r>
      <rPr>
        <b/>
        <sz val="12"/>
        <rFont val="宋体"/>
        <family val="3"/>
        <charset val="134"/>
      </rPr>
      <t>面积</t>
    </r>
    <phoneticPr fontId="19" type="noConversion"/>
  </si>
  <si>
    <r>
      <rPr>
        <b/>
        <sz val="12"/>
        <rFont val="宋体"/>
        <family val="3"/>
        <charset val="134"/>
      </rPr>
      <t>单价</t>
    </r>
    <phoneticPr fontId="19" type="noConversion"/>
  </si>
  <si>
    <r>
      <rPr>
        <b/>
        <sz val="12"/>
        <rFont val="宋体"/>
        <family val="3"/>
        <charset val="134"/>
      </rPr>
      <t>系数</t>
    </r>
    <phoneticPr fontId="19" type="noConversion"/>
  </si>
  <si>
    <r>
      <rPr>
        <b/>
        <sz val="11"/>
        <rFont val="宋体"/>
        <family val="3"/>
        <charset val="134"/>
      </rPr>
      <t>（</t>
    </r>
    <r>
      <rPr>
        <b/>
        <sz val="11"/>
        <rFont val="Arial"/>
        <family val="2"/>
      </rPr>
      <t>1</t>
    </r>
    <r>
      <rPr>
        <b/>
        <sz val="11"/>
        <rFont val="宋体"/>
        <family val="3"/>
        <charset val="134"/>
      </rPr>
      <t>）</t>
    </r>
    <phoneticPr fontId="21" type="noConversion"/>
  </si>
  <si>
    <r>
      <rPr>
        <b/>
        <sz val="11"/>
        <rFont val="宋体"/>
        <family val="3"/>
        <charset val="134"/>
      </rPr>
      <t>土地取得成本</t>
    </r>
    <phoneticPr fontId="19" type="noConversion"/>
  </si>
  <si>
    <r>
      <rPr>
        <b/>
        <sz val="11"/>
        <rFont val="宋体"/>
        <family val="3"/>
        <charset val="134"/>
      </rPr>
      <t>（</t>
    </r>
    <r>
      <rPr>
        <b/>
        <sz val="11"/>
        <rFont val="Arial"/>
        <family val="2"/>
      </rPr>
      <t>3</t>
    </r>
    <r>
      <rPr>
        <b/>
        <sz val="11"/>
        <rFont val="宋体"/>
        <family val="3"/>
        <charset val="134"/>
      </rPr>
      <t>）</t>
    </r>
    <phoneticPr fontId="21" type="noConversion"/>
  </si>
  <si>
    <r>
      <rPr>
        <b/>
        <sz val="11"/>
        <rFont val="宋体"/>
        <family val="3"/>
        <charset val="134"/>
      </rPr>
      <t>管理费用</t>
    </r>
    <phoneticPr fontId="19" type="noConversion"/>
  </si>
  <si>
    <r>
      <rPr>
        <b/>
        <sz val="11"/>
        <rFont val="宋体"/>
        <family val="3"/>
        <charset val="134"/>
      </rPr>
      <t>以前述</t>
    </r>
    <r>
      <rPr>
        <b/>
        <sz val="11"/>
        <rFont val="Arial"/>
        <family val="2"/>
      </rPr>
      <t>2</t>
    </r>
    <r>
      <rPr>
        <b/>
        <sz val="11"/>
        <rFont val="宋体"/>
        <family val="3"/>
        <charset val="134"/>
      </rPr>
      <t>项为基数</t>
    </r>
    <phoneticPr fontId="19" type="noConversion"/>
  </si>
  <si>
    <r>
      <rPr>
        <b/>
        <sz val="11"/>
        <rFont val="宋体"/>
        <family val="3"/>
        <charset val="134"/>
      </rPr>
      <t>（</t>
    </r>
    <r>
      <rPr>
        <b/>
        <sz val="11"/>
        <rFont val="Arial"/>
        <family val="2"/>
      </rPr>
      <t>4</t>
    </r>
    <r>
      <rPr>
        <b/>
        <sz val="11"/>
        <rFont val="宋体"/>
        <family val="3"/>
        <charset val="134"/>
      </rPr>
      <t>）</t>
    </r>
    <phoneticPr fontId="21" type="noConversion"/>
  </si>
  <si>
    <r>
      <rPr>
        <b/>
        <sz val="11"/>
        <rFont val="宋体"/>
        <family val="3"/>
        <charset val="134"/>
      </rPr>
      <t>销售费用</t>
    </r>
    <phoneticPr fontId="19" type="noConversion"/>
  </si>
  <si>
    <r>
      <rPr>
        <b/>
        <sz val="11"/>
        <rFont val="宋体"/>
        <family val="3"/>
        <charset val="134"/>
      </rPr>
      <t>（</t>
    </r>
    <r>
      <rPr>
        <b/>
        <sz val="11"/>
        <rFont val="Arial"/>
        <family val="2"/>
      </rPr>
      <t>5</t>
    </r>
    <r>
      <rPr>
        <b/>
        <sz val="11"/>
        <rFont val="宋体"/>
        <family val="3"/>
        <charset val="134"/>
      </rPr>
      <t>）</t>
    </r>
    <phoneticPr fontId="21" type="noConversion"/>
  </si>
  <si>
    <r>
      <rPr>
        <b/>
        <sz val="11"/>
        <rFont val="宋体"/>
        <family val="3"/>
        <charset val="134"/>
      </rPr>
      <t>（</t>
    </r>
    <r>
      <rPr>
        <b/>
        <sz val="11"/>
        <rFont val="Arial"/>
        <family val="2"/>
      </rPr>
      <t>6</t>
    </r>
    <r>
      <rPr>
        <b/>
        <sz val="11"/>
        <rFont val="宋体"/>
        <family val="3"/>
        <charset val="134"/>
      </rPr>
      <t>）</t>
    </r>
    <phoneticPr fontId="21" type="noConversion"/>
  </si>
  <si>
    <r>
      <rPr>
        <b/>
        <sz val="11"/>
        <rFont val="宋体"/>
        <family val="3"/>
        <charset val="134"/>
      </rPr>
      <t>（</t>
    </r>
    <r>
      <rPr>
        <b/>
        <sz val="11"/>
        <rFont val="Arial"/>
        <family val="2"/>
      </rPr>
      <t>7</t>
    </r>
    <r>
      <rPr>
        <b/>
        <sz val="11"/>
        <rFont val="宋体"/>
        <family val="3"/>
        <charset val="134"/>
      </rPr>
      <t>）</t>
    </r>
    <phoneticPr fontId="21" type="noConversion"/>
  </si>
  <si>
    <r>
      <rPr>
        <b/>
        <sz val="11"/>
        <rFont val="宋体"/>
        <family val="3"/>
        <charset val="134"/>
      </rPr>
      <t>销售税费</t>
    </r>
  </si>
  <si>
    <r>
      <rPr>
        <b/>
        <sz val="11"/>
        <color rgb="FFFF0000"/>
        <rFont val="宋体"/>
        <family val="3"/>
        <charset val="134"/>
      </rPr>
      <t>建安计算</t>
    </r>
    <phoneticPr fontId="137" type="noConversion"/>
  </si>
  <si>
    <r>
      <rPr>
        <sz val="11"/>
        <color theme="1"/>
        <rFont val="宋体"/>
        <family val="3"/>
        <charset val="134"/>
      </rPr>
      <t>项目</t>
    </r>
    <phoneticPr fontId="137" type="noConversion"/>
  </si>
  <si>
    <r>
      <rPr>
        <sz val="11"/>
        <color theme="1"/>
        <rFont val="宋体"/>
        <family val="3"/>
        <charset val="134"/>
      </rPr>
      <t>面积</t>
    </r>
    <phoneticPr fontId="137" type="noConversion"/>
  </si>
  <si>
    <r>
      <rPr>
        <sz val="11"/>
        <color theme="1"/>
        <rFont val="宋体"/>
        <family val="3"/>
        <charset val="134"/>
      </rPr>
      <t>综合单价</t>
    </r>
    <phoneticPr fontId="137"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</si>
  <si>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7" type="noConversion"/>
  </si>
  <si>
    <r>
      <rPr>
        <i/>
        <sz val="11"/>
        <color theme="1"/>
        <rFont val="宋体"/>
        <family val="3"/>
        <charset val="134"/>
      </rPr>
      <t>地下</t>
    </r>
    <phoneticPr fontId="137" type="noConversion"/>
  </si>
  <si>
    <r>
      <rPr>
        <b/>
        <sz val="11"/>
        <color theme="1"/>
        <rFont val="宋体"/>
        <family val="3"/>
        <charset val="134"/>
      </rPr>
      <t>设备</t>
    </r>
    <phoneticPr fontId="137" type="noConversion"/>
  </si>
  <si>
    <r>
      <rPr>
        <b/>
        <sz val="11"/>
        <color theme="1"/>
        <rFont val="宋体"/>
        <family val="3"/>
        <charset val="134"/>
      </rPr>
      <t>室外工程</t>
    </r>
    <phoneticPr fontId="137" type="noConversion"/>
  </si>
  <si>
    <r>
      <rPr>
        <b/>
        <sz val="11"/>
        <color theme="1"/>
        <rFont val="宋体"/>
        <family val="3"/>
        <charset val="134"/>
      </rPr>
      <t>人防工程</t>
    </r>
    <phoneticPr fontId="137" type="noConversion"/>
  </si>
  <si>
    <r>
      <rPr>
        <b/>
        <sz val="11"/>
        <color theme="1"/>
        <rFont val="宋体"/>
        <family val="3"/>
        <charset val="134"/>
      </rPr>
      <t>合计</t>
    </r>
    <phoneticPr fontId="137" type="noConversion"/>
  </si>
  <si>
    <t>总额（元）</t>
    <phoneticPr fontId="137" type="noConversion"/>
  </si>
  <si>
    <t>分项单方/系数</t>
    <phoneticPr fontId="137" type="noConversion"/>
  </si>
  <si>
    <t>主体</t>
    <phoneticPr fontId="137" type="noConversion"/>
  </si>
  <si>
    <t>设备</t>
    <phoneticPr fontId="137" type="noConversion"/>
  </si>
  <si>
    <t>装修</t>
    <phoneticPr fontId="137" type="noConversion"/>
  </si>
  <si>
    <t>人防</t>
    <phoneticPr fontId="137" type="noConversion"/>
  </si>
  <si>
    <t>室外</t>
    <phoneticPr fontId="137" type="noConversion"/>
  </si>
  <si>
    <t>占比</t>
    <phoneticPr fontId="137" type="noConversion"/>
  </si>
  <si>
    <t>验证行</t>
    <phoneticPr fontId="137" type="noConversion"/>
  </si>
  <si>
    <t>投资利息</t>
    <phoneticPr fontId="6" type="noConversion"/>
  </si>
  <si>
    <r>
      <t>6</t>
    </r>
    <r>
      <rPr>
        <sz val="10"/>
        <rFont val="宋体"/>
        <family val="3"/>
        <charset val="134"/>
      </rPr>
      <t>）</t>
    </r>
    <phoneticPr fontId="137" type="noConversion"/>
  </si>
  <si>
    <r>
      <t>3</t>
    </r>
    <r>
      <rPr>
        <sz val="10"/>
        <rFont val="宋体"/>
        <family val="3"/>
        <charset val="134"/>
      </rPr>
      <t>）</t>
    </r>
    <phoneticPr fontId="6"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</si>
  <si>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</si>
  <si>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6" type="noConversion"/>
  </si>
  <si>
    <r>
      <rPr>
        <sz val="10"/>
        <rFont val="宋体"/>
        <family val="3"/>
        <charset val="134"/>
      </rPr>
      <t>建筑物重置成新价</t>
    </r>
    <r>
      <rPr>
        <sz val="10"/>
        <rFont val="Arial"/>
        <family val="2"/>
      </rPr>
      <t>÷</t>
    </r>
    <r>
      <rPr>
        <sz val="10"/>
        <rFont val="宋体"/>
        <family val="3"/>
        <charset val="134"/>
      </rPr>
      <t>成本价值</t>
    </r>
    <phoneticPr fontId="137" type="noConversion"/>
  </si>
  <si>
    <t>开发完成后房地产价值</t>
    <phoneticPr fontId="19" type="noConversion"/>
  </si>
  <si>
    <t>开发完成后房地产价值</t>
    <phoneticPr fontId="21" type="noConversion"/>
  </si>
  <si>
    <t>须录入不含增值税结果</t>
    <phoneticPr fontId="21" type="noConversion"/>
  </si>
  <si>
    <t>续建成本</t>
    <phoneticPr fontId="19" type="noConversion"/>
  </si>
  <si>
    <t>投资利息</t>
    <phoneticPr fontId="19"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</si>
  <si>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</si>
  <si>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21" type="noConversion"/>
  </si>
  <si>
    <t>（6）</t>
  </si>
  <si>
    <r>
      <rPr>
        <sz val="11"/>
        <color theme="1"/>
        <rFont val="Arial"/>
        <family val="2"/>
      </rPr>
      <t>1</t>
    </r>
    <r>
      <rPr>
        <sz val="11"/>
        <color theme="1"/>
        <rFont val="宋体"/>
        <family val="3"/>
        <charset val="134"/>
      </rPr>
      <t>）</t>
    </r>
    <phoneticPr fontId="19" type="noConversion"/>
  </si>
  <si>
    <r>
      <t>2</t>
    </r>
    <r>
      <rPr>
        <sz val="11"/>
        <color theme="1"/>
        <rFont val="宋体"/>
        <family val="3"/>
        <charset val="134"/>
      </rPr>
      <t>）</t>
    </r>
    <phoneticPr fontId="19" type="noConversion"/>
  </si>
  <si>
    <r>
      <t>3</t>
    </r>
    <r>
      <rPr>
        <sz val="11"/>
        <color theme="1"/>
        <rFont val="宋体"/>
        <family val="3"/>
        <charset val="134"/>
      </rPr>
      <t>）</t>
    </r>
    <phoneticPr fontId="19" type="noConversion"/>
  </si>
  <si>
    <t>①</t>
    <phoneticPr fontId="137" type="noConversion"/>
  </si>
  <si>
    <t>②</t>
    <phoneticPr fontId="137" type="noConversion"/>
  </si>
  <si>
    <t>开发价值（V）</t>
    <phoneticPr fontId="21" type="noConversion"/>
  </si>
  <si>
    <t>不计算，开发完成后价值和后续成本为不含税价，此处不再重复扣减</t>
    <phoneticPr fontId="6" type="noConversion"/>
  </si>
  <si>
    <t>开发价值计算</t>
    <phoneticPr fontId="21" type="noConversion"/>
  </si>
  <si>
    <t xml:space="preserve">  续建建安</t>
    <phoneticPr fontId="19" type="noConversion"/>
  </si>
  <si>
    <t xml:space="preserve">  前期费用</t>
    <phoneticPr fontId="19" type="noConversion"/>
  </si>
  <si>
    <t xml:space="preserve">  公共配套设施费用</t>
    <phoneticPr fontId="19" type="noConversion"/>
  </si>
  <si>
    <t xml:space="preserve">  基础设施建设费</t>
    <phoneticPr fontId="21" type="noConversion"/>
  </si>
  <si>
    <t xml:space="preserve">  其他工程费</t>
    <phoneticPr fontId="21" type="noConversion"/>
  </si>
  <si>
    <t xml:space="preserve">  相关税费</t>
    <phoneticPr fontId="19" type="noConversion"/>
  </si>
  <si>
    <r>
      <rPr>
        <i/>
        <sz val="10"/>
        <color indexed="8"/>
        <rFont val="宋体"/>
        <family val="3"/>
        <charset val="134"/>
      </rPr>
      <t>住宅</t>
    </r>
    <phoneticPr fontId="19" type="noConversion"/>
  </si>
  <si>
    <r>
      <rPr>
        <i/>
        <sz val="10"/>
        <color indexed="8"/>
        <rFont val="宋体"/>
        <family val="3"/>
        <charset val="134"/>
      </rPr>
      <t>非住宅</t>
    </r>
    <phoneticPr fontId="19"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</si>
  <si>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9" type="noConversion"/>
  </si>
  <si>
    <t>开发完成后房地产价值与后续各项成本费用的差</t>
    <phoneticPr fontId="19" type="noConversion"/>
  </si>
  <si>
    <t>备注</t>
    <phoneticPr fontId="21" type="noConversion"/>
  </si>
  <si>
    <r>
      <rPr>
        <sz val="10"/>
        <color indexed="8"/>
        <rFont val="宋体"/>
        <family val="3"/>
        <charset val="134"/>
      </rPr>
      <t>租金</t>
    </r>
    <r>
      <rPr>
        <b/>
        <sz val="12"/>
        <color rgb="FFFF0000"/>
        <rFont val="宋体"/>
        <family val="3"/>
        <charset val="134"/>
      </rPr>
      <t>（不含税）</t>
    </r>
    <phoneticPr fontId="6" type="noConversion"/>
  </si>
  <si>
    <r>
      <t>2</t>
    </r>
    <r>
      <rPr>
        <sz val="10"/>
        <color indexed="8"/>
        <rFont val="宋体"/>
        <family val="3"/>
        <charset val="134"/>
      </rPr>
      <t>）</t>
    </r>
    <phoneticPr fontId="6" type="noConversion"/>
  </si>
  <si>
    <t>未来第一年有效毛收入</t>
    <phoneticPr fontId="6" type="noConversion"/>
  </si>
  <si>
    <r>
      <t>1</t>
    </r>
    <r>
      <rPr>
        <sz val="10"/>
        <color indexed="8"/>
        <rFont val="宋体"/>
        <family val="3"/>
        <charset val="134"/>
      </rPr>
      <t>）</t>
    </r>
    <phoneticPr fontId="6" type="noConversion"/>
  </si>
  <si>
    <t>销项税</t>
    <phoneticPr fontId="6" type="noConversion"/>
  </si>
  <si>
    <t>进项税</t>
    <phoneticPr fontId="6" type="noConversion"/>
  </si>
  <si>
    <t>销项税率</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</si>
  <si>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</si>
  <si>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建造成本</t>
    </r>
  </si>
  <si>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</si>
  <si>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</si>
  <si>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</si>
  <si>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</si>
  <si>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t>其他工程费</t>
    <phoneticPr fontId="6" type="noConversion"/>
  </si>
  <si>
    <t>开发期间税费</t>
    <phoneticPr fontId="6" type="noConversion"/>
  </si>
  <si>
    <t>以下1）-6）之和</t>
    <phoneticPr fontId="6" type="noConversion"/>
  </si>
  <si>
    <t>投资利息</t>
    <phoneticPr fontId="6" type="noConversion"/>
  </si>
  <si>
    <t>投资利润</t>
    <phoneticPr fontId="6" type="noConversion"/>
  </si>
  <si>
    <r>
      <rPr>
        <b/>
        <sz val="10"/>
        <color indexed="8"/>
        <rFont val="宋体"/>
        <family val="3"/>
        <charset val="134"/>
      </rPr>
      <t>（</t>
    </r>
    <r>
      <rPr>
        <b/>
        <sz val="10"/>
        <color indexed="8"/>
        <rFont val="Arial"/>
        <family val="2"/>
      </rPr>
      <t>6</t>
    </r>
    <r>
      <rPr>
        <b/>
        <sz val="10"/>
        <color indexed="8"/>
        <rFont val="宋体"/>
        <family val="3"/>
        <charset val="134"/>
      </rPr>
      <t>）</t>
    </r>
    <phoneticPr fontId="6"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</si>
  <si>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</si>
  <si>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6"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</si>
  <si>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</si>
  <si>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</si>
  <si>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</si>
  <si>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6"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</si>
  <si>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6" type="noConversion"/>
  </si>
  <si>
    <r>
      <rPr>
        <b/>
        <sz val="10"/>
        <color indexed="8"/>
        <rFont val="宋体"/>
        <family val="3"/>
        <charset val="134"/>
      </rPr>
      <t>（</t>
    </r>
    <r>
      <rPr>
        <b/>
        <sz val="10"/>
        <color indexed="8"/>
        <rFont val="Arial"/>
        <family val="2"/>
      </rPr>
      <t>3</t>
    </r>
    <r>
      <rPr>
        <b/>
        <sz val="10"/>
        <color indexed="8"/>
        <rFont val="宋体"/>
        <family val="3"/>
        <charset val="134"/>
      </rPr>
      <t>）</t>
    </r>
    <phoneticPr fontId="6" type="noConversion"/>
  </si>
  <si>
    <r>
      <rPr>
        <b/>
        <sz val="10"/>
        <color indexed="8"/>
        <rFont val="宋体"/>
        <family val="3"/>
        <charset val="134"/>
      </rPr>
      <t>销售费用</t>
    </r>
    <phoneticPr fontId="6"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</si>
  <si>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6"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</si>
  <si>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6" type="noConversion"/>
  </si>
  <si>
    <r>
      <rPr>
        <b/>
        <sz val="10"/>
        <color indexed="8"/>
        <rFont val="宋体"/>
        <family val="3"/>
        <charset val="134"/>
      </rPr>
      <t>（</t>
    </r>
    <r>
      <rPr>
        <b/>
        <sz val="10"/>
        <color indexed="8"/>
        <rFont val="Arial"/>
        <family val="2"/>
      </rPr>
      <t>4</t>
    </r>
    <r>
      <rPr>
        <b/>
        <sz val="10"/>
        <color indexed="8"/>
        <rFont val="宋体"/>
        <family val="3"/>
        <charset val="134"/>
      </rPr>
      <t>）</t>
    </r>
    <phoneticPr fontId="6" type="noConversion"/>
  </si>
  <si>
    <r>
      <rPr>
        <b/>
        <sz val="10"/>
        <color indexed="8"/>
        <rFont val="宋体"/>
        <family val="3"/>
        <charset val="134"/>
      </rPr>
      <t>（</t>
    </r>
    <r>
      <rPr>
        <b/>
        <sz val="10"/>
        <color indexed="8"/>
        <rFont val="Arial"/>
        <family val="2"/>
      </rPr>
      <t>5</t>
    </r>
    <r>
      <rPr>
        <b/>
        <sz val="10"/>
        <color indexed="8"/>
        <rFont val="宋体"/>
        <family val="3"/>
        <charset val="134"/>
      </rPr>
      <t>）</t>
    </r>
    <phoneticPr fontId="6"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</si>
  <si>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6" type="noConversion"/>
  </si>
  <si>
    <t>（8）</t>
    <phoneticPr fontId="6" type="noConversion"/>
  </si>
  <si>
    <t>（8）</t>
    <phoneticPr fontId="6" type="noConversion"/>
  </si>
  <si>
    <t>折旧</t>
    <phoneticPr fontId="6" type="noConversion"/>
  </si>
  <si>
    <r>
      <rPr>
        <b/>
        <sz val="10"/>
        <color indexed="8"/>
        <rFont val="宋体"/>
        <family val="3"/>
        <charset val="134"/>
      </rPr>
      <t>（9）</t>
    </r>
    <r>
      <rPr>
        <sz val="10"/>
        <color indexed="8"/>
        <rFont val="宋体"/>
        <family val="3"/>
        <charset val="134"/>
      </rPr>
      <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</si>
  <si>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</si>
  <si>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</si>
  <si>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</si>
  <si>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市场租金</t>
    </r>
    <r>
      <rPr>
        <sz val="12"/>
        <color rgb="FFFF0000"/>
        <rFont val="宋体"/>
        <family val="3"/>
        <charset val="134"/>
      </rPr>
      <t>（不含税）</t>
    </r>
    <phoneticPr fontId="6" type="noConversion"/>
  </si>
  <si>
    <t>建筑物重置成新价</t>
    <phoneticPr fontId="6"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</si>
  <si>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6" type="noConversion"/>
  </si>
  <si>
    <t>不含税</t>
    <phoneticPr fontId="6" type="noConversion"/>
  </si>
  <si>
    <t>（销项税额－进项税额）×（1+附加税税率）</t>
    <phoneticPr fontId="6"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</si>
  <si>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</si>
  <si>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b/>
        <sz val="10"/>
        <color indexed="8"/>
        <rFont val="宋体"/>
        <family val="3"/>
        <charset val="134"/>
      </rPr>
      <t>收益价值</t>
    </r>
    <r>
      <rPr>
        <b/>
        <sz val="10"/>
        <color rgb="FFFF0000"/>
        <rFont val="宋体"/>
        <family val="3"/>
        <charset val="134"/>
      </rPr>
      <t>（含税）</t>
    </r>
    <phoneticPr fontId="6" type="noConversion"/>
  </si>
  <si>
    <r>
      <rPr>
        <b/>
        <sz val="10"/>
        <color indexed="8"/>
        <rFont val="宋体"/>
        <family val="3"/>
        <charset val="134"/>
      </rPr>
      <t>建筑物重置价值</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</si>
  <si>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</si>
  <si>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b/>
        <sz val="10"/>
        <color indexed="8"/>
        <rFont val="宋体"/>
        <family val="3"/>
        <charset val="134"/>
      </rPr>
      <t>（</t>
    </r>
    <r>
      <rPr>
        <b/>
        <sz val="10"/>
        <color indexed="8"/>
        <rFont val="Arial"/>
        <family val="2"/>
      </rPr>
      <t>3</t>
    </r>
    <r>
      <rPr>
        <b/>
        <sz val="10"/>
        <color indexed="8"/>
        <rFont val="宋体"/>
        <family val="3"/>
        <charset val="134"/>
      </rPr>
      <t>）</t>
    </r>
    <phoneticPr fontId="6" type="noConversion"/>
  </si>
  <si>
    <t>成新率</t>
    <phoneticPr fontId="6" type="noConversion"/>
  </si>
  <si>
    <t>建筑物和土地折现值计算的基数都是不含税价</t>
    <phoneticPr fontId="6" type="noConversion"/>
  </si>
  <si>
    <r>
      <rPr>
        <b/>
        <sz val="11"/>
        <rFont val="宋体"/>
        <family val="3"/>
        <charset val="134"/>
      </rPr>
      <t>面积</t>
    </r>
    <phoneticPr fontId="19" type="noConversion"/>
  </si>
  <si>
    <r>
      <rPr>
        <b/>
        <sz val="11"/>
        <rFont val="宋体"/>
        <family val="3"/>
        <charset val="134"/>
      </rPr>
      <t>单价</t>
    </r>
    <phoneticPr fontId="19" type="noConversion"/>
  </si>
  <si>
    <r>
      <rPr>
        <b/>
        <sz val="11"/>
        <rFont val="宋体"/>
        <family val="3"/>
        <charset val="134"/>
      </rPr>
      <t>系数</t>
    </r>
    <phoneticPr fontId="19" type="noConversion"/>
  </si>
  <si>
    <r>
      <rPr>
        <b/>
        <sz val="11"/>
        <rFont val="宋体"/>
        <family val="3"/>
        <charset val="134"/>
      </rPr>
      <t>（</t>
    </r>
    <r>
      <rPr>
        <b/>
        <sz val="11"/>
        <rFont val="Arial"/>
        <family val="2"/>
      </rPr>
      <t>1</t>
    </r>
    <r>
      <rPr>
        <b/>
        <sz val="11"/>
        <rFont val="宋体"/>
        <family val="3"/>
        <charset val="134"/>
      </rPr>
      <t>）</t>
    </r>
    <phoneticPr fontId="137" type="noConversion"/>
  </si>
  <si>
    <r>
      <rPr>
        <b/>
        <sz val="11"/>
        <rFont val="宋体"/>
        <family val="3"/>
        <charset val="134"/>
      </rPr>
      <t>（</t>
    </r>
    <r>
      <rPr>
        <b/>
        <sz val="11"/>
        <rFont val="Arial"/>
        <family val="2"/>
      </rPr>
      <t>2</t>
    </r>
    <r>
      <rPr>
        <b/>
        <sz val="11"/>
        <rFont val="宋体"/>
        <family val="3"/>
        <charset val="134"/>
      </rPr>
      <t>）</t>
    </r>
    <phoneticPr fontId="6" type="noConversion"/>
  </si>
  <si>
    <r>
      <rPr>
        <b/>
        <sz val="11"/>
        <rFont val="宋体"/>
        <family val="3"/>
        <charset val="134"/>
      </rPr>
      <t>管理费用</t>
    </r>
    <phoneticPr fontId="6" type="noConversion"/>
  </si>
  <si>
    <r>
      <rPr>
        <b/>
        <sz val="11"/>
        <rFont val="宋体"/>
        <family val="3"/>
        <charset val="134"/>
      </rPr>
      <t>以（</t>
    </r>
    <r>
      <rPr>
        <b/>
        <sz val="11"/>
        <rFont val="Arial"/>
        <family val="2"/>
      </rPr>
      <t>1</t>
    </r>
    <r>
      <rPr>
        <b/>
        <sz val="11"/>
        <rFont val="宋体"/>
        <family val="3"/>
        <charset val="134"/>
      </rPr>
      <t>）为基数</t>
    </r>
    <phoneticPr fontId="6" type="noConversion"/>
  </si>
  <si>
    <r>
      <rPr>
        <b/>
        <sz val="11"/>
        <rFont val="宋体"/>
        <family val="3"/>
        <charset val="134"/>
      </rPr>
      <t>（</t>
    </r>
    <r>
      <rPr>
        <b/>
        <sz val="11"/>
        <rFont val="Arial"/>
        <family val="2"/>
      </rPr>
      <t>3</t>
    </r>
    <r>
      <rPr>
        <b/>
        <sz val="11"/>
        <rFont val="宋体"/>
        <family val="3"/>
        <charset val="134"/>
      </rPr>
      <t>）</t>
    </r>
    <phoneticPr fontId="6" type="noConversion"/>
  </si>
  <si>
    <r>
      <rPr>
        <b/>
        <sz val="11"/>
        <rFont val="宋体"/>
        <family val="3"/>
        <charset val="134"/>
      </rPr>
      <t>销售费用</t>
    </r>
    <phoneticPr fontId="6" type="noConversion"/>
  </si>
  <si>
    <r>
      <rPr>
        <b/>
        <sz val="11"/>
        <rFont val="宋体"/>
        <family val="3"/>
        <charset val="134"/>
      </rPr>
      <t>（</t>
    </r>
    <r>
      <rPr>
        <b/>
        <sz val="11"/>
        <rFont val="Arial"/>
        <family val="2"/>
      </rPr>
      <t>4</t>
    </r>
    <r>
      <rPr>
        <b/>
        <sz val="11"/>
        <rFont val="宋体"/>
        <family val="3"/>
        <charset val="134"/>
      </rPr>
      <t>）</t>
    </r>
    <phoneticPr fontId="6" type="noConversion"/>
  </si>
  <si>
    <r>
      <rPr>
        <b/>
        <sz val="11"/>
        <rFont val="宋体"/>
        <family val="3"/>
        <charset val="134"/>
      </rPr>
      <t>（</t>
    </r>
    <r>
      <rPr>
        <b/>
        <sz val="11"/>
        <rFont val="Arial"/>
        <family val="2"/>
      </rPr>
      <t>5</t>
    </r>
    <r>
      <rPr>
        <b/>
        <sz val="11"/>
        <rFont val="宋体"/>
        <family val="3"/>
        <charset val="134"/>
      </rPr>
      <t>）</t>
    </r>
    <phoneticPr fontId="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</si>
  <si>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6" type="noConversion"/>
  </si>
  <si>
    <r>
      <rPr>
        <b/>
        <sz val="11"/>
        <rFont val="宋体"/>
        <family val="3"/>
        <charset val="134"/>
      </rPr>
      <t>（</t>
    </r>
    <r>
      <rPr>
        <b/>
        <sz val="11"/>
        <rFont val="Arial"/>
        <family val="2"/>
      </rPr>
      <t>6</t>
    </r>
    <r>
      <rPr>
        <b/>
        <sz val="11"/>
        <rFont val="宋体"/>
        <family val="3"/>
        <charset val="134"/>
      </rPr>
      <t>）</t>
    </r>
    <phoneticPr fontId="6" type="noConversion"/>
  </si>
  <si>
    <r>
      <rPr>
        <b/>
        <sz val="11"/>
        <rFont val="宋体"/>
        <family val="3"/>
        <charset val="134"/>
      </rPr>
      <t>销售税费</t>
    </r>
    <phoneticPr fontId="6"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</si>
  <si>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6" type="noConversion"/>
  </si>
  <si>
    <r>
      <rPr>
        <b/>
        <sz val="11"/>
        <rFont val="宋体"/>
        <family val="3"/>
        <charset val="134"/>
      </rPr>
      <t>（</t>
    </r>
    <r>
      <rPr>
        <b/>
        <sz val="11"/>
        <rFont val="Arial"/>
        <family val="2"/>
      </rPr>
      <t>9</t>
    </r>
    <r>
      <rPr>
        <b/>
        <sz val="11"/>
        <rFont val="宋体"/>
        <family val="3"/>
        <charset val="134"/>
      </rPr>
      <t>）</t>
    </r>
    <phoneticPr fontId="6"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</si>
  <si>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6" type="noConversion"/>
  </si>
  <si>
    <t>（7）</t>
    <phoneticPr fontId="6"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</si>
  <si>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7"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</si>
  <si>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6" type="noConversion"/>
  </si>
  <si>
    <r>
      <t>建筑物重置价值－折旧；</t>
    </r>
    <r>
      <rPr>
        <b/>
        <sz val="10"/>
        <color rgb="FFFF0000"/>
        <rFont val="宋体"/>
        <family val="3"/>
        <charset val="134"/>
      </rPr>
      <t>不含税</t>
    </r>
    <phoneticPr fontId="6" type="noConversion"/>
  </si>
  <si>
    <r>
      <t>开发价值</t>
    </r>
    <r>
      <rPr>
        <b/>
        <sz val="11"/>
        <color rgb="FFFF0000"/>
        <rFont val="宋体"/>
        <family val="3"/>
        <charset val="134"/>
      </rPr>
      <t>（含税）</t>
    </r>
    <phoneticPr fontId="21"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</si>
  <si>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9" type="noConversion"/>
  </si>
  <si>
    <t>销项税率</t>
    <phoneticPr fontId="27" type="noConversion"/>
  </si>
  <si>
    <t>总价出单价</t>
    <phoneticPr fontId="11" type="noConversion"/>
  </si>
  <si>
    <t>单价出总价</t>
    <phoneticPr fontId="11" type="noConversion"/>
  </si>
  <si>
    <t>土地</t>
    <phoneticPr fontId="11" type="noConversion"/>
  </si>
  <si>
    <t>建筑物</t>
    <phoneticPr fontId="11" type="noConversion"/>
  </si>
  <si>
    <t>房地</t>
    <phoneticPr fontId="11" type="noConversion"/>
  </si>
  <si>
    <t>剩余法-待开发</t>
    <phoneticPr fontId="21" type="noConversion"/>
  </si>
  <si>
    <t>开发完成后不动产总价</t>
    <phoneticPr fontId="21" type="noConversion"/>
  </si>
  <si>
    <t>开发成本</t>
    <phoneticPr fontId="21" type="noConversion"/>
  </si>
  <si>
    <t>购地税费</t>
    <phoneticPr fontId="21" type="noConversion"/>
  </si>
  <si>
    <t>管理费用</t>
  </si>
  <si>
    <t>管理费用</t>
    <phoneticPr fontId="21" type="noConversion"/>
  </si>
  <si>
    <t>投资利息</t>
    <phoneticPr fontId="21" type="noConversion"/>
  </si>
  <si>
    <t>销售税费</t>
    <phoneticPr fontId="21" type="noConversion"/>
  </si>
  <si>
    <t>销售费用</t>
    <phoneticPr fontId="21" type="noConversion"/>
  </si>
  <si>
    <t>利润</t>
    <phoneticPr fontId="21" type="noConversion"/>
  </si>
  <si>
    <t>土地价格</t>
    <phoneticPr fontId="21"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</si>
  <si>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</si>
  <si>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21" type="noConversion"/>
  </si>
  <si>
    <r>
      <t>1</t>
    </r>
    <r>
      <rPr>
        <sz val="10"/>
        <color indexed="8"/>
        <rFont val="宋体"/>
        <family val="3"/>
        <charset val="134"/>
      </rPr>
      <t>）</t>
    </r>
    <phoneticPr fontId="21" type="noConversion"/>
  </si>
  <si>
    <t xml:space="preserve">  前期费用</t>
  </si>
  <si>
    <t xml:space="preserve">  公共配套设施费用</t>
  </si>
  <si>
    <t xml:space="preserve">  基础设施建设费</t>
  </si>
  <si>
    <t xml:space="preserve"> 建安费用</t>
    <phoneticPr fontId="21"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</si>
  <si>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</si>
  <si>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</si>
  <si>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</si>
  <si>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</si>
  <si>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</si>
  <si>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</si>
  <si>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21" type="noConversion"/>
  </si>
  <si>
    <r>
      <t>2</t>
    </r>
    <r>
      <rPr>
        <sz val="10"/>
        <color indexed="8"/>
        <rFont val="宋体"/>
        <family val="3"/>
        <charset val="134"/>
      </rPr>
      <t>）</t>
    </r>
    <phoneticPr fontId="21" type="noConversion"/>
  </si>
  <si>
    <t>（4）</t>
    <phoneticPr fontId="21" type="noConversion"/>
  </si>
  <si>
    <t>序号</t>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</si>
  <si>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</si>
  <si>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</si>
  <si>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</si>
  <si>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21" type="noConversion"/>
  </si>
  <si>
    <r>
      <t>6）</t>
    </r>
    <r>
      <rPr>
        <sz val="10"/>
        <color indexed="8"/>
        <rFont val="宋体"/>
        <family val="3"/>
        <charset val="134"/>
      </rPr>
      <t/>
    </r>
  </si>
  <si>
    <t>剩余法（现房）</t>
    <phoneticPr fontId="19" type="noConversion"/>
  </si>
  <si>
    <t>成本逼近法</t>
    <phoneticPr fontId="19" type="noConversion"/>
  </si>
  <si>
    <t>剩余法（现房）</t>
    <phoneticPr fontId="19" type="noConversion"/>
  </si>
  <si>
    <t>成本逼近法</t>
    <phoneticPr fontId="19" type="noConversion"/>
  </si>
  <si>
    <t>不动产总价</t>
    <phoneticPr fontId="19" type="noConversion"/>
  </si>
  <si>
    <t>土地价格计算</t>
    <phoneticPr fontId="21" type="noConversion"/>
  </si>
  <si>
    <t>不动产交易价格</t>
    <phoneticPr fontId="21" type="noConversion"/>
  </si>
  <si>
    <t>建造成本</t>
  </si>
  <si>
    <t>以（1）为基数</t>
  </si>
  <si>
    <t>以V建为基数</t>
  </si>
  <si>
    <t>不计，成本均为不含税成本</t>
  </si>
  <si>
    <t>前述5项相加</t>
  </si>
  <si>
    <t xml:space="preserve">  建安费用</t>
    <phoneticPr fontId="137" type="noConversion"/>
  </si>
  <si>
    <t>2）</t>
    <phoneticPr fontId="137" type="noConversion"/>
  </si>
  <si>
    <t xml:space="preserve">  前期费用</t>
    <phoneticPr fontId="137" type="noConversion"/>
  </si>
  <si>
    <t>销售费用</t>
    <phoneticPr fontId="137" type="noConversion"/>
  </si>
  <si>
    <t>单利计息</t>
    <phoneticPr fontId="6" type="noConversion"/>
  </si>
  <si>
    <t>1）</t>
    <phoneticPr fontId="6" type="noConversion"/>
  </si>
  <si>
    <t>已建工期均匀投入</t>
    <phoneticPr fontId="6" type="noConversion"/>
  </si>
  <si>
    <t>2）</t>
    <phoneticPr fontId="6" type="noConversion"/>
  </si>
  <si>
    <t>（5）</t>
    <phoneticPr fontId="6" type="noConversion"/>
  </si>
  <si>
    <t>（1）-（3）项乘利润率</t>
    <phoneticPr fontId="6" type="noConversion"/>
  </si>
  <si>
    <t>折旧</t>
    <phoneticPr fontId="6" type="noConversion"/>
  </si>
  <si>
    <t>建筑物重置价值×成新率</t>
    <phoneticPr fontId="137" type="noConversion"/>
  </si>
  <si>
    <t>建筑物重置价值－折旧</t>
    <phoneticPr fontId="6" type="noConversion"/>
  </si>
  <si>
    <t>1）</t>
    <phoneticPr fontId="137" type="noConversion"/>
  </si>
  <si>
    <t>3）</t>
    <phoneticPr fontId="137" type="noConversion"/>
  </si>
  <si>
    <t>4）</t>
    <phoneticPr fontId="137" type="noConversion"/>
  </si>
  <si>
    <t>5）</t>
    <phoneticPr fontId="137" type="noConversion"/>
  </si>
  <si>
    <t>6）</t>
    <phoneticPr fontId="137" type="noConversion"/>
  </si>
  <si>
    <t>（6）</t>
    <phoneticPr fontId="6" type="noConversion"/>
  </si>
  <si>
    <t>（7）</t>
    <phoneticPr fontId="6" type="noConversion"/>
  </si>
  <si>
    <t>（8）</t>
    <phoneticPr fontId="6" type="noConversion"/>
  </si>
  <si>
    <t>1）</t>
    <phoneticPr fontId="6" type="noConversion"/>
  </si>
  <si>
    <t>2）</t>
    <phoneticPr fontId="6" type="noConversion"/>
  </si>
  <si>
    <t xml:space="preserve">  红线内市政费用</t>
    <phoneticPr fontId="6" type="noConversion"/>
  </si>
  <si>
    <t xml:space="preserve">  开发期间税费</t>
    <phoneticPr fontId="6" type="noConversion"/>
  </si>
  <si>
    <t>投资利润</t>
    <phoneticPr fontId="6" type="noConversion"/>
  </si>
  <si>
    <t xml:space="preserve">  （1）、（2）项产生的利润</t>
    <phoneticPr fontId="6" type="noConversion"/>
  </si>
  <si>
    <t xml:space="preserve">  （3）项产生的利润</t>
    <phoneticPr fontId="6" type="noConversion"/>
  </si>
  <si>
    <t xml:space="preserve">  （1）、（2）项产生的利息</t>
    <phoneticPr fontId="6" type="noConversion"/>
  </si>
  <si>
    <t xml:space="preserve">  （3）项产生的利息</t>
    <phoneticPr fontId="6" type="noConversion"/>
  </si>
  <si>
    <t>销售税费</t>
    <phoneticPr fontId="6"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</si>
  <si>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</si>
  <si>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</si>
  <si>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</si>
  <si>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</si>
  <si>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</si>
  <si>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</si>
  <si>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</si>
  <si>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</si>
  <si>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</si>
  <si>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</si>
  <si>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</si>
  <si>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</si>
  <si>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7" type="noConversion"/>
  </si>
  <si>
    <t>征收农村集体土地</t>
    <phoneticPr fontId="137" type="noConversion"/>
  </si>
  <si>
    <t>通过市场交易获得土地</t>
    <phoneticPr fontId="137" type="noConversion"/>
  </si>
  <si>
    <t>土地开发费</t>
    <phoneticPr fontId="137" type="noConversion"/>
  </si>
  <si>
    <r>
      <t>3）</t>
    </r>
    <r>
      <rPr>
        <sz val="10"/>
        <rFont val="宋体"/>
        <family val="3"/>
        <charset val="134"/>
      </rPr>
      <t/>
    </r>
  </si>
  <si>
    <t>土地取得费</t>
    <phoneticPr fontId="137" type="noConversion"/>
  </si>
  <si>
    <t>土地增值</t>
    <phoneticPr fontId="137" type="noConversion"/>
  </si>
  <si>
    <t>7</t>
    <phoneticPr fontId="6" type="noConversion"/>
  </si>
  <si>
    <t>土地成本价格</t>
    <phoneticPr fontId="137" type="noConversion"/>
  </si>
  <si>
    <t>1）</t>
    <phoneticPr fontId="137" type="noConversion"/>
  </si>
  <si>
    <t>2）</t>
    <phoneticPr fontId="6" type="noConversion"/>
  </si>
  <si>
    <t>（2）</t>
    <phoneticPr fontId="21" type="noConversion"/>
  </si>
  <si>
    <t>征地区片价及其他费用</t>
    <phoneticPr fontId="137" type="noConversion"/>
  </si>
  <si>
    <t>①</t>
    <phoneticPr fontId="137" type="noConversion"/>
  </si>
  <si>
    <t>其他费用</t>
    <phoneticPr fontId="137" type="noConversion"/>
  </si>
  <si>
    <t>②</t>
    <phoneticPr fontId="137" type="noConversion"/>
  </si>
  <si>
    <t>6</t>
    <phoneticPr fontId="6" type="noConversion"/>
  </si>
  <si>
    <t>有限年期土地价格</t>
    <phoneticPr fontId="137" type="noConversion"/>
  </si>
  <si>
    <t>无限年期土地价格</t>
    <phoneticPr fontId="137" type="noConversion"/>
  </si>
  <si>
    <r>
      <rPr>
        <sz val="11"/>
        <rFont val="宋体"/>
        <family val="3"/>
        <charset val="134"/>
      </rPr>
      <t>（</t>
    </r>
    <r>
      <rPr>
        <sz val="11"/>
        <rFont val="Arial"/>
        <family val="2"/>
      </rPr>
      <t>1</t>
    </r>
    <r>
      <rPr>
        <sz val="11"/>
        <rFont val="宋体"/>
        <family val="3"/>
        <charset val="134"/>
      </rPr>
      <t>）</t>
    </r>
    <phoneticPr fontId="6" type="noConversion"/>
  </si>
  <si>
    <r>
      <rPr>
        <sz val="11"/>
        <rFont val="宋体"/>
        <family val="3"/>
        <charset val="134"/>
      </rPr>
      <t>（</t>
    </r>
    <r>
      <rPr>
        <sz val="11"/>
        <rFont val="Arial"/>
        <family val="2"/>
      </rPr>
      <t>2</t>
    </r>
    <r>
      <rPr>
        <sz val="11"/>
        <rFont val="宋体"/>
        <family val="3"/>
        <charset val="134"/>
      </rPr>
      <t>）</t>
    </r>
    <phoneticPr fontId="6" type="noConversion"/>
  </si>
  <si>
    <r>
      <rPr>
        <sz val="11"/>
        <rFont val="宋体"/>
        <family val="3"/>
        <charset val="134"/>
      </rPr>
      <t>（</t>
    </r>
    <r>
      <rPr>
        <sz val="11"/>
        <rFont val="Arial"/>
        <family val="2"/>
      </rPr>
      <t>3</t>
    </r>
    <r>
      <rPr>
        <sz val="11"/>
        <rFont val="宋体"/>
        <family val="3"/>
        <charset val="134"/>
      </rPr>
      <t>）</t>
    </r>
    <phoneticPr fontId="6" type="noConversion"/>
  </si>
  <si>
    <r>
      <rPr>
        <sz val="11"/>
        <rFont val="宋体"/>
        <family val="3"/>
        <charset val="134"/>
      </rPr>
      <t>（</t>
    </r>
    <r>
      <rPr>
        <sz val="11"/>
        <rFont val="Arial"/>
        <family val="2"/>
      </rPr>
      <t>4</t>
    </r>
    <r>
      <rPr>
        <sz val="11"/>
        <rFont val="宋体"/>
        <family val="3"/>
        <charset val="134"/>
      </rPr>
      <t>）</t>
    </r>
    <phoneticPr fontId="6" type="noConversion"/>
  </si>
  <si>
    <r>
      <rPr>
        <sz val="11"/>
        <rFont val="宋体"/>
        <family val="3"/>
        <charset val="134"/>
      </rPr>
      <t>建筑物重置价值（</t>
    </r>
    <r>
      <rPr>
        <sz val="11"/>
        <rFont val="Arial"/>
        <family val="2"/>
      </rPr>
      <t>V</t>
    </r>
    <r>
      <rPr>
        <sz val="11"/>
        <rFont val="宋体"/>
        <family val="3"/>
        <charset val="134"/>
      </rPr>
      <t>建）</t>
    </r>
    <phoneticPr fontId="6"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</si>
  <si>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9"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</si>
  <si>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21" type="noConversion"/>
  </si>
  <si>
    <r>
      <rPr>
        <b/>
        <sz val="11"/>
        <rFont val="宋体"/>
        <family val="3"/>
        <charset val="134"/>
      </rPr>
      <t>（</t>
    </r>
    <r>
      <rPr>
        <b/>
        <sz val="11"/>
        <rFont val="Arial"/>
        <family val="2"/>
      </rPr>
      <t>1</t>
    </r>
    <r>
      <rPr>
        <b/>
        <sz val="11"/>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</si>
  <si>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</si>
  <si>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红线内市政费用</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</si>
  <si>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</si>
  <si>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19" type="noConversion"/>
  </si>
  <si>
    <t>3</t>
    <phoneticPr fontId="19" type="noConversion"/>
  </si>
  <si>
    <t>税费</t>
    <phoneticPr fontId="137" type="noConversion"/>
  </si>
  <si>
    <t>4</t>
    <phoneticPr fontId="19" type="noConversion"/>
  </si>
  <si>
    <t>利息</t>
    <phoneticPr fontId="137" type="noConversion"/>
  </si>
  <si>
    <t>5</t>
    <phoneticPr fontId="19" type="noConversion"/>
  </si>
  <si>
    <t>利润</t>
    <phoneticPr fontId="137" type="noConversion"/>
  </si>
  <si>
    <t>成本逼近法有限年期修正</t>
    <phoneticPr fontId="6" type="noConversion"/>
  </si>
  <si>
    <t>6+7</t>
    <phoneticPr fontId="137" type="noConversion"/>
  </si>
  <si>
    <r>
      <rPr>
        <b/>
        <sz val="12"/>
        <rFont val="宋体"/>
        <family val="3"/>
        <charset val="134"/>
      </rPr>
      <t>前述</t>
    </r>
    <r>
      <rPr>
        <b/>
        <sz val="12"/>
        <rFont val="Arial"/>
        <family val="2"/>
      </rPr>
      <t>5</t>
    </r>
    <r>
      <rPr>
        <b/>
        <sz val="12"/>
        <rFont val="宋体"/>
        <family val="3"/>
        <charset val="134"/>
      </rPr>
      <t>项之和</t>
    </r>
    <phoneticPr fontId="137" type="noConversion"/>
  </si>
  <si>
    <r>
      <rPr>
        <b/>
        <sz val="12"/>
        <rFont val="宋体"/>
        <family val="3"/>
        <charset val="134"/>
      </rPr>
      <t>８</t>
    </r>
    <r>
      <rPr>
        <b/>
        <sz val="12"/>
        <rFont val="Arial"/>
        <family val="2"/>
      </rPr>
      <t>×</t>
    </r>
    <r>
      <rPr>
        <b/>
        <sz val="12"/>
        <rFont val="宋体"/>
        <family val="3"/>
        <charset val="134"/>
      </rPr>
      <t>年期修正系数</t>
    </r>
    <phoneticPr fontId="137" type="noConversion"/>
  </si>
  <si>
    <t>一般</t>
  </si>
  <si>
    <t>较好</t>
  </si>
  <si>
    <t>七通</t>
  </si>
  <si>
    <t>六通</t>
  </si>
  <si>
    <t>五通</t>
  </si>
  <si>
    <t>四通</t>
  </si>
  <si>
    <t>三通</t>
  </si>
  <si>
    <t>规则</t>
  </si>
  <si>
    <t>较规则</t>
  </si>
  <si>
    <t>较不规则</t>
  </si>
  <si>
    <t>不规则</t>
  </si>
  <si>
    <t>收益法 (机械车位)</t>
    <phoneticPr fontId="19" type="noConversion"/>
  </si>
  <si>
    <t>不动产交易价格－房屋现值－交易税费</t>
    <phoneticPr fontId="19" type="noConversion"/>
  </si>
  <si>
    <t>交易税费</t>
    <phoneticPr fontId="2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</si>
  <si>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1"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</si>
  <si>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11" type="noConversion"/>
  </si>
  <si>
    <r>
      <rPr>
        <b/>
        <sz val="11"/>
        <rFont val="仿宋_GB2312"/>
        <family val="3"/>
        <charset val="134"/>
      </rPr>
      <t>单位面积地价</t>
    </r>
    <phoneticPr fontId="6" type="noConversion"/>
  </si>
  <si>
    <t>单位面积地价</t>
    <phoneticPr fontId="12" type="noConversion"/>
  </si>
  <si>
    <r>
      <rPr>
        <sz val="11"/>
        <color indexed="8"/>
        <rFont val="仿宋_GB2312"/>
        <family val="3"/>
        <charset val="134"/>
      </rPr>
      <t>楼面地价</t>
    </r>
  </si>
  <si>
    <r>
      <rPr>
        <b/>
        <sz val="12"/>
        <rFont val="仿宋_GB2312"/>
        <family val="3"/>
        <charset val="134"/>
      </rPr>
      <t>单位面积地价</t>
    </r>
    <phoneticPr fontId="6" type="noConversion"/>
  </si>
  <si>
    <r>
      <rPr>
        <b/>
        <sz val="12"/>
        <rFont val="宋体"/>
        <family val="3"/>
        <charset val="134"/>
      </rPr>
      <t>万元</t>
    </r>
    <r>
      <rPr>
        <b/>
        <sz val="12"/>
        <rFont val="Arial"/>
        <family val="2"/>
      </rPr>
      <t>/</t>
    </r>
    <r>
      <rPr>
        <b/>
        <sz val="12"/>
        <rFont val="宋体"/>
        <family val="3"/>
        <charset val="134"/>
      </rPr>
      <t>亩</t>
    </r>
    <phoneticPr fontId="33" type="noConversion"/>
  </si>
  <si>
    <r>
      <rPr>
        <b/>
        <sz val="12"/>
        <rFont val="宋体"/>
        <family val="3"/>
        <charset val="134"/>
      </rPr>
      <t>元</t>
    </r>
    <r>
      <rPr>
        <b/>
        <sz val="12"/>
        <rFont val="Arial"/>
        <family val="2"/>
      </rPr>
      <t>/</t>
    </r>
    <r>
      <rPr>
        <b/>
        <sz val="12"/>
        <rFont val="宋体"/>
        <family val="3"/>
        <charset val="134"/>
      </rPr>
      <t>平方米</t>
    </r>
    <phoneticPr fontId="33" type="noConversion"/>
  </si>
  <si>
    <t>单位面积地价</t>
    <phoneticPr fontId="6" type="noConversion"/>
  </si>
  <si>
    <t>元/平方米</t>
    <phoneticPr fontId="6" type="noConversion"/>
  </si>
  <si>
    <t>万元/亩</t>
    <phoneticPr fontId="6" type="noConversion"/>
  </si>
  <si>
    <t>2025-4</t>
    <phoneticPr fontId="6" type="noConversion"/>
  </si>
  <si>
    <t>2026-2</t>
    <phoneticPr fontId="6" type="noConversion"/>
  </si>
  <si>
    <t>2026-3</t>
    <phoneticPr fontId="6" type="noConversion"/>
  </si>
  <si>
    <t>2026-4</t>
    <phoneticPr fontId="6" type="noConversion"/>
  </si>
  <si>
    <t>2026-1</t>
    <phoneticPr fontId="6" type="noConversion"/>
  </si>
  <si>
    <t>2025-3</t>
    <phoneticPr fontId="6" type="noConversion"/>
  </si>
  <si>
    <t>2026-1</t>
    <phoneticPr fontId="6" type="noConversion"/>
  </si>
  <si>
    <t>法定优先受偿款</t>
    <phoneticPr fontId="11" type="noConversion"/>
  </si>
  <si>
    <t>地价款</t>
    <phoneticPr fontId="11" type="noConversion"/>
  </si>
  <si>
    <t>不含增值税</t>
    <phoneticPr fontId="11" type="noConversion"/>
  </si>
  <si>
    <t>工程款</t>
    <phoneticPr fontId="11" type="noConversion"/>
  </si>
  <si>
    <t>未扣进项税</t>
    <phoneticPr fontId="11" type="noConversion"/>
  </si>
  <si>
    <t>其他</t>
    <phoneticPr fontId="11" type="noConversion"/>
  </si>
  <si>
    <t>_</t>
    <phoneticPr fontId="11" type="noConversion"/>
  </si>
  <si>
    <t>房地产抵押价值</t>
    <phoneticPr fontId="11" type="noConversion"/>
  </si>
  <si>
    <t>增值税</t>
    <phoneticPr fontId="11" type="noConversion"/>
  </si>
  <si>
    <t>销项税</t>
    <phoneticPr fontId="11" type="noConversion"/>
  </si>
  <si>
    <t>进项税</t>
    <phoneticPr fontId="11" type="noConversion"/>
  </si>
  <si>
    <t>未扣税，作为处置价格，默认含销项税</t>
    <phoneticPr fontId="11"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</si>
  <si>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11" type="noConversion"/>
  </si>
  <si>
    <r>
      <rPr>
        <sz val="10"/>
        <color indexed="8"/>
        <rFont val="宋体"/>
        <family val="3"/>
        <charset val="134"/>
      </rPr>
      <t>建安等成本×</t>
    </r>
    <r>
      <rPr>
        <sz val="10"/>
        <color indexed="8"/>
        <rFont val="Arial"/>
        <family val="2"/>
      </rPr>
      <t>9%</t>
    </r>
    <phoneticPr fontId="11" type="noConversion"/>
  </si>
  <si>
    <r>
      <rPr>
        <sz val="10"/>
        <color indexed="8"/>
        <rFont val="宋体"/>
        <family val="3"/>
        <charset val="134"/>
      </rPr>
      <t>前期等成本×</t>
    </r>
    <r>
      <rPr>
        <sz val="10"/>
        <color indexed="8"/>
        <rFont val="Arial"/>
        <family val="2"/>
      </rPr>
      <t>6%</t>
    </r>
    <phoneticPr fontId="11"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</si>
  <si>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11" type="noConversion"/>
  </si>
  <si>
    <t>印花税</t>
    <phoneticPr fontId="11" type="noConversion"/>
  </si>
  <si>
    <t>抵押价值×印花税率；合同按含税签</t>
    <phoneticPr fontId="11" type="noConversion"/>
  </si>
  <si>
    <t>土地增值税</t>
    <phoneticPr fontId="11" type="noConversion"/>
  </si>
  <si>
    <t>③</t>
    <phoneticPr fontId="137"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</si>
  <si>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6" type="noConversion"/>
  </si>
  <si>
    <t>通过比较法求取</t>
    <phoneticPr fontId="6" type="noConversion"/>
  </si>
  <si>
    <t>以开发价值（V）为基数</t>
    <phoneticPr fontId="19" type="noConversion"/>
  </si>
  <si>
    <t>以下6项之和</t>
    <phoneticPr fontId="21" type="noConversion"/>
  </si>
  <si>
    <t>按工程进度计取</t>
    <phoneticPr fontId="19"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</si>
  <si>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9" type="noConversion"/>
  </si>
  <si>
    <t>折算至建筑面积</t>
    <phoneticPr fontId="137" type="noConversion"/>
  </si>
  <si>
    <t>基础设施建设费（土地开发费）</t>
    <phoneticPr fontId="137" type="noConversion"/>
  </si>
  <si>
    <t>级别平均容积率</t>
    <phoneticPr fontId="137" type="noConversion"/>
  </si>
  <si>
    <t>估价对象容积率</t>
    <phoneticPr fontId="137" type="noConversion"/>
  </si>
  <si>
    <t>容积率修正系数</t>
    <phoneticPr fontId="137" type="noConversion"/>
  </si>
  <si>
    <t>为增值税（销项税），不动产交易价格为不含税价，此处不再扣减</t>
    <phoneticPr fontId="19" type="noConversion"/>
  </si>
  <si>
    <t>以建安费用为基数计算</t>
    <phoneticPr fontId="137" type="noConversion"/>
  </si>
  <si>
    <t xml:space="preserve">以续建建安为基数计算 </t>
    <phoneticPr fontId="21" type="noConversion"/>
  </si>
  <si>
    <t>2</t>
    <phoneticPr fontId="6" type="noConversion"/>
  </si>
  <si>
    <t>3</t>
    <phoneticPr fontId="6" type="noConversion"/>
  </si>
  <si>
    <t>4</t>
    <phoneticPr fontId="6" type="noConversion"/>
  </si>
  <si>
    <t>5</t>
    <phoneticPr fontId="6" type="noConversion"/>
  </si>
  <si>
    <t>6</t>
    <phoneticPr fontId="6" type="noConversion"/>
  </si>
  <si>
    <t>6</t>
    <phoneticPr fontId="137"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</si>
  <si>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</si>
  <si>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</si>
  <si>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11"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</si>
  <si>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11" type="noConversion"/>
  </si>
  <si>
    <t>出让金+开发费</t>
  </si>
  <si>
    <t>不含增值税，仅附加税</t>
    <phoneticPr fontId="36"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</si>
  <si>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11" type="noConversion"/>
  </si>
  <si>
    <r>
      <t>2026</t>
    </r>
    <r>
      <rPr>
        <sz val="10"/>
        <color rgb="FFFF0000"/>
        <rFont val="宋体"/>
        <family val="3"/>
        <charset val="134"/>
      </rPr>
      <t>年改征收率</t>
    </r>
    <r>
      <rPr>
        <sz val="10"/>
        <color rgb="FFFF0000"/>
        <rFont val="Arial"/>
        <family val="2"/>
      </rPr>
      <t>3%</t>
    </r>
    <phoneticPr fontId="11" type="noConversion"/>
  </si>
  <si>
    <t>销项税额</t>
    <phoneticPr fontId="11" type="noConversion"/>
  </si>
  <si>
    <t>进项税额</t>
    <phoneticPr fontId="11" type="noConversion"/>
  </si>
  <si>
    <t>项目</t>
    <phoneticPr fontId="11" type="noConversion"/>
  </si>
  <si>
    <t>销售额</t>
    <phoneticPr fontId="11" type="noConversion"/>
  </si>
  <si>
    <t>税率</t>
    <phoneticPr fontId="11" type="noConversion"/>
  </si>
  <si>
    <t>计税成本1</t>
    <phoneticPr fontId="11" type="noConversion"/>
  </si>
  <si>
    <r>
      <rPr>
        <sz val="10"/>
        <color indexed="8"/>
        <rFont val="宋体"/>
        <family val="3"/>
        <charset val="134"/>
      </rPr>
      <t>计税成本</t>
    </r>
    <r>
      <rPr>
        <sz val="10"/>
        <color indexed="8"/>
        <rFont val="Arial"/>
        <family val="2"/>
      </rPr>
      <t>2</t>
    </r>
    <phoneticPr fontId="11"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</si>
  <si>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6"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</si>
  <si>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11" type="noConversion"/>
  </si>
  <si>
    <t>全部改为不含税内涵</t>
    <phoneticPr fontId="11" type="noConversion"/>
  </si>
  <si>
    <t>增值税处理原则：20260108 以项目取得和建成时间判断，2016年5月1日之前的项目，采用5%征收率计算，之后的项目执行新法政策</t>
    <phoneticPr fontId="11" type="noConversion"/>
  </si>
  <si>
    <t>税率</t>
    <phoneticPr fontId="40"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</si>
  <si>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11" type="noConversion"/>
  </si>
  <si>
    <t>政策</t>
    <phoneticPr fontId="11" type="noConversion"/>
  </si>
  <si>
    <t>销售额</t>
    <phoneticPr fontId="40" type="noConversion"/>
  </si>
  <si>
    <t>取得价款及费用</t>
    <phoneticPr fontId="36" type="noConversion"/>
  </si>
  <si>
    <r>
      <rPr>
        <sz val="9"/>
        <rFont val="宋体"/>
        <family val="3"/>
        <charset val="134"/>
      </rPr>
      <t>全部价款</t>
    </r>
    <phoneticPr fontId="40" type="noConversion"/>
  </si>
  <si>
    <r>
      <rPr>
        <sz val="9"/>
        <rFont val="宋体"/>
        <family val="3"/>
        <charset val="134"/>
      </rPr>
      <t>价外费用</t>
    </r>
    <phoneticPr fontId="36" type="noConversion"/>
  </si>
  <si>
    <r>
      <rPr>
        <b/>
        <sz val="9"/>
        <rFont val="宋体"/>
        <family val="3"/>
        <charset val="134"/>
      </rPr>
      <t>原购置价</t>
    </r>
    <r>
      <rPr>
        <b/>
        <sz val="9"/>
        <rFont val="Arial"/>
        <family val="2"/>
      </rPr>
      <t>/</t>
    </r>
    <r>
      <rPr>
        <b/>
        <sz val="9"/>
        <rFont val="宋体"/>
        <family val="3"/>
        <charset val="134"/>
      </rPr>
      <t>作价</t>
    </r>
    <phoneticPr fontId="40" type="noConversion"/>
  </si>
  <si>
    <t>金额</t>
    <phoneticPr fontId="11" type="noConversion"/>
  </si>
  <si>
    <t>序号</t>
    <phoneticPr fontId="40" type="noConversion"/>
  </si>
  <si>
    <t>项目</t>
    <phoneticPr fontId="11" type="noConversion"/>
  </si>
  <si>
    <t>序号</t>
    <phoneticPr fontId="11" type="noConversion"/>
  </si>
  <si>
    <t>金额</t>
    <phoneticPr fontId="11" type="noConversion"/>
  </si>
  <si>
    <t>工资、水电费、保险费、宣传费、差旅费、装修折旧等，以年总收入为基数计算</t>
    <phoneticPr fontId="6" type="noConversion"/>
  </si>
  <si>
    <t>公司经费、审计费、咨询费、修理费、银行手续费等，以年总收入为基数计算</t>
    <phoneticPr fontId="6" type="noConversion"/>
  </si>
  <si>
    <r>
      <rPr>
        <b/>
        <sz val="11"/>
        <rFont val="宋体"/>
        <family val="3"/>
        <charset val="134"/>
      </rPr>
      <t>酒店经营</t>
    </r>
    <phoneticPr fontId="137" type="noConversion"/>
  </si>
  <si>
    <r>
      <rPr>
        <b/>
        <sz val="10"/>
        <rFont val="宋体"/>
        <family val="3"/>
        <charset val="134"/>
      </rPr>
      <t>序号</t>
    </r>
    <phoneticPr fontId="137" type="noConversion"/>
  </si>
  <si>
    <r>
      <rPr>
        <b/>
        <sz val="9"/>
        <rFont val="宋体"/>
        <family val="3"/>
        <charset val="134"/>
      </rPr>
      <t>项目</t>
    </r>
    <phoneticPr fontId="137" type="noConversion"/>
  </si>
  <si>
    <r>
      <rPr>
        <b/>
        <sz val="10"/>
        <rFont val="宋体"/>
        <family val="3"/>
        <charset val="134"/>
      </rPr>
      <t>备注</t>
    </r>
    <phoneticPr fontId="137" type="noConversion"/>
  </si>
  <si>
    <r>
      <rPr>
        <b/>
        <sz val="9"/>
        <rFont val="宋体"/>
        <family val="3"/>
        <charset val="134"/>
      </rPr>
      <t>税率</t>
    </r>
    <phoneticPr fontId="137" type="noConversion"/>
  </si>
  <si>
    <r>
      <rPr>
        <b/>
        <sz val="9"/>
        <rFont val="宋体"/>
        <family val="3"/>
        <charset val="134"/>
      </rPr>
      <t>增值税</t>
    </r>
    <phoneticPr fontId="137" type="noConversion"/>
  </si>
  <si>
    <r>
      <rPr>
        <b/>
        <sz val="9"/>
        <rFont val="宋体"/>
        <family val="3"/>
        <charset val="134"/>
      </rPr>
      <t>销项税计算</t>
    </r>
    <phoneticPr fontId="137" type="noConversion"/>
  </si>
  <si>
    <r>
      <rPr>
        <sz val="9"/>
        <rFont val="宋体"/>
        <family val="3"/>
        <charset val="134"/>
      </rPr>
      <t>客房收入</t>
    </r>
    <phoneticPr fontId="137" type="noConversion"/>
  </si>
  <si>
    <r>
      <rPr>
        <sz val="9"/>
        <rFont val="宋体"/>
        <family val="3"/>
        <charset val="134"/>
      </rPr>
      <t>餐厅收入</t>
    </r>
    <phoneticPr fontId="137" type="noConversion"/>
  </si>
  <si>
    <r>
      <rPr>
        <sz val="9"/>
        <rFont val="宋体"/>
        <family val="3"/>
        <charset val="134"/>
      </rPr>
      <t>会议中心</t>
    </r>
    <phoneticPr fontId="137" type="noConversion"/>
  </si>
  <si>
    <r>
      <rPr>
        <sz val="9"/>
        <rFont val="宋体"/>
        <family val="3"/>
        <charset val="134"/>
      </rPr>
      <t>不动产租赁</t>
    </r>
    <phoneticPr fontId="137" type="noConversion"/>
  </si>
  <si>
    <r>
      <rPr>
        <sz val="9"/>
        <rFont val="宋体"/>
        <family val="3"/>
        <charset val="134"/>
      </rPr>
      <t>出租收入</t>
    </r>
    <phoneticPr fontId="137" type="noConversion"/>
  </si>
  <si>
    <r>
      <rPr>
        <b/>
        <sz val="9"/>
        <rFont val="宋体"/>
        <family val="3"/>
        <charset val="134"/>
      </rPr>
      <t>进项税计算</t>
    </r>
    <phoneticPr fontId="137" type="noConversion"/>
  </si>
  <si>
    <r>
      <rPr>
        <sz val="9"/>
        <rFont val="宋体"/>
        <family val="3"/>
        <charset val="134"/>
      </rPr>
      <t>经营成本</t>
    </r>
    <phoneticPr fontId="137" type="noConversion"/>
  </si>
  <si>
    <r>
      <rPr>
        <sz val="9"/>
        <rFont val="宋体"/>
        <family val="3"/>
        <charset val="134"/>
      </rPr>
      <t>经营费用</t>
    </r>
    <phoneticPr fontId="137" type="noConversion"/>
  </si>
  <si>
    <r>
      <t>1</t>
    </r>
    <r>
      <rPr>
        <sz val="8"/>
        <rFont val="宋体"/>
        <family val="3"/>
        <charset val="134"/>
      </rPr>
      <t>）</t>
    </r>
    <phoneticPr fontId="137" type="noConversion"/>
  </si>
  <si>
    <r>
      <rPr>
        <sz val="8"/>
        <rFont val="宋体"/>
        <family val="3"/>
        <charset val="134"/>
      </rPr>
      <t>工资、差旅费</t>
    </r>
    <phoneticPr fontId="137" type="noConversion"/>
  </si>
  <si>
    <r>
      <rPr>
        <sz val="8"/>
        <rFont val="宋体"/>
        <family val="3"/>
        <charset val="134"/>
      </rPr>
      <t>不计算</t>
    </r>
    <phoneticPr fontId="137"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</si>
  <si>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</si>
  <si>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</si>
  <si>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</si>
  <si>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</si>
  <si>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7" type="noConversion"/>
  </si>
  <si>
    <r>
      <rPr>
        <sz val="9"/>
        <rFont val="宋体"/>
        <family val="3"/>
        <charset val="134"/>
      </rPr>
      <t>销售服务</t>
    </r>
    <r>
      <rPr>
        <sz val="9"/>
        <rFont val="Arial"/>
        <family val="2"/>
      </rPr>
      <t>-</t>
    </r>
    <r>
      <rPr>
        <sz val="9"/>
        <rFont val="宋体"/>
        <family val="3"/>
        <charset val="134"/>
      </rPr>
      <t>酒店客房</t>
    </r>
    <phoneticPr fontId="137"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</si>
  <si>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</si>
  <si>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7"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</si>
  <si>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</si>
  <si>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</si>
  <si>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7" type="noConversion"/>
  </si>
  <si>
    <r>
      <rPr>
        <sz val="8"/>
        <rFont val="宋体"/>
        <family val="3"/>
        <charset val="134"/>
      </rPr>
      <t>保险费、宣传费</t>
    </r>
    <phoneticPr fontId="137" type="noConversion"/>
  </si>
  <si>
    <r>
      <rPr>
        <sz val="8"/>
        <rFont val="宋体"/>
        <family val="3"/>
        <charset val="134"/>
      </rPr>
      <t>销售服务</t>
    </r>
    <phoneticPr fontId="137" type="noConversion"/>
  </si>
  <si>
    <r>
      <rPr>
        <sz val="9"/>
        <rFont val="宋体"/>
        <family val="3"/>
        <charset val="134"/>
      </rPr>
      <t>管理及财务费用</t>
    </r>
    <phoneticPr fontId="137" type="noConversion"/>
  </si>
  <si>
    <r>
      <t>1</t>
    </r>
    <r>
      <rPr>
        <sz val="8"/>
        <rFont val="宋体"/>
        <family val="3"/>
        <charset val="134"/>
      </rPr>
      <t>）</t>
    </r>
    <phoneticPr fontId="137" type="noConversion"/>
  </si>
  <si>
    <r>
      <rPr>
        <sz val="8"/>
        <rFont val="宋体"/>
        <family val="3"/>
        <charset val="134"/>
      </rPr>
      <t>公司经费、审计费、咨询费</t>
    </r>
    <phoneticPr fontId="137" type="noConversion"/>
  </si>
  <si>
    <r>
      <rPr>
        <sz val="8"/>
        <rFont val="宋体"/>
        <family val="3"/>
        <charset val="134"/>
      </rPr>
      <t>修理费</t>
    </r>
    <r>
      <rPr>
        <sz val="8"/>
        <rFont val="Arial"/>
        <family val="2"/>
      </rPr>
      <t>-</t>
    </r>
    <r>
      <rPr>
        <sz val="8"/>
        <rFont val="宋体"/>
        <family val="3"/>
        <charset val="134"/>
      </rPr>
      <t>房地产</t>
    </r>
    <phoneticPr fontId="137" type="noConversion"/>
  </si>
  <si>
    <r>
      <rPr>
        <sz val="8"/>
        <rFont val="宋体"/>
        <family val="3"/>
        <charset val="134"/>
      </rPr>
      <t>不动产</t>
    </r>
    <phoneticPr fontId="137" type="noConversion"/>
  </si>
  <si>
    <r>
      <rPr>
        <b/>
        <sz val="11"/>
        <rFont val="宋体"/>
        <family val="3"/>
        <charset val="134"/>
      </rPr>
      <t>购物中心</t>
    </r>
    <phoneticPr fontId="137" type="noConversion"/>
  </si>
  <si>
    <r>
      <rPr>
        <b/>
        <sz val="10"/>
        <rFont val="宋体"/>
        <family val="3"/>
        <charset val="134"/>
      </rPr>
      <t>序号</t>
    </r>
    <phoneticPr fontId="137" type="noConversion"/>
  </si>
  <si>
    <r>
      <rPr>
        <b/>
        <sz val="9"/>
        <rFont val="宋体"/>
        <family val="3"/>
        <charset val="134"/>
      </rPr>
      <t>项目</t>
    </r>
    <phoneticPr fontId="137" type="noConversion"/>
  </si>
  <si>
    <r>
      <rPr>
        <b/>
        <sz val="10"/>
        <rFont val="宋体"/>
        <family val="3"/>
        <charset val="134"/>
      </rPr>
      <t>备注</t>
    </r>
    <phoneticPr fontId="137" type="noConversion"/>
  </si>
  <si>
    <r>
      <rPr>
        <b/>
        <sz val="9"/>
        <rFont val="宋体"/>
        <family val="3"/>
        <charset val="134"/>
      </rPr>
      <t>税率</t>
    </r>
    <phoneticPr fontId="137" type="noConversion"/>
  </si>
  <si>
    <r>
      <rPr>
        <b/>
        <sz val="9"/>
        <rFont val="宋体"/>
        <family val="3"/>
        <charset val="134"/>
      </rPr>
      <t>增值税</t>
    </r>
    <phoneticPr fontId="137" type="noConversion"/>
  </si>
  <si>
    <r>
      <rPr>
        <b/>
        <sz val="9"/>
        <rFont val="宋体"/>
        <family val="3"/>
        <charset val="134"/>
      </rPr>
      <t>销项税计算</t>
    </r>
    <phoneticPr fontId="137" type="noConversion"/>
  </si>
  <si>
    <r>
      <rPr>
        <sz val="9"/>
        <rFont val="宋体"/>
        <family val="3"/>
        <charset val="134"/>
      </rPr>
      <t>（</t>
    </r>
    <r>
      <rPr>
        <sz val="9"/>
        <rFont val="Arial"/>
        <family val="2"/>
      </rPr>
      <t>1</t>
    </r>
    <r>
      <rPr>
        <sz val="9"/>
        <rFont val="宋体"/>
        <family val="3"/>
        <charset val="134"/>
      </rPr>
      <t>）</t>
    </r>
    <phoneticPr fontId="137" type="noConversion"/>
  </si>
  <si>
    <r>
      <rPr>
        <sz val="9"/>
        <rFont val="宋体"/>
        <family val="3"/>
        <charset val="134"/>
      </rPr>
      <t>不动产租赁收入</t>
    </r>
    <phoneticPr fontId="137" type="noConversion"/>
  </si>
  <si>
    <r>
      <rPr>
        <sz val="9"/>
        <rFont val="宋体"/>
        <family val="3"/>
        <charset val="134"/>
      </rPr>
      <t>不动产租赁</t>
    </r>
    <phoneticPr fontId="137" type="noConversion"/>
  </si>
  <si>
    <r>
      <rPr>
        <sz val="9"/>
        <rFont val="宋体"/>
        <family val="3"/>
        <charset val="134"/>
      </rPr>
      <t>物业</t>
    </r>
    <r>
      <rPr>
        <sz val="9"/>
        <rFont val="Arial"/>
        <family val="2"/>
      </rPr>
      <t>/</t>
    </r>
    <r>
      <rPr>
        <sz val="9"/>
        <rFont val="宋体"/>
        <family val="3"/>
        <charset val="134"/>
      </rPr>
      <t>管理费</t>
    </r>
    <phoneticPr fontId="137" type="noConversion"/>
  </si>
  <si>
    <r>
      <rPr>
        <sz val="9"/>
        <rFont val="宋体"/>
        <family val="3"/>
        <charset val="134"/>
      </rPr>
      <t>销售服务</t>
    </r>
    <phoneticPr fontId="137" type="noConversion"/>
  </si>
  <si>
    <r>
      <rPr>
        <b/>
        <sz val="9"/>
        <rFont val="宋体"/>
        <family val="3"/>
        <charset val="134"/>
      </rPr>
      <t>进项税计算</t>
    </r>
    <phoneticPr fontId="137" type="noConversion"/>
  </si>
  <si>
    <r>
      <rPr>
        <sz val="9"/>
        <rFont val="宋体"/>
        <family val="3"/>
        <charset val="134"/>
      </rPr>
      <t>经营成本</t>
    </r>
    <phoneticPr fontId="137" type="noConversion"/>
  </si>
  <si>
    <r>
      <rPr>
        <sz val="9"/>
        <rFont val="宋体"/>
        <family val="3"/>
        <charset val="134"/>
      </rPr>
      <t>经营费用</t>
    </r>
    <phoneticPr fontId="137" type="noConversion"/>
  </si>
  <si>
    <r>
      <t>1</t>
    </r>
    <r>
      <rPr>
        <sz val="9"/>
        <rFont val="宋体"/>
        <family val="3"/>
        <charset val="134"/>
      </rPr>
      <t>）</t>
    </r>
    <phoneticPr fontId="137" type="noConversion"/>
  </si>
  <si>
    <r>
      <rPr>
        <sz val="8"/>
        <rFont val="宋体"/>
        <family val="3"/>
        <charset val="134"/>
      </rPr>
      <t>工资、差旅费</t>
    </r>
    <phoneticPr fontId="137" type="noConversion"/>
  </si>
  <si>
    <r>
      <rPr>
        <sz val="8"/>
        <rFont val="宋体"/>
        <family val="3"/>
        <charset val="134"/>
      </rPr>
      <t>不计算</t>
    </r>
    <phoneticPr fontId="137" type="noConversion"/>
  </si>
  <si>
    <r>
      <rPr>
        <sz val="8"/>
        <rFont val="宋体"/>
        <family val="3"/>
        <charset val="134"/>
      </rPr>
      <t>销售能源</t>
    </r>
    <phoneticPr fontId="137" type="noConversion"/>
  </si>
  <si>
    <t>按收入比例计算</t>
    <phoneticPr fontId="137" type="noConversion"/>
  </si>
  <si>
    <t>20%~40%</t>
    <phoneticPr fontId="137" type="noConversion"/>
  </si>
  <si>
    <t>4%~8%</t>
    <phoneticPr fontId="137" type="noConversion"/>
  </si>
  <si>
    <t>5%~12%</t>
    <phoneticPr fontId="137" type="noConversion"/>
  </si>
  <si>
    <t>3%~6%</t>
    <phoneticPr fontId="137" type="noConversion"/>
  </si>
  <si>
    <t>3%~5%</t>
    <phoneticPr fontId="137" type="noConversion"/>
  </si>
  <si>
    <t>耗用物品以及原材料等，销售货物税率13%</t>
    <phoneticPr fontId="137" type="noConversion"/>
  </si>
  <si>
    <t>按收入比例计算</t>
    <phoneticPr fontId="137" type="noConversion"/>
  </si>
  <si>
    <t>能源费</t>
    <phoneticPr fontId="137" type="noConversion"/>
  </si>
  <si>
    <t>8%~15%</t>
    <phoneticPr fontId="137" type="noConversion"/>
  </si>
  <si>
    <t>3%~7%</t>
    <phoneticPr fontId="137" type="noConversion"/>
  </si>
  <si>
    <t>5%~10%</t>
    <phoneticPr fontId="137" type="noConversion"/>
  </si>
  <si>
    <t>3%~8%</t>
    <phoneticPr fontId="137" type="noConversion"/>
  </si>
  <si>
    <t>取值</t>
    <phoneticPr fontId="137" type="noConversion"/>
  </si>
  <si>
    <t>计算值</t>
    <phoneticPr fontId="137" type="noConversion"/>
  </si>
  <si>
    <t>增值税及附加</t>
    <phoneticPr fontId="6" type="noConversion"/>
  </si>
  <si>
    <t>按收入比例</t>
    <phoneticPr fontId="137" type="noConversion"/>
  </si>
  <si>
    <t>1%~4%</t>
    <phoneticPr fontId="137" type="noConversion"/>
  </si>
  <si>
    <t>（一）第一年年经营收入</t>
    <phoneticPr fontId="6" type="noConversion"/>
  </si>
  <si>
    <t>2026年改：地上为熟地价，地下为出让金</t>
    <phoneticPr fontId="79" type="noConversion"/>
  </si>
  <si>
    <t>潜在毛租金收入</t>
    <phoneticPr fontId="6" type="noConversion"/>
  </si>
  <si>
    <t>空置和收租损失</t>
    <phoneticPr fontId="6" type="noConversion"/>
  </si>
  <si>
    <t>有效毛租金收入</t>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</si>
  <si>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</si>
  <si>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</si>
  <si>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t>潜在毛租金收入×空置率</t>
    <phoneticPr fontId="6" type="noConversion"/>
  </si>
  <si>
    <t>潜在毛租金收入－空置和收租损失</t>
    <phoneticPr fontId="6" type="noConversion"/>
  </si>
  <si>
    <t>建筑物重置价值</t>
    <phoneticPr fontId="6" type="noConversion"/>
  </si>
  <si>
    <t>建筑物重置成新价</t>
    <phoneticPr fontId="6" type="noConversion"/>
  </si>
  <si>
    <t>3</t>
    <phoneticPr fontId="6" type="noConversion"/>
  </si>
  <si>
    <t>4</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</si>
  <si>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</si>
  <si>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</si>
  <si>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5</t>
    <phoneticPr fontId="6" type="noConversion"/>
  </si>
  <si>
    <t>建筑物重置价值</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</si>
  <si>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</si>
  <si>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b/>
        <sz val="12"/>
        <rFont val="宋体"/>
        <family val="3"/>
        <charset val="134"/>
      </rPr>
      <t>建筑物重置价值</t>
    </r>
    <r>
      <rPr>
        <b/>
        <sz val="12"/>
        <rFont val="Arial"/>
        <family val="2"/>
      </rPr>
      <t>×</t>
    </r>
    <r>
      <rPr>
        <b/>
        <sz val="12"/>
        <rFont val="宋体"/>
        <family val="3"/>
        <charset val="134"/>
      </rPr>
      <t>(1-成新率)</t>
    </r>
    <phoneticPr fontId="137" type="noConversion"/>
  </si>
  <si>
    <r>
      <rPr>
        <b/>
        <sz val="12"/>
        <rFont val="宋体"/>
        <family val="3"/>
        <charset val="134"/>
      </rPr>
      <t>建筑物重置价值</t>
    </r>
    <r>
      <rPr>
        <b/>
        <sz val="12"/>
        <rFont val="Arial"/>
        <family val="2"/>
      </rPr>
      <t>×</t>
    </r>
    <r>
      <rPr>
        <b/>
        <sz val="12"/>
        <rFont val="宋体"/>
        <family val="3"/>
        <charset val="134"/>
      </rPr>
      <t>（1-成新率）</t>
    </r>
    <phoneticPr fontId="137" type="noConversion"/>
  </si>
  <si>
    <t>租约外房地产收益价值</t>
    <phoneticPr fontId="6" type="noConversion"/>
  </si>
  <si>
    <t>租约外房地产收益价值÷（1+Y）^剩余租期</t>
    <phoneticPr fontId="6" type="noConversion"/>
  </si>
  <si>
    <t>前期费用</t>
    <phoneticPr fontId="6"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</si>
  <si>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6"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</si>
  <si>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6"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</si>
  <si>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6" type="noConversion"/>
  </si>
  <si>
    <t>数额（万元）</t>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</si>
  <si>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</si>
  <si>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t>建筑物重置价值（万元）</t>
    <phoneticPr fontId="6" type="noConversion"/>
  </si>
  <si>
    <t>建筑物重置成新价（万元）</t>
    <phoneticPr fontId="6" type="noConversion"/>
  </si>
  <si>
    <t>建筑物现值</t>
    <phoneticPr fontId="6"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</si>
  <si>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6" type="noConversion"/>
  </si>
  <si>
    <t>室内装修</t>
    <phoneticPr fontId="137" type="noConversion"/>
  </si>
  <si>
    <t>地上</t>
    <phoneticPr fontId="137" type="noConversion"/>
  </si>
  <si>
    <t>地下</t>
    <phoneticPr fontId="137" type="noConversion"/>
  </si>
  <si>
    <r>
      <rPr>
        <b/>
        <sz val="11"/>
        <color theme="1"/>
        <rFont val="宋体"/>
        <family val="3"/>
        <charset val="134"/>
      </rPr>
      <t>主体</t>
    </r>
    <phoneticPr fontId="137" type="noConversion"/>
  </si>
  <si>
    <t>2000~3000</t>
    <phoneticPr fontId="137"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</si>
  <si>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7"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</si>
  <si>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7"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</si>
  <si>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7" type="noConversion"/>
  </si>
  <si>
    <t>100~150</t>
    <phoneticPr fontId="137" type="noConversion"/>
  </si>
  <si>
    <t>装修（主室内装修）</t>
    <phoneticPr fontId="137" type="noConversion"/>
  </si>
  <si>
    <t>别墅</t>
    <phoneticPr fontId="137" type="noConversion"/>
  </si>
  <si>
    <t>15000~20000</t>
    <phoneticPr fontId="137" type="noConversion"/>
  </si>
  <si>
    <t>普住、公寓及商办（公区精装，室内简装）</t>
    <phoneticPr fontId="137" type="noConversion"/>
  </si>
  <si>
    <t>酒店</t>
    <phoneticPr fontId="137" type="noConversion"/>
  </si>
  <si>
    <t>1000~2000</t>
    <phoneticPr fontId="137" type="noConversion"/>
  </si>
  <si>
    <t>3000+</t>
    <phoneticPr fontId="137" type="noConversion"/>
  </si>
  <si>
    <t>200~300</t>
    <phoneticPr fontId="137" type="noConversion"/>
  </si>
  <si>
    <t>人防占比</t>
    <phoneticPr fontId="137"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</si>
  <si>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6" type="noConversion"/>
  </si>
  <si>
    <r>
      <rPr>
        <sz val="10"/>
        <color rgb="FF0070C0"/>
        <rFont val="宋体"/>
        <family val="3"/>
        <charset val="134"/>
      </rPr>
      <t>居住项目：80~100元/㎡；</t>
    </r>
    <r>
      <rPr>
        <sz val="10"/>
        <color rgb="FFFF0000"/>
        <rFont val="宋体"/>
        <family val="3"/>
        <charset val="134"/>
      </rPr>
      <t>商办项目不单计</t>
    </r>
    <phoneticPr fontId="6"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</si>
  <si>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6" type="noConversion"/>
  </si>
  <si>
    <r>
      <t>居住项目：高档90~100元/㎡，低档65~70元/㎡；商办项目:40~60元/㎡</t>
    </r>
    <r>
      <rPr>
        <sz val="10"/>
        <color rgb="FFFF0000"/>
        <rFont val="宋体"/>
        <family val="3"/>
        <charset val="134"/>
      </rPr>
      <t>（含开发期间税费）</t>
    </r>
    <phoneticPr fontId="6" type="noConversion"/>
  </si>
  <si>
    <r>
      <rPr>
        <sz val="10"/>
        <color rgb="FF0070C0"/>
        <rFont val="宋体"/>
        <family val="3"/>
        <charset val="134"/>
      </rPr>
      <t>居住项目：360~380元/㎡；商办项目:280~350元/㎡；</t>
    </r>
    <r>
      <rPr>
        <sz val="10"/>
        <color rgb="FFFF0000"/>
        <rFont val="宋体"/>
        <family val="3"/>
        <charset val="134"/>
      </rPr>
      <t>与项目规模负相关</t>
    </r>
    <phoneticPr fontId="6"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</si>
  <si>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6" type="noConversion"/>
  </si>
  <si>
    <t>按比例计算-酒店</t>
  </si>
  <si>
    <r>
      <rPr>
        <sz val="10"/>
        <color rgb="FFFF0000"/>
        <rFont val="宋体"/>
        <family val="3"/>
        <charset val="134"/>
      </rPr>
      <t>凭票据或默认已缴纳</t>
    </r>
    <phoneticPr fontId="6" type="noConversion"/>
  </si>
  <si>
    <r>
      <rPr>
        <sz val="10"/>
        <color rgb="FFFF0000"/>
        <rFont val="宋体"/>
        <family val="3"/>
        <charset val="134"/>
      </rPr>
      <t>包含未完成的红线外市政工程时间（如现状三通，开发完成后七通）</t>
    </r>
    <phoneticPr fontId="6" type="noConversion"/>
  </si>
  <si>
    <r>
      <rPr>
        <sz val="10"/>
        <color rgb="FFFF0000"/>
        <rFont val="宋体"/>
        <family val="3"/>
        <charset val="134"/>
      </rPr>
      <t>北京：</t>
    </r>
    <r>
      <rPr>
        <sz val="10"/>
        <color rgb="FFFF0000"/>
        <rFont val="Arial"/>
        <family val="2"/>
      </rPr>
      <t>3%</t>
    </r>
    <phoneticPr fontId="6" type="noConversion"/>
  </si>
  <si>
    <r>
      <rPr>
        <sz val="10"/>
        <color rgb="FFFF0000"/>
        <rFont val="宋体"/>
        <family val="3"/>
        <charset val="134"/>
      </rPr>
      <t>北京：</t>
    </r>
    <r>
      <rPr>
        <sz val="10"/>
        <color rgb="FFFF0000"/>
        <rFont val="Arial"/>
        <family val="2"/>
      </rPr>
      <t>2%</t>
    </r>
    <phoneticPr fontId="6" type="noConversion"/>
  </si>
  <si>
    <r>
      <rPr>
        <sz val="10"/>
        <color rgb="FFFF0000"/>
        <rFont val="宋体"/>
        <family val="3"/>
        <charset val="134"/>
      </rPr>
      <t>北京：</t>
    </r>
    <r>
      <rPr>
        <sz val="10"/>
        <color rgb="FFFF0000"/>
        <rFont val="Arial"/>
        <family val="2"/>
      </rPr>
      <t>3%</t>
    </r>
    <phoneticPr fontId="6" type="noConversion"/>
  </si>
  <si>
    <r>
      <rPr>
        <sz val="10"/>
        <color rgb="FFFF0000"/>
        <rFont val="宋体"/>
        <family val="3"/>
        <charset val="134"/>
      </rPr>
      <t>北京：</t>
    </r>
    <r>
      <rPr>
        <sz val="10"/>
        <color rgb="FFFF0000"/>
        <rFont val="Arial"/>
        <family val="2"/>
      </rPr>
      <t>0.05%</t>
    </r>
    <phoneticPr fontId="6" type="noConversion"/>
  </si>
  <si>
    <r>
      <rPr>
        <sz val="10"/>
        <color indexed="8"/>
        <rFont val="宋体"/>
        <family val="3"/>
        <charset val="134"/>
      </rPr>
      <t>北京</t>
    </r>
    <phoneticPr fontId="6" type="noConversion"/>
  </si>
  <si>
    <r>
      <rPr>
        <sz val="10"/>
        <color indexed="10"/>
        <rFont val="宋体"/>
        <family val="3"/>
        <charset val="134"/>
      </rPr>
      <t>★</t>
    </r>
    <r>
      <rPr>
        <sz val="10"/>
        <color indexed="10"/>
        <rFont val="楷体_GB2312"/>
        <family val="3"/>
        <charset val="134"/>
      </rPr>
      <t>其他省市请录依据文件名称★：</t>
    </r>
    <phoneticPr fontId="6" type="noConversion"/>
  </si>
  <si>
    <r>
      <rPr>
        <sz val="10"/>
        <rFont val="宋体"/>
        <family val="3"/>
        <charset val="134"/>
      </rPr>
      <t>有效毛租金收入</t>
    </r>
    <r>
      <rPr>
        <sz val="10"/>
        <rFont val="Arial"/>
        <family val="2"/>
      </rPr>
      <t>×</t>
    </r>
    <r>
      <rPr>
        <sz val="10"/>
        <rFont val="宋体"/>
        <family val="3"/>
        <charset val="134"/>
      </rPr>
      <t>销项税率</t>
    </r>
    <phoneticPr fontId="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</si>
  <si>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6" type="noConversion"/>
  </si>
  <si>
    <r>
      <rPr>
        <sz val="10"/>
        <rFont val="宋体"/>
        <family val="3"/>
        <charset val="134"/>
      </rPr>
      <t>有效毛租金收入</t>
    </r>
    <r>
      <rPr>
        <sz val="10"/>
        <rFont val="Arial"/>
        <family val="2"/>
      </rPr>
      <t>×</t>
    </r>
    <r>
      <rPr>
        <sz val="10"/>
        <rFont val="宋体"/>
        <family val="3"/>
        <charset val="134"/>
      </rPr>
      <t>销项税率</t>
    </r>
    <phoneticPr fontId="137"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</si>
  <si>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7"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</si>
  <si>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7"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</si>
  <si>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6" type="noConversion"/>
  </si>
  <si>
    <t>有效毛租金收入×销项税率</t>
    <phoneticPr fontId="6"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</si>
  <si>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6" type="noConversion"/>
  </si>
  <si>
    <t>前期费用</t>
    <phoneticPr fontId="6"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</si>
  <si>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6"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</si>
  <si>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6" type="noConversion"/>
  </si>
  <si>
    <r>
      <rPr>
        <sz val="10"/>
        <rFont val="宋体"/>
        <family val="3"/>
        <charset val="134"/>
      </rPr>
      <t>有效毛租金收入</t>
    </r>
    <r>
      <rPr>
        <sz val="10"/>
        <rFont val="Arial"/>
        <family val="2"/>
      </rPr>
      <t>×</t>
    </r>
    <r>
      <rPr>
        <sz val="10"/>
        <rFont val="宋体"/>
        <family val="3"/>
        <charset val="134"/>
      </rPr>
      <t>销项税率</t>
    </r>
    <phoneticPr fontId="137" type="noConversion"/>
  </si>
  <si>
    <r>
      <rPr>
        <sz val="10"/>
        <rFont val="宋体"/>
        <family val="3"/>
        <charset val="134"/>
      </rPr>
      <t>有效毛租金收入</t>
    </r>
    <r>
      <rPr>
        <sz val="10"/>
        <rFont val="Arial"/>
        <family val="2"/>
      </rPr>
      <t>×</t>
    </r>
    <r>
      <rPr>
        <sz val="10"/>
        <rFont val="宋体"/>
        <family val="3"/>
        <charset val="134"/>
      </rPr>
      <t>销项税率</t>
    </r>
    <phoneticPr fontId="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</si>
  <si>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6" type="noConversion"/>
  </si>
  <si>
    <t>不计算，成本为不含税成本</t>
    <phoneticPr fontId="6" type="noConversion"/>
  </si>
  <si>
    <t>不计算，成本为不含税成本</t>
    <phoneticPr fontId="137"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</si>
  <si>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6" type="noConversion"/>
  </si>
  <si>
    <t>仅作参考用</t>
    <phoneticPr fontId="137" type="noConversion"/>
  </si>
  <si>
    <r>
      <t>5</t>
    </r>
    <r>
      <rPr>
        <sz val="11"/>
        <color indexed="8"/>
        <rFont val="宋体"/>
        <family val="3"/>
        <charset val="134"/>
      </rPr>
      <t>年一档</t>
    </r>
    <phoneticPr fontId="27" type="noConversion"/>
  </si>
  <si>
    <r>
      <t>5</t>
    </r>
    <r>
      <rPr>
        <sz val="11"/>
        <color indexed="8"/>
        <rFont val="宋体"/>
        <family val="3"/>
        <charset val="134"/>
      </rPr>
      <t>年一档</t>
    </r>
    <phoneticPr fontId="33" type="noConversion"/>
  </si>
  <si>
    <r>
      <t>5</t>
    </r>
    <r>
      <rPr>
        <sz val="11"/>
        <color indexed="8"/>
        <rFont val="宋体"/>
        <family val="3"/>
        <charset val="134"/>
      </rPr>
      <t>年一档</t>
    </r>
    <phoneticPr fontId="34" type="noConversion"/>
  </si>
  <si>
    <r>
      <t>5</t>
    </r>
    <r>
      <rPr>
        <sz val="11"/>
        <color indexed="8"/>
        <rFont val="宋体"/>
        <family val="3"/>
        <charset val="134"/>
      </rPr>
      <t>年一档</t>
    </r>
    <phoneticPr fontId="34" type="noConversion"/>
  </si>
  <si>
    <r>
      <rPr>
        <b/>
        <sz val="10"/>
        <color indexed="8"/>
        <rFont val="宋体"/>
        <family val="3"/>
        <charset val="134"/>
      </rPr>
      <t>序号</t>
    </r>
    <phoneticPr fontId="6" type="noConversion"/>
  </si>
  <si>
    <r>
      <rPr>
        <b/>
        <sz val="10"/>
        <color indexed="8"/>
        <rFont val="宋体"/>
        <family val="3"/>
        <charset val="134"/>
      </rPr>
      <t>项目</t>
    </r>
    <phoneticPr fontId="6" type="noConversion"/>
  </si>
  <si>
    <r>
      <rPr>
        <b/>
        <sz val="10"/>
        <color indexed="8"/>
        <rFont val="宋体"/>
        <family val="3"/>
        <charset val="134"/>
      </rPr>
      <t>计算公式</t>
    </r>
    <phoneticPr fontId="6" type="noConversion"/>
  </si>
  <si>
    <r>
      <rPr>
        <b/>
        <sz val="10"/>
        <color indexed="8"/>
        <rFont val="宋体"/>
        <family val="3"/>
        <charset val="134"/>
      </rPr>
      <t>取费标准</t>
    </r>
    <phoneticPr fontId="6"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</si>
  <si>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6"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</si>
  <si>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6"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</si>
  <si>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6" type="noConversion"/>
  </si>
  <si>
    <r>
      <rPr>
        <b/>
        <sz val="10"/>
        <color indexed="8"/>
        <rFont val="宋体"/>
        <family val="3"/>
        <charset val="134"/>
      </rPr>
      <t>年经营费用</t>
    </r>
    <phoneticPr fontId="6"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</si>
  <si>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6"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</si>
  <si>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6" type="noConversion"/>
  </si>
  <si>
    <r>
      <rPr>
        <b/>
        <sz val="10"/>
        <color indexed="8"/>
        <rFont val="宋体"/>
        <family val="3"/>
        <charset val="134"/>
      </rPr>
      <t>房地产未来第一年净收益</t>
    </r>
    <phoneticPr fontId="6"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</si>
  <si>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6" type="noConversion"/>
  </si>
  <si>
    <r>
      <rPr>
        <b/>
        <sz val="10"/>
        <color indexed="8"/>
        <rFont val="宋体"/>
        <family val="3"/>
        <charset val="134"/>
      </rPr>
      <t>收益价值</t>
    </r>
    <phoneticPr fontId="6" type="noConversion"/>
  </si>
  <si>
    <r>
      <rPr>
        <b/>
        <sz val="10"/>
        <color indexed="8"/>
        <rFont val="宋体"/>
        <family val="3"/>
        <charset val="134"/>
      </rPr>
      <t>房地产未来第一年净收益</t>
    </r>
    <r>
      <rPr>
        <b/>
        <sz val="10"/>
        <color indexed="8"/>
        <rFont val="Arial"/>
        <family val="2"/>
      </rPr>
      <t>×</t>
    </r>
    <phoneticPr fontId="6"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</si>
  <si>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6" type="noConversion"/>
  </si>
  <si>
    <r>
      <rPr>
        <b/>
        <sz val="10"/>
        <color indexed="8"/>
        <rFont val="宋体"/>
        <family val="3"/>
        <charset val="134"/>
      </rPr>
      <t>租约外房地产收益价值</t>
    </r>
    <phoneticPr fontId="6"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</si>
  <si>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3" type="noConversion"/>
  </si>
  <si>
    <r>
      <rPr>
        <b/>
        <sz val="10"/>
        <color indexed="8"/>
        <rFont val="宋体"/>
        <family val="3"/>
        <charset val="134"/>
      </rPr>
      <t>收益年期</t>
    </r>
    <r>
      <rPr>
        <b/>
        <sz val="10"/>
        <color indexed="8"/>
        <rFont val="Arial"/>
        <family val="2"/>
      </rPr>
      <t>(n)</t>
    </r>
    <phoneticPr fontId="6"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</si>
  <si>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6" type="noConversion"/>
  </si>
  <si>
    <r>
      <rPr>
        <b/>
        <sz val="10"/>
        <color indexed="8"/>
        <rFont val="宋体"/>
        <family val="3"/>
        <charset val="134"/>
      </rPr>
      <t>年增长比率</t>
    </r>
    <r>
      <rPr>
        <b/>
        <sz val="10"/>
        <color indexed="8"/>
        <rFont val="Arial"/>
        <family val="2"/>
      </rPr>
      <t>(g)</t>
    </r>
    <phoneticPr fontId="6" type="noConversion"/>
  </si>
  <si>
    <r>
      <rPr>
        <b/>
        <sz val="10"/>
        <color theme="1"/>
        <rFont val="宋体"/>
        <family val="3"/>
        <charset val="134"/>
      </rPr>
      <t>收益价值</t>
    </r>
    <r>
      <rPr>
        <b/>
        <sz val="10"/>
        <color rgb="FFFF0000"/>
        <rFont val="宋体"/>
        <family val="3"/>
        <charset val="134"/>
      </rPr>
      <t>（含税）</t>
    </r>
    <phoneticPr fontId="6" type="noConversion"/>
  </si>
  <si>
    <r>
      <rPr>
        <b/>
        <sz val="10"/>
        <color indexed="8"/>
        <rFont val="宋体"/>
        <family val="3"/>
        <charset val="134"/>
      </rPr>
      <t>折现价值</t>
    </r>
    <phoneticPr fontId="6"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</si>
  <si>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6" type="noConversion"/>
  </si>
  <si>
    <r>
      <rPr>
        <b/>
        <sz val="10"/>
        <color indexed="8"/>
        <rFont val="宋体"/>
        <family val="3"/>
        <charset val="134"/>
      </rPr>
      <t>建筑面积（㎡）</t>
    </r>
    <phoneticPr fontId="6" type="noConversion"/>
  </si>
  <si>
    <r>
      <rPr>
        <b/>
        <sz val="10"/>
        <color theme="1"/>
        <rFont val="宋体"/>
        <family val="3"/>
        <charset val="134"/>
      </rPr>
      <t>折现价值</t>
    </r>
    <r>
      <rPr>
        <b/>
        <sz val="10"/>
        <color indexed="10"/>
        <rFont val="宋体"/>
        <family val="3"/>
        <charset val="134"/>
      </rPr>
      <t>（含税）</t>
    </r>
    <phoneticPr fontId="6" type="noConversion"/>
  </si>
  <si>
    <r>
      <rPr>
        <b/>
        <sz val="10"/>
        <color indexed="8"/>
        <rFont val="宋体"/>
        <family val="3"/>
        <charset val="134"/>
      </rPr>
      <t>未来第一年年总收益</t>
    </r>
    <phoneticPr fontId="6"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</si>
  <si>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6"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</si>
  <si>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6"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</si>
  <si>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6"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</si>
  <si>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</si>
  <si>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</si>
  <si>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</si>
  <si>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6"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</si>
  <si>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</si>
  <si>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6"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</si>
  <si>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</si>
  <si>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6"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</si>
  <si>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6"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</si>
  <si>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</si>
  <si>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6"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</si>
  <si>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6" type="noConversion"/>
  </si>
  <si>
    <r>
      <rPr>
        <b/>
        <sz val="10"/>
        <color indexed="8"/>
        <rFont val="宋体"/>
        <family val="3"/>
        <charset val="134"/>
      </rPr>
      <t>未来第一年年总收益</t>
    </r>
    <phoneticPr fontId="6" type="noConversion"/>
  </si>
  <si>
    <r>
      <rPr>
        <b/>
        <sz val="10"/>
        <color indexed="8"/>
        <rFont val="宋体"/>
        <family val="3"/>
        <charset val="134"/>
      </rPr>
      <t>年经营费用</t>
    </r>
    <phoneticPr fontId="6"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</si>
  <si>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6"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</si>
  <si>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6" type="noConversion"/>
  </si>
  <si>
    <r>
      <rPr>
        <b/>
        <sz val="10"/>
        <color indexed="8"/>
        <rFont val="宋体"/>
        <family val="3"/>
        <charset val="134"/>
      </rPr>
      <t>房地产未来第一年净收益</t>
    </r>
    <phoneticPr fontId="6"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</si>
  <si>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6"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</si>
  <si>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6" type="noConversion"/>
  </si>
  <si>
    <r>
      <rPr>
        <b/>
        <sz val="10"/>
        <color indexed="8"/>
        <rFont val="宋体"/>
        <family val="3"/>
        <charset val="134"/>
      </rPr>
      <t>序号</t>
    </r>
    <phoneticPr fontId="6" type="noConversion"/>
  </si>
  <si>
    <r>
      <rPr>
        <b/>
        <sz val="10"/>
        <color indexed="8"/>
        <rFont val="宋体"/>
        <family val="3"/>
        <charset val="134"/>
      </rPr>
      <t>项目</t>
    </r>
    <phoneticPr fontId="6" type="noConversion"/>
  </si>
  <si>
    <r>
      <rPr>
        <b/>
        <sz val="10"/>
        <color indexed="8"/>
        <rFont val="宋体"/>
        <family val="3"/>
        <charset val="134"/>
      </rPr>
      <t>计算公式</t>
    </r>
    <phoneticPr fontId="6" type="noConversion"/>
  </si>
  <si>
    <r>
      <rPr>
        <b/>
        <sz val="10"/>
        <color indexed="8"/>
        <rFont val="宋体"/>
        <family val="3"/>
        <charset val="134"/>
      </rPr>
      <t>取费标准</t>
    </r>
    <phoneticPr fontId="6" type="noConversion"/>
  </si>
  <si>
    <t>（9）</t>
    <phoneticPr fontId="6" type="noConversion"/>
  </si>
  <si>
    <r>
      <rPr>
        <b/>
        <sz val="10"/>
        <color indexed="8"/>
        <rFont val="宋体"/>
        <family val="3"/>
        <charset val="134"/>
      </rPr>
      <t>（</t>
    </r>
    <r>
      <rPr>
        <b/>
        <sz val="10"/>
        <color indexed="8"/>
        <rFont val="Arial"/>
        <family val="2"/>
      </rPr>
      <t>6</t>
    </r>
    <r>
      <rPr>
        <b/>
        <sz val="10"/>
        <color indexed="8"/>
        <rFont val="宋体"/>
        <family val="3"/>
        <charset val="134"/>
      </rPr>
      <t>）</t>
    </r>
    <phoneticPr fontId="6" type="noConversion"/>
  </si>
  <si>
    <r>
      <rPr>
        <b/>
        <sz val="10"/>
        <color indexed="8"/>
        <rFont val="宋体"/>
        <family val="3"/>
        <charset val="134"/>
      </rPr>
      <t>（</t>
    </r>
    <r>
      <rPr>
        <b/>
        <sz val="10"/>
        <color indexed="8"/>
        <rFont val="Arial"/>
        <family val="2"/>
      </rPr>
      <t>7</t>
    </r>
    <r>
      <rPr>
        <b/>
        <sz val="10"/>
        <color indexed="8"/>
        <rFont val="宋体"/>
        <family val="3"/>
        <charset val="134"/>
      </rPr>
      <t>）</t>
    </r>
    <phoneticPr fontId="6"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</si>
  <si>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6"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</si>
  <si>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6"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</si>
  <si>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6" type="noConversion"/>
  </si>
  <si>
    <r>
      <t>建筑物重置价值－折旧；</t>
    </r>
    <r>
      <rPr>
        <b/>
        <sz val="10"/>
        <color rgb="FFFF0000"/>
        <rFont val="宋体"/>
        <family val="3"/>
        <charset val="134"/>
      </rPr>
      <t>不含税</t>
    </r>
    <phoneticPr fontId="6"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</si>
  <si>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6" type="noConversion"/>
  </si>
  <si>
    <t>2</t>
    <phoneticPr fontId="6"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</si>
  <si>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6" type="noConversion"/>
  </si>
  <si>
    <t>3</t>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</si>
  <si>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</si>
  <si>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</si>
  <si>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</si>
  <si>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</si>
  <si>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</si>
  <si>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t>收益价值</t>
    </r>
    <r>
      <rPr>
        <b/>
        <sz val="10"/>
        <color rgb="FFFF0000"/>
        <rFont val="宋体"/>
        <family val="3"/>
        <charset val="134"/>
      </rPr>
      <t>（含税）</t>
    </r>
    <phoneticPr fontId="6" type="noConversion"/>
  </si>
  <si>
    <t>收益期内收益价值（元）</t>
    <phoneticPr fontId="6" type="noConversion"/>
  </si>
  <si>
    <t>建筑物重置价值（元）</t>
    <phoneticPr fontId="6" type="noConversion"/>
  </si>
  <si>
    <t>收益价值-含税（元）</t>
    <phoneticPr fontId="6" type="noConversion"/>
  </si>
  <si>
    <t>收益价值-含税（元）</t>
    <phoneticPr fontId="6"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</si>
  <si>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7" type="noConversion"/>
  </si>
  <si>
    <t>总额（万元）</t>
    <phoneticPr fontId="137" type="noConversion"/>
  </si>
  <si>
    <t>总额（万元）</t>
    <phoneticPr fontId="6" type="noConversion"/>
  </si>
  <si>
    <t>金额（万元）</t>
    <phoneticPr fontId="137" type="noConversion"/>
  </si>
  <si>
    <t>总额（万元）</t>
    <phoneticPr fontId="19" type="noConversion"/>
  </si>
  <si>
    <t>楼面单价（元/㎡）</t>
    <phoneticPr fontId="19" type="noConversion"/>
  </si>
  <si>
    <t>建筑面积（㎡）</t>
    <phoneticPr fontId="19" type="noConversion"/>
  </si>
  <si>
    <t>总额  （万元）</t>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</si>
  <si>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21" type="noConversion"/>
  </si>
  <si>
    <r>
      <rPr>
        <b/>
        <sz val="10"/>
        <color indexed="8"/>
        <rFont val="宋体"/>
        <family val="3"/>
        <charset val="134"/>
      </rPr>
      <t>（</t>
    </r>
    <r>
      <rPr>
        <b/>
        <sz val="10"/>
        <color indexed="8"/>
        <rFont val="Arial"/>
        <family val="2"/>
      </rPr>
      <t>3</t>
    </r>
    <r>
      <rPr>
        <b/>
        <sz val="10"/>
        <color indexed="8"/>
        <rFont val="宋体"/>
        <family val="3"/>
        <charset val="134"/>
      </rPr>
      <t>）</t>
    </r>
    <phoneticPr fontId="21" type="noConversion"/>
  </si>
  <si>
    <t>附加税</t>
    <phoneticPr fontId="6" type="noConversion"/>
  </si>
  <si>
    <t>③</t>
    <phoneticPr fontId="6" type="noConversion"/>
  </si>
  <si>
    <t>承租人权益价值（单套）</t>
    <phoneticPr fontId="6" type="noConversion"/>
  </si>
  <si>
    <t>由于毛租金收入不含销项税，年经营费用中可抵扣项（维修费、保险费、管理费用）均为不含税价，故此处仅将附加税做减项处理</t>
    <phoneticPr fontId="6" type="noConversion"/>
  </si>
  <si>
    <t xml:space="preserve">  增值税及附加</t>
    <phoneticPr fontId="6" type="noConversion"/>
  </si>
  <si>
    <t xml:space="preserve">  房产税</t>
    <phoneticPr fontId="6" type="noConversion"/>
  </si>
  <si>
    <t xml:space="preserve">  城镇土地使用税</t>
    <phoneticPr fontId="6" type="noConversion"/>
  </si>
  <si>
    <r>
      <rPr>
        <sz val="10"/>
        <color indexed="8"/>
        <rFont val="宋体"/>
        <family val="3"/>
        <charset val="134"/>
      </rPr>
      <t>税</t>
    </r>
    <r>
      <rPr>
        <sz val="10"/>
        <color indexed="8"/>
        <rFont val="宋体"/>
        <family val="3"/>
        <charset val="134"/>
      </rPr>
      <t>费</t>
    </r>
    <phoneticPr fontId="137" type="noConversion"/>
  </si>
  <si>
    <r>
      <rPr>
        <sz val="10"/>
        <color indexed="8"/>
        <rFont val="宋体"/>
        <family val="3"/>
        <charset val="134"/>
      </rPr>
      <t>税</t>
    </r>
    <r>
      <rPr>
        <sz val="10"/>
        <color indexed="8"/>
        <rFont val="宋体"/>
        <family val="3"/>
        <charset val="134"/>
      </rPr>
      <t>费</t>
    </r>
    <phoneticPr fontId="6" type="noConversion"/>
  </si>
  <si>
    <t xml:space="preserve">  房产税</t>
    <phoneticPr fontId="6" type="noConversion"/>
  </si>
  <si>
    <t xml:space="preserve">  房产税</t>
    <phoneticPr fontId="6" type="noConversion"/>
  </si>
  <si>
    <t xml:space="preserve">  房产税</t>
    <phoneticPr fontId="6" type="noConversion"/>
  </si>
  <si>
    <r>
      <rPr>
        <sz val="10"/>
        <color indexed="8"/>
        <rFont val="宋体"/>
        <family val="3"/>
        <charset val="134"/>
      </rPr>
      <t>税</t>
    </r>
    <r>
      <rPr>
        <sz val="10"/>
        <color indexed="8"/>
        <rFont val="宋体"/>
        <family val="3"/>
        <charset val="134"/>
      </rPr>
      <t>费</t>
    </r>
    <phoneticPr fontId="137" type="noConversion"/>
  </si>
  <si>
    <t>由于毛租金收入不含销项税，年经营费用中可抵扣项（维修费、保险费、管理费用）均为不含税价，故此处仅将附加税做减项处理</t>
    <phoneticPr fontId="6" type="noConversion"/>
  </si>
  <si>
    <t>赵雯</t>
    <phoneticPr fontId="85"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</si>
  <si>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6" type="noConversion"/>
  </si>
  <si>
    <t>合计</t>
    <phoneticPr fontId="137" type="noConversion"/>
  </si>
  <si>
    <t>单价</t>
    <phoneticPr fontId="137" type="noConversion"/>
  </si>
  <si>
    <t>地上</t>
    <phoneticPr fontId="137" type="noConversion"/>
  </si>
  <si>
    <t>地下</t>
    <phoneticPr fontId="137" type="noConversion"/>
  </si>
  <si>
    <t>分摊至主体（地上/地下）</t>
    <phoneticPr fontId="137" type="noConversion"/>
  </si>
  <si>
    <r>
      <t>租金</t>
    </r>
    <r>
      <rPr>
        <sz val="12"/>
        <color rgb="FFFF0000"/>
        <rFont val="宋体"/>
        <family val="3"/>
        <charset val="134"/>
      </rPr>
      <t>（不含税）</t>
    </r>
    <phoneticPr fontId="6" type="noConversion"/>
  </si>
  <si>
    <t>附加税费</t>
    <phoneticPr fontId="6" type="noConversion"/>
  </si>
  <si>
    <t>（销项税额－进项税额）×附加税费综合费率</t>
    <phoneticPr fontId="6"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</si>
  <si>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6"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</si>
  <si>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6" type="noConversion"/>
  </si>
  <si>
    <t>数额（元）</t>
    <phoneticPr fontId="6" type="noConversion"/>
  </si>
  <si>
    <t>以房地产重置价值为基数</t>
    <phoneticPr fontId="19" type="noConversion"/>
  </si>
  <si>
    <t>开发期前一次投入</t>
    <phoneticPr fontId="19" type="noConversion"/>
  </si>
  <si>
    <t>开发期内均匀投入</t>
    <phoneticPr fontId="19" type="noConversion"/>
  </si>
  <si>
    <t>开发期内均匀投入</t>
    <phoneticPr fontId="137" type="noConversion"/>
  </si>
  <si>
    <t>以建筑物重置价值为基数</t>
    <phoneticPr fontId="6" type="noConversion"/>
  </si>
  <si>
    <r>
      <rPr>
        <b/>
        <sz val="11"/>
        <rFont val="宋体"/>
        <family val="3"/>
        <charset val="134"/>
      </rPr>
      <t>建筑物重置成新价×（</t>
    </r>
    <r>
      <rPr>
        <b/>
        <sz val="11"/>
        <rFont val="Arial"/>
        <family val="2"/>
      </rPr>
      <t>1+9%</t>
    </r>
    <r>
      <rPr>
        <b/>
        <sz val="11"/>
        <rFont val="宋体"/>
        <family val="3"/>
        <charset val="134"/>
      </rPr>
      <t>）</t>
    </r>
    <phoneticPr fontId="137" type="noConversion"/>
  </si>
  <si>
    <r>
      <t>以住宅用房建安费用为基数计取</t>
    </r>
    <r>
      <rPr>
        <sz val="10"/>
        <color rgb="FF0070C0"/>
        <rFont val="宋体"/>
        <family val="3"/>
        <charset val="134"/>
      </rPr>
      <t>or</t>
    </r>
    <r>
      <rPr>
        <sz val="10"/>
        <rFont val="宋体"/>
        <family val="3"/>
        <charset val="134"/>
      </rPr>
      <t>非宅，不计取</t>
    </r>
    <phoneticPr fontId="137" type="noConversion"/>
  </si>
  <si>
    <t>以住宅用房建安费用为基数计取or非宅，不计取</t>
    <phoneticPr fontId="137"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</si>
  <si>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7"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</si>
  <si>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9"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</si>
  <si>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</si>
  <si>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</si>
  <si>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</si>
  <si>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</si>
  <si>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</si>
  <si>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</si>
  <si>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</si>
  <si>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</si>
  <si>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</si>
  <si>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</si>
  <si>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</si>
  <si>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</si>
  <si>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</si>
  <si>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</si>
  <si>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</si>
  <si>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</si>
  <si>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</si>
  <si>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</si>
  <si>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</si>
  <si>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</si>
  <si>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</si>
  <si>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</si>
  <si>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</si>
  <si>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</si>
  <si>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</si>
  <si>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</si>
  <si>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</si>
  <si>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</si>
  <si>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</si>
  <si>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</si>
  <si>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</si>
  <si>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</si>
  <si>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</si>
  <si>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</si>
  <si>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</si>
  <si>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</si>
  <si>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</si>
  <si>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</si>
  <si>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</si>
  <si>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</si>
  <si>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</si>
  <si>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</si>
  <si>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</si>
  <si>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</si>
  <si>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</si>
  <si>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</si>
  <si>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</si>
  <si>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</si>
  <si>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</si>
  <si>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</si>
  <si>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</si>
  <si>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</si>
  <si>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</si>
  <si>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</si>
  <si>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</si>
  <si>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</si>
  <si>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</si>
  <si>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</si>
  <si>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</si>
  <si>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</si>
  <si>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</si>
  <si>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6"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</si>
  <si>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6" type="noConversion"/>
  </si>
  <si>
    <r>
      <rPr>
        <sz val="10"/>
        <rFont val="宋体"/>
        <family val="3"/>
        <charset val="134"/>
      </rPr>
      <t>公共配套设施建</t>
    </r>
    <r>
      <rPr>
        <sz val="10"/>
        <rFont val="宋体"/>
        <family val="3"/>
        <charset val="134"/>
      </rPr>
      <t>设费率</t>
    </r>
    <phoneticPr fontId="6" type="noConversion"/>
  </si>
  <si>
    <t>北京市国有建设用地使用权出让地价评估技术导则(2026 年2 月10日)</t>
    <phoneticPr fontId="6" type="noConversion"/>
  </si>
  <si>
    <t>含税价</t>
    <phoneticPr fontId="11" type="noConversion"/>
  </si>
  <si>
    <t>含税价</t>
    <phoneticPr fontId="11" type="noConversion"/>
  </si>
  <si>
    <t>评估值－增值税计算情况3（自建房）结果</t>
    <phoneticPr fontId="11"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</si>
  <si>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11" type="noConversion"/>
  </si>
  <si>
    <t>增值税纳税额</t>
    <phoneticPr fontId="36" type="noConversion"/>
  </si>
  <si>
    <t>增值税纳税额</t>
    <phoneticPr fontId="11" type="noConversion"/>
  </si>
  <si>
    <t>抵押</t>
  </si>
  <si>
    <t>房地产抵押价值</t>
  </si>
  <si>
    <t>北京市</t>
  </si>
  <si>
    <t>企业</t>
  </si>
  <si>
    <t>用地面积</t>
    <phoneticPr fontId="137" type="noConversion"/>
  </si>
  <si>
    <t>总建筑面积</t>
    <phoneticPr fontId="137" type="noConversion"/>
  </si>
  <si>
    <t>地上建筑面积</t>
    <phoneticPr fontId="137" type="noConversion"/>
  </si>
  <si>
    <t>计容面积</t>
    <phoneticPr fontId="137" type="noConversion"/>
  </si>
  <si>
    <t>住宅建筑面积</t>
    <phoneticPr fontId="137" type="noConversion"/>
  </si>
  <si>
    <t>配套公共服务设施</t>
    <phoneticPr fontId="137" type="noConversion"/>
  </si>
  <si>
    <t>人防主要出入口及消防水箱间等</t>
    <phoneticPr fontId="137" type="noConversion"/>
  </si>
  <si>
    <t>不计容面积</t>
    <phoneticPr fontId="137" type="noConversion"/>
  </si>
  <si>
    <t>架空层</t>
    <phoneticPr fontId="137" type="noConversion"/>
  </si>
  <si>
    <t>风雨连廊</t>
    <phoneticPr fontId="137" type="noConversion"/>
  </si>
  <si>
    <t>地下建筑面积</t>
    <phoneticPr fontId="137" type="noConversion"/>
  </si>
  <si>
    <t>人防地下车库</t>
    <phoneticPr fontId="137" type="noConversion"/>
  </si>
  <si>
    <t>普通地下车库</t>
    <phoneticPr fontId="137" type="noConversion"/>
  </si>
  <si>
    <t>设备用房、走道及其他</t>
    <phoneticPr fontId="137" type="noConversion"/>
  </si>
  <si>
    <t>丙二类库房</t>
    <phoneticPr fontId="137" type="noConversion"/>
  </si>
  <si>
    <t>车库设备用房</t>
    <phoneticPr fontId="137" type="noConversion"/>
  </si>
  <si>
    <t>容积率</t>
  </si>
  <si>
    <t>容积率</t>
    <phoneticPr fontId="137" type="noConversion"/>
  </si>
  <si>
    <t>建筑密度</t>
    <phoneticPr fontId="137" type="noConversion"/>
  </si>
  <si>
    <t>绿地率</t>
    <phoneticPr fontId="137" type="noConversion"/>
  </si>
  <si>
    <t>住宅户数</t>
    <phoneticPr fontId="137" type="noConversion"/>
  </si>
  <si>
    <t>住宅人数</t>
    <phoneticPr fontId="137" type="noConversion"/>
  </si>
  <si>
    <t>建筑高度</t>
    <phoneticPr fontId="137" type="noConversion"/>
  </si>
  <si>
    <t>机动车停车位</t>
    <phoneticPr fontId="137" type="noConversion"/>
  </si>
  <si>
    <t>地上停车位</t>
    <phoneticPr fontId="137" type="noConversion"/>
  </si>
  <si>
    <t>地下停车位</t>
    <phoneticPr fontId="137" type="noConversion"/>
  </si>
  <si>
    <t>非机动车停车位</t>
    <phoneticPr fontId="137" type="noConversion"/>
  </si>
  <si>
    <t>地下车库</t>
    <phoneticPr fontId="6" type="noConversion"/>
  </si>
  <si>
    <t>地下仓储</t>
    <phoneticPr fontId="6" type="noConversion"/>
  </si>
  <si>
    <t>是</t>
  </si>
  <si>
    <t>地上</t>
  </si>
  <si>
    <t>地下</t>
  </si>
  <si>
    <t>住宅</t>
    <phoneticPr fontId="10" type="noConversion"/>
  </si>
  <si>
    <t>地下车库</t>
    <phoneticPr fontId="10" type="noConversion"/>
  </si>
  <si>
    <t>地下仓储</t>
    <phoneticPr fontId="10" type="noConversion"/>
  </si>
  <si>
    <t>工程进度</t>
  </si>
  <si>
    <t>北京建工地产有限责任公司 、北京城乡房屋建设开发有限责任公司</t>
  </si>
  <si>
    <t>已成交</t>
  </si>
  <si>
    <t>挂牌</t>
  </si>
  <si>
    <t>R2二类居住用地</t>
  </si>
  <si>
    <t>住宅用地</t>
  </si>
  <si>
    <t>京土储挂(丰)[2023]007号</t>
  </si>
  <si>
    <t>北京市丰台区青塔街道青塔村棚户区改造项目FT00-0601-0633、FT00-0601-0634地块R2二类居住用地</t>
  </si>
  <si>
    <t>北京市基础设施投资有限公司 、北京京投置地房地产有限公司</t>
  </si>
  <si>
    <t>R2二类居住用地、A334托幼用地</t>
  </si>
  <si>
    <t>综合用地(含住宅)</t>
  </si>
  <si>
    <t>京土储挂(丰)[2023]021号</t>
  </si>
  <si>
    <t>北京市丰台区地铁十九号线新宫车辆段综合利用项目FXG-1401-0601-03等地块R2二类居住用地、A334托幼用地</t>
  </si>
  <si>
    <t>招商局地产(北京)有限公司</t>
  </si>
  <si>
    <t>京土储挂(丰)[2023]025号</t>
  </si>
  <si>
    <t>北京市丰台区羊坊村棚户区改造土地开发项目YF-020地块R2二类居住用地</t>
  </si>
  <si>
    <t>北京虹曦置业有限公司</t>
  </si>
  <si>
    <t>≤1.71</t>
  </si>
  <si>
    <t>城镇住宅-普通商品住房用地</t>
  </si>
  <si>
    <t>京土储挂(丰)[2023]050号</t>
  </si>
  <si>
    <t>北京市丰台区南苑棚户区改造一期项目A地块东区R2二类居住用地</t>
  </si>
  <si>
    <t>北京中海地产有限公司</t>
  </si>
  <si>
    <t>京土储挂(丰)[2023]052号</t>
  </si>
  <si>
    <t>北京市丰台区北宫镇辛庄村II区棚户区改造土地开发项目A-05-1、A-06、A-06-1地块R2二类居住用地</t>
  </si>
  <si>
    <t>大于2.0小于2.2</t>
  </si>
  <si>
    <t>R2二类居住用地、A61机构养老设施用地</t>
  </si>
  <si>
    <t>京土储挂(丰)[2023]053号</t>
  </si>
  <si>
    <t>北京市丰台区地铁九号线郭公庄车辆段项目(三期)1518-614、L08地块R2二类居住用地、A61机构养老设施用地</t>
  </si>
  <si>
    <t>上海中建东孚投资发展有限公司</t>
  </si>
  <si>
    <t>大于0.9小于2.5</t>
  </si>
  <si>
    <t>R2二类居住用地、B4综合性商业金融服务业用地、A334托幼用地</t>
  </si>
  <si>
    <t>京土储挂(丰)[2023]054号</t>
  </si>
  <si>
    <t>北京市丰台区地铁九号线郭公庄车辆段项目(三期)1518-621、629、627地块R2二类居住用地、B4综合性商业金融服务业用地、A334托幼用地</t>
  </si>
  <si>
    <t>华润置地开发(北京)有限公司</t>
  </si>
  <si>
    <t>0006:2.4,0009:0.8</t>
  </si>
  <si>
    <t>二类城镇住宅用地、幼儿园用地</t>
  </si>
  <si>
    <t>京土储挂(丰)[2023]063号</t>
  </si>
  <si>
    <t>北京市丰台区大红门街道大红门一期A区棚户区改造项目FT00-0516-0006、FT00-0516-0009地块R2二类居住用地、A334托幼用地</t>
  </si>
  <si>
    <t>中建信和地产有限公司</t>
  </si>
  <si>
    <t>京土储挂(丰)[2023]069号</t>
  </si>
  <si>
    <t>北京市丰台区卢沟桥街道大瓦窑新村项目二期DWY-L42地块R2二类居住用地</t>
  </si>
  <si>
    <t>中建壹品投资发展有限公司</t>
  </si>
  <si>
    <t>京土储挂(丰)[2023]070号</t>
  </si>
  <si>
    <t>北京市丰台区羊坊村棚户区改造土地开发项目YF-041地块R2二类居住用地</t>
  </si>
  <si>
    <t>北京金隅嘉业房地产开发有限公司</t>
  </si>
  <si>
    <t>京土储挂(丰)[2024]034号</t>
  </si>
  <si>
    <t>北京市丰台区中关村科技园丰台园东区三期项目1516-60地块R2二类居住用地</t>
  </si>
  <si>
    <t>北京方兴亦城置业有限公司</t>
  </si>
  <si>
    <t>0010:1.87,0015:2.65</t>
  </si>
  <si>
    <t>京土储挂(丰)[2024]039号</t>
  </si>
  <si>
    <t>北京市丰台区东铁营棚户区改造和环境整治项目FT00-0512-0010、FT00-0512-0015地块R2二类居住用地</t>
  </si>
  <si>
    <t>福州裕诚房地产有限公司</t>
  </si>
  <si>
    <t>京土储挂(丰)[2024]047号</t>
  </si>
  <si>
    <t>北京市丰台区城乡一体化槐房村和新宫村旧村改造项目NY-030(南区)-01地块R2二类居住用地</t>
  </si>
  <si>
    <t>京土储挂(丰)[2024]048号</t>
  </si>
  <si>
    <t>北京市丰台区万泉寺村棚户区改造土地开发项目FT00-0613-0024地块R2二类居住用地</t>
  </si>
  <si>
    <t>京土储挂(丰)[2024]053号</t>
  </si>
  <si>
    <t>北京市丰台区西南郊冷库及周边城中村改造项目FT00-2404-0005地块R2二类居住用地</t>
  </si>
  <si>
    <t>北京兆兴房地产开发有限公司</t>
  </si>
  <si>
    <t>京土储挂(丰)[2025]022号</t>
  </si>
  <si>
    <t>北京市丰台区城乡一体化槐房村和新宫村旧村改造项目NY-030(南区)-02地块R2二类居住用地</t>
  </si>
  <si>
    <t>北京城建投资发展股份有限公司 、北京建邦憬瑞房地产开发有限公司 、北京金第房地产开发有限责任公司</t>
  </si>
  <si>
    <t>京土储挂(丰)[2025]026号</t>
  </si>
  <si>
    <t>北京市丰台区岳各庄村A区棚户区改造土地开发项目DC-L01地块R2二类居住用地</t>
  </si>
  <si>
    <t>中建方程投资发展集团有限公司 、中建智地置业有限公司</t>
  </si>
  <si>
    <t>京土储挂(丰)[2025]042号</t>
  </si>
  <si>
    <t>北京市丰台区北宫镇张郭庄村A区棚户区改造土地开发项目FT00-0204-6028地块R2二类居住用地</t>
  </si>
  <si>
    <t>R2二类居住用地(070102二类城镇住宅用地)</t>
  </si>
  <si>
    <t>京土储挂(丰)[2025]045号</t>
  </si>
  <si>
    <t>北京市丰台区花乡中部组团城中村改造项目B区FT00-2405-0001地块R2二类居住用地</t>
  </si>
  <si>
    <t>受让单位</t>
  </si>
  <si>
    <t>限售价</t>
    <phoneticPr fontId="137" type="noConversion"/>
  </si>
  <si>
    <t>限地价</t>
    <phoneticPr fontId="137" type="noConversion"/>
  </si>
  <si>
    <t>成交楼面价(元/㎡)</t>
  </si>
  <si>
    <t>成交每亩价</t>
    <phoneticPr fontId="137" type="noConversion"/>
  </si>
  <si>
    <t>成交总价</t>
  </si>
  <si>
    <t>成交总价(万元)</t>
  </si>
  <si>
    <t>交易状态</t>
  </si>
  <si>
    <t>成交时间</t>
  </si>
  <si>
    <t>出让方式</t>
  </si>
  <si>
    <t>详细规划</t>
  </si>
  <si>
    <t>用地性质</t>
  </si>
  <si>
    <t>规划建筑面积(㎡)</t>
  </si>
  <si>
    <t>建设用地面积(㎡)</t>
  </si>
  <si>
    <t>地块编号</t>
    <phoneticPr fontId="137" type="noConversion"/>
  </si>
  <si>
    <t>地块名称</t>
    <phoneticPr fontId="137" type="noConversion"/>
  </si>
  <si>
    <t>正常</t>
  </si>
  <si>
    <t>较适宜</t>
  </si>
  <si>
    <t>较适宜</t>
    <phoneticPr fontId="33" type="noConversion"/>
  </si>
  <si>
    <t>较好</t>
    <phoneticPr fontId="33" type="noConversion"/>
  </si>
  <si>
    <t>R2二类居住用地</t>
    <phoneticPr fontId="33" type="noConversion"/>
  </si>
  <si>
    <t>时间</t>
  </si>
  <si>
    <t>成交套数(套)</t>
  </si>
  <si>
    <t>成交面积(㎡)</t>
  </si>
  <si>
    <t>成交价格(元/㎡)</t>
  </si>
  <si>
    <t>成交金额(万元)</t>
  </si>
  <si>
    <t>批准上市套数(套)</t>
  </si>
  <si>
    <t>批准上市面积(㎡)</t>
  </si>
  <si>
    <t>可售套数(套)</t>
  </si>
  <si>
    <t>可售面积(㎡)</t>
  </si>
  <si>
    <t>全量汇总</t>
  </si>
  <si>
    <t>招商臻园</t>
  </si>
  <si>
    <t>丰台区 花乡其他 关联土地(1)  关联企业(1)  最早预证：2023-09-28</t>
  </si>
  <si>
    <t>推广名称： 招商臻园 （臻尚华苑）</t>
  </si>
  <si>
    <t>  </t>
  </si>
  <si>
    <t>共 30 条</t>
  </si>
  <si>
    <t>前往</t>
  </si>
  <si>
    <t>页</t>
  </si>
  <si>
    <t>建发金茂观宸</t>
    <phoneticPr fontId="137" type="noConversion"/>
  </si>
  <si>
    <t>丰台区 新宫 关联土地(1)  关联企业(2)  最早预证：2025-03-17</t>
  </si>
  <si>
    <t>推广名称： 建发金茂·观宸 （观宸嘉园,观璟嘉园）</t>
  </si>
  <si>
    <t>共 12 条</t>
  </si>
  <si>
    <t>中海甲叁號院</t>
  </si>
  <si>
    <t>丰台区 首经贸 关联土地(1)  关联企业(1)  最早预证：2020-08-10</t>
  </si>
  <si>
    <t>推广名称： 中海甲叁號院 （中海甲叁號院,中海丰甲家园）</t>
  </si>
  <si>
    <t>共 67 条</t>
  </si>
  <si>
    <t>正商明苑</t>
    <phoneticPr fontId="137" type="noConversion"/>
  </si>
  <si>
    <t>丰台区 最早预证：2018-12-30</t>
  </si>
  <si>
    <t>共 87 条</t>
  </si>
  <si>
    <t>项目模式</t>
  </si>
  <si>
    <t>售价</t>
  </si>
  <si>
    <t>含税</t>
  </si>
  <si>
    <t>存量住宅—征收率</t>
  </si>
  <si>
    <r>
      <rPr>
        <sz val="11"/>
        <color theme="9" tint="-0.249977111117893"/>
        <rFont val="宋体"/>
        <family val="3"/>
        <charset val="134"/>
      </rPr>
      <t>北京隅</t>
    </r>
    <r>
      <rPr>
        <sz val="11"/>
        <color theme="9" tint="-0.249977111117893"/>
        <rFont val="Arial"/>
        <family val="2"/>
      </rPr>
      <t>·</t>
    </r>
    <r>
      <rPr>
        <sz val="11"/>
        <color theme="9" tint="-0.249977111117893"/>
        <rFont val="宋体"/>
        <family val="3"/>
        <charset val="134"/>
      </rPr>
      <t>西颂</t>
    </r>
    <phoneticPr fontId="27" type="noConversion"/>
  </si>
  <si>
    <t>建发金茂观宸</t>
    <phoneticPr fontId="6" type="noConversion"/>
  </si>
  <si>
    <t>住宅</t>
    <phoneticPr fontId="27" type="noConversion"/>
  </si>
  <si>
    <t>小高层</t>
  </si>
  <si>
    <t>高层</t>
  </si>
  <si>
    <t>钢混</t>
  </si>
  <si>
    <t>高档</t>
  </si>
  <si>
    <t>精装修</t>
  </si>
  <si>
    <t>专业</t>
  </si>
  <si>
    <t>平层</t>
  </si>
  <si>
    <t>普通装修</t>
  </si>
  <si>
    <t>简单装修</t>
  </si>
  <si>
    <t>毛坯</t>
  </si>
  <si>
    <t>七通</t>
    <phoneticPr fontId="27" type="noConversion"/>
  </si>
  <si>
    <t>建发金茂观宸</t>
    <phoneticPr fontId="137" type="noConversion"/>
  </si>
  <si>
    <t>北京城建·龙樾天元</t>
    <phoneticPr fontId="137" type="noConversion"/>
  </si>
  <si>
    <t>精装修</t>
    <phoneticPr fontId="6" type="noConversion"/>
  </si>
  <si>
    <t>专业</t>
    <phoneticPr fontId="6" type="noConversion"/>
  </si>
  <si>
    <t>普通</t>
    <phoneticPr fontId="6" type="noConversion"/>
  </si>
  <si>
    <t>平面车位</t>
    <phoneticPr fontId="6" type="noConversion"/>
  </si>
  <si>
    <t>否</t>
    <phoneticPr fontId="6" type="noConversion"/>
  </si>
  <si>
    <r>
      <t>40-50</t>
    </r>
    <r>
      <rPr>
        <sz val="11"/>
        <rFont val="宋体"/>
        <family val="3"/>
        <charset val="134"/>
      </rPr>
      <t>（含）</t>
    </r>
    <phoneticPr fontId="6" type="noConversion"/>
  </si>
  <si>
    <r>
      <t>30-40</t>
    </r>
    <r>
      <rPr>
        <sz val="11"/>
        <rFont val="宋体"/>
        <family val="3"/>
        <charset val="134"/>
      </rPr>
      <t>（含）</t>
    </r>
    <phoneticPr fontId="6" type="noConversion"/>
  </si>
  <si>
    <r>
      <t>20-30</t>
    </r>
    <r>
      <rPr>
        <sz val="11"/>
        <rFont val="宋体"/>
        <family val="3"/>
        <charset val="134"/>
      </rPr>
      <t>（含）</t>
    </r>
    <phoneticPr fontId="6" type="noConversion"/>
  </si>
  <si>
    <t>普通装修</t>
    <phoneticPr fontId="6" type="noConversion"/>
  </si>
  <si>
    <t>简单装修</t>
    <phoneticPr fontId="6" type="noConversion"/>
  </si>
  <si>
    <t>毛坯</t>
    <phoneticPr fontId="6" type="noConversion"/>
  </si>
  <si>
    <t>有</t>
    <phoneticPr fontId="6" type="noConversion"/>
  </si>
  <si>
    <t>无</t>
    <phoneticPr fontId="6" type="noConversion"/>
  </si>
  <si>
    <t>是</t>
    <phoneticPr fontId="6" type="noConversion"/>
  </si>
  <si>
    <t>地下车库</t>
  </si>
  <si>
    <t>地下仓储</t>
  </si>
  <si>
    <t>建发金茂观宸</t>
  </si>
  <si>
    <t>车位</t>
  </si>
  <si>
    <t>车位</t>
    <phoneticPr fontId="34" type="noConversion"/>
  </si>
  <si>
    <t>仓储</t>
    <phoneticPr fontId="34" type="noConversion"/>
  </si>
  <si>
    <t>平面车位</t>
  </si>
  <si>
    <t>否</t>
  </si>
  <si>
    <t>有</t>
  </si>
  <si>
    <t>北京隅·西颂</t>
  </si>
  <si>
    <t>张郭庄</t>
  </si>
  <si>
    <t>丰台区</t>
  </si>
  <si>
    <t>西山甲一号</t>
  </si>
  <si>
    <t>新宫</t>
  </si>
  <si>
    <t>悦荣中心</t>
  </si>
  <si>
    <t>纪家庙</t>
  </si>
  <si>
    <t>万年花城</t>
  </si>
  <si>
    <t>泰禾·金府大院</t>
  </si>
  <si>
    <t>七里庄</t>
  </si>
  <si>
    <t>金丽嘉苑</t>
  </si>
  <si>
    <t>六里桥</t>
  </si>
  <si>
    <t>西城天铸</t>
  </si>
  <si>
    <t>丽泽</t>
  </si>
  <si>
    <t>端礼著</t>
  </si>
  <si>
    <t>郭公庄</t>
  </si>
  <si>
    <t>中铁诺德春风和院</t>
  </si>
  <si>
    <t>嘉棠家苑</t>
  </si>
  <si>
    <t>长辛店</t>
  </si>
  <si>
    <t>卢西嘉园</t>
  </si>
  <si>
    <t>玉泉营</t>
  </si>
  <si>
    <t>北京瑞府</t>
  </si>
  <si>
    <t>新发地</t>
  </si>
  <si>
    <t>银地家园</t>
  </si>
  <si>
    <t>首经贸</t>
  </si>
  <si>
    <t>怡海花园</t>
  </si>
  <si>
    <t>金泰城丽湾</t>
  </si>
  <si>
    <t>益辰欣园</t>
  </si>
  <si>
    <t>宋家庄</t>
  </si>
  <si>
    <t>丰台北京金茂府</t>
  </si>
  <si>
    <t>京投发展·臻御府</t>
  </si>
  <si>
    <t>丰管路甲52号院</t>
  </si>
  <si>
    <t>右安门</t>
  </si>
  <si>
    <t>佑安府</t>
  </si>
  <si>
    <t>木樨地</t>
  </si>
  <si>
    <t>悠胜美地</t>
  </si>
  <si>
    <t>总部基地</t>
  </si>
  <si>
    <t>设计师广场</t>
  </si>
  <si>
    <t>韩庄子</t>
  </si>
  <si>
    <t>吉利双星</t>
  </si>
  <si>
    <t>元熙华府</t>
  </si>
  <si>
    <t>诺德逸府</t>
  </si>
  <si>
    <t>分钟寺</t>
  </si>
  <si>
    <t>合生·缦云</t>
  </si>
  <si>
    <t>鹏润家园</t>
  </si>
  <si>
    <t>紫辰院</t>
  </si>
  <si>
    <t>青龙湖镇</t>
  </si>
  <si>
    <t>万科·雲庐</t>
  </si>
  <si>
    <t>合生·东叁金茂府</t>
  </si>
  <si>
    <t>翡翠西湖</t>
  </si>
  <si>
    <t>九里熙宸</t>
  </si>
  <si>
    <t>角门东</t>
  </si>
  <si>
    <t>永定金茂府</t>
  </si>
  <si>
    <t>建发璟院</t>
  </si>
  <si>
    <t>中建·国望府</t>
  </si>
  <si>
    <t>懋源璟瑜</t>
  </si>
  <si>
    <t>看丹</t>
  </si>
  <si>
    <t>晓月新城</t>
  </si>
  <si>
    <t>北京悦府</t>
  </si>
  <si>
    <t>懋源·晟府</t>
  </si>
  <si>
    <t>鲁能·钓鱼台美高梅公馆</t>
  </si>
  <si>
    <t>中粮天恒·天悦壹号</t>
  </si>
  <si>
    <t>卢沟桥西</t>
  </si>
  <si>
    <t>国誉·万和城</t>
  </si>
  <si>
    <t>懋源·璟岳</t>
  </si>
  <si>
    <t>首创·天阅山河</t>
  </si>
  <si>
    <t>泰禾西府玉苑</t>
  </si>
  <si>
    <t>君礼著</t>
  </si>
  <si>
    <t>世茂北京天誉</t>
  </si>
  <si>
    <t>葛洲坝北京中国府</t>
  </si>
  <si>
    <t>方庄</t>
  </si>
  <si>
    <t>璞瑅</t>
  </si>
  <si>
    <t>西贤嘉苑</t>
  </si>
  <si>
    <t>懋源·璟廷</t>
  </si>
  <si>
    <t>中海和瑞叁号院</t>
  </si>
  <si>
    <t>亿城燕西华府</t>
  </si>
  <si>
    <t>草桥</t>
  </si>
  <si>
    <t>星河城(玺萌公馆)</t>
  </si>
  <si>
    <t>北京城建宸知筑</t>
  </si>
  <si>
    <t>中海公元里</t>
  </si>
  <si>
    <t>青塔</t>
  </si>
  <si>
    <t>北京建工熙华台</t>
  </si>
  <si>
    <t>中海丰和叁號院</t>
  </si>
  <si>
    <t>北京城建·龙樾天元</t>
  </si>
  <si>
    <t>懋源·煜泽台</t>
  </si>
  <si>
    <t>金泷悦嘉苑</t>
  </si>
  <si>
    <t>中环悦府</t>
  </si>
  <si>
    <t>熙悦晴翠</t>
  </si>
  <si>
    <t>中建和颂九里</t>
  </si>
  <si>
    <t>长辛店西</t>
  </si>
  <si>
    <t>中海永定玖里</t>
  </si>
  <si>
    <t>西山金茂府</t>
  </si>
  <si>
    <t>中海丽泽叁號院</t>
  </si>
  <si>
    <t>中海丽金府</t>
  </si>
  <si>
    <t>花乡其他</t>
  </si>
  <si>
    <t>森与天成</t>
  </si>
  <si>
    <t>方庄南</t>
  </si>
  <si>
    <t>璞逸丰宜</t>
  </si>
  <si>
    <t>中建壹品花香壹号</t>
  </si>
  <si>
    <t>当页汇总</t>
  </si>
  <si>
    <t>板块</t>
  </si>
  <si>
    <t>区县</t>
  </si>
  <si>
    <t>项目名称</t>
  </si>
  <si>
    <t>金通阳光苑</t>
  </si>
  <si>
    <t>三环新城</t>
  </si>
  <si>
    <t>洺润嘉园</t>
  </si>
  <si>
    <t>北京金茂府</t>
  </si>
  <si>
    <t>合顺家园</t>
  </si>
  <si>
    <t>盛德东兴家园</t>
  </si>
  <si>
    <t>中奥嘉园</t>
  </si>
  <si>
    <t>怡和世家</t>
  </si>
  <si>
    <t>中堂（第七街区）</t>
  </si>
  <si>
    <t>晓月苑</t>
  </si>
  <si>
    <t>玉璞家园</t>
  </si>
  <si>
    <t>金胜嘉谊家园</t>
  </si>
  <si>
    <t>怡然家园</t>
  </si>
  <si>
    <t>北京城建福悦四季</t>
  </si>
  <si>
    <t>京城雅苑</t>
  </si>
  <si>
    <t>首钢金璟阳光</t>
  </si>
  <si>
    <t>成交价格(元/㎡)</t>
    <phoneticPr fontId="137" type="noConversion"/>
  </si>
  <si>
    <t>成交面积(㎡)</t>
    <phoneticPr fontId="137" type="noConversion"/>
  </si>
  <si>
    <t>成交单价：个（万元）</t>
    <phoneticPr fontId="137" type="noConversion"/>
  </si>
  <si>
    <t>个（面积㎡）</t>
  </si>
  <si>
    <t>套均面积</t>
    <phoneticPr fontId="137" type="noConversion"/>
  </si>
  <si>
    <t>含税</t>
    <phoneticPr fontId="34" type="noConversion"/>
  </si>
  <si>
    <t>元/车位</t>
  </si>
  <si>
    <t>不含税</t>
  </si>
  <si>
    <t>土地比较法-住宅、综合</t>
  </si>
  <si>
    <t>假设开发法</t>
  </si>
  <si>
    <r>
      <rPr>
        <sz val="11"/>
        <rFont val="宋体"/>
        <family val="3"/>
        <charset val="134"/>
      </rPr>
      <t>建发金茂观宸一期；均价</t>
    </r>
    <r>
      <rPr>
        <sz val="11"/>
        <rFont val="Arial"/>
        <family val="2"/>
      </rPr>
      <t>77856</t>
    </r>
    <phoneticPr fontId="33" type="noConversion"/>
  </si>
  <si>
    <t>建发金茂观宸二期；未建</t>
    <phoneticPr fontId="33" type="noConversion"/>
  </si>
  <si>
    <r>
      <rPr>
        <sz val="11"/>
        <rFont val="宋体"/>
        <family val="3"/>
        <charset val="134"/>
      </rPr>
      <t>中建壹品花香壹号：均价</t>
    </r>
    <r>
      <rPr>
        <sz val="11"/>
        <rFont val="Arial"/>
        <family val="2"/>
      </rPr>
      <t>53362</t>
    </r>
    <phoneticPr fontId="33" type="noConversion"/>
  </si>
  <si>
    <t>中建云境</t>
    <phoneticPr fontId="137" type="noConversion"/>
  </si>
  <si>
    <t>北京隅·西颂</t>
    <phoneticPr fontId="137" type="noConversion"/>
  </si>
  <si>
    <t>佑安府</t>
    <phoneticPr fontId="137"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</si>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</sst>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9">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1"/>
      <name val="宋体"/>
      <family val="2"/>
      <scheme val="minor"/>
    </font>
    <font>
      <sz val="11"/>
      <color theme="9" tint="-0.249977111117893"/>
      <name val="Arial"/>
      <family val="3"/>
      <charset val="134"/>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9"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5" fillId="0" borderId="0">
      <alignment vertical="center"/>
    </xf>
    <xf numFmtId="0" fontId="98" fillId="0" borderId="0">
      <alignment vertical="center"/>
    </xf>
    <xf numFmtId="0" fontId="4" fillId="0" borderId="0">
      <alignment vertical="center"/>
    </xf>
    <xf numFmtId="0" fontId="161" fillId="0" borderId="0"/>
    <xf numFmtId="0" fontId="4" fillId="0" borderId="0">
      <alignment vertical="center"/>
    </xf>
    <xf numFmtId="9" fontId="39" fillId="0" borderId="0" applyFont="0" applyFill="0" applyBorder="0" applyAlignment="0" applyProtection="0">
      <alignment vertical="center"/>
    </xf>
    <xf numFmtId="0" fontId="98" fillId="0" borderId="0">
      <alignment vertical="center"/>
    </xf>
    <xf numFmtId="0" fontId="4" fillId="0" borderId="0">
      <alignment vertical="center"/>
    </xf>
    <xf numFmtId="9" fontId="244" fillId="0" borderId="0" applyFont="0" applyFill="0" applyBorder="0" applyAlignment="0" applyProtection="0">
      <alignment vertical="center"/>
    </xf>
    <xf numFmtId="0" fontId="98" fillId="0" borderId="0">
      <alignment vertical="center"/>
    </xf>
    <xf numFmtId="0" fontId="3" fillId="0" borderId="0"/>
    <xf numFmtId="0" fontId="2" fillId="0" borderId="0"/>
    <xf numFmtId="0" fontId="1" fillId="0" borderId="0"/>
  </cellStyleXfs>
  <cellXfs count="4751">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lignment vertical="center"/>
    </xf>
    <xf numFmtId="0" fontId="101" fillId="6" borderId="0" xfId="0" applyFont="1" applyFill="1" applyAlignment="1">
      <alignment horizontal="center" vertical="center"/>
    </xf>
    <xf numFmtId="0" fontId="101" fillId="6" borderId="0" xfId="0" applyFont="1" applyFill="1">
      <alignment vertical="center"/>
    </xf>
    <xf numFmtId="0" fontId="47" fillId="0" borderId="1" xfId="0" applyFont="1" applyBorder="1" applyAlignment="1" applyProtection="1">
      <alignment horizontal="center"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1" xfId="0" applyFont="1" applyFill="1" applyBorder="1">
      <alignment vertical="center"/>
    </xf>
    <xf numFmtId="0" fontId="47" fillId="6" borderId="1" xfId="0"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6" borderId="1" xfId="0" applyFont="1" applyFill="1" applyBorder="1" applyAlignment="1">
      <alignment horizontal="center" vertical="center"/>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81" fontId="47" fillId="0" borderId="1"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181" fontId="47" fillId="0" borderId="5"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49" fillId="6" borderId="32" xfId="1"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33" xfId="0" applyFont="1" applyFill="1" applyBorder="1">
      <alignment vertical="center"/>
    </xf>
    <xf numFmtId="0" fontId="47" fillId="0" borderId="0" xfId="0" applyFont="1" applyAlignment="1" applyProtection="1">
      <alignment horizontal="center" vertical="center"/>
      <protection locked="0"/>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101" fillId="6" borderId="10" xfId="0" applyFont="1" applyFill="1" applyBorder="1" applyAlignment="1">
      <alignment horizontal="center"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50" fillId="6" borderId="1" xfId="0" applyFont="1" applyFill="1" applyBorder="1">
      <alignment vertical="center"/>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10" fontId="50" fillId="6" borderId="5" xfId="0" applyNumberFormat="1" applyFont="1" applyFill="1" applyBorder="1" applyAlignment="1">
      <alignment horizontal="center" vertical="center"/>
    </xf>
    <xf numFmtId="0" fontId="57" fillId="6" borderId="2"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4"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86" fontId="50" fillId="6" borderId="1" xfId="0" applyNumberFormat="1" applyFont="1" applyFill="1" applyBorder="1" applyAlignment="1">
      <alignment horizontal="center" vertical="center"/>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0" fontId="51" fillId="3" borderId="0" xfId="0" applyFont="1" applyFill="1" applyAlignment="1" applyProtection="1">
      <alignment vertical="center" wrapText="1"/>
      <protection locked="0"/>
    </xf>
    <xf numFmtId="0" fontId="66" fillId="0" borderId="0" xfId="0" applyFont="1" applyProtection="1">
      <alignment vertical="center"/>
      <protection locked="0"/>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2"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5"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3" fontId="47" fillId="6" borderId="26" xfId="0" applyNumberFormat="1" applyFont="1" applyFill="1" applyBorder="1" applyAlignment="1">
      <alignment horizontal="center" vertical="center" wrapText="1"/>
    </xf>
    <xf numFmtId="183" fontId="47" fillId="0" borderId="70" xfId="0" applyNumberFormat="1" applyFont="1" applyBorder="1" applyAlignment="1" applyProtection="1">
      <alignment horizontal="center" vertical="center" wrapText="1"/>
      <protection locked="0"/>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54" fillId="0" borderId="37" xfId="0" applyFont="1" applyBorder="1" applyAlignment="1" applyProtection="1">
      <alignment horizontal="center" vertical="center" wrapText="1"/>
      <protection locked="0"/>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3" fillId="6" borderId="40" xfId="0" applyFont="1" applyFill="1" applyBorder="1" applyAlignment="1">
      <alignment vertical="center" wrapText="1"/>
    </xf>
    <xf numFmtId="49" fontId="54" fillId="0" borderId="39" xfId="0" applyNumberFormat="1" applyFont="1" applyBorder="1" applyAlignment="1" applyProtection="1">
      <alignment horizontal="center" vertical="center" wrapText="1"/>
      <protection locked="0"/>
    </xf>
    <xf numFmtId="49" fontId="54" fillId="0" borderId="40" xfId="0" applyNumberFormat="1"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5" fontId="53" fillId="6" borderId="47" xfId="0" applyNumberFormat="1" applyFont="1" applyFill="1" applyBorder="1" applyAlignment="1">
      <alignment vertical="center" wrapText="1"/>
    </xf>
    <xf numFmtId="188"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5" fontId="60" fillId="6" borderId="13" xfId="0" applyNumberFormat="1" applyFont="1" applyFill="1" applyBorder="1" applyAlignment="1">
      <alignment horizontal="right" vertical="center"/>
    </xf>
    <xf numFmtId="188"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8"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0" fontId="47" fillId="6" borderId="24" xfId="0" applyFont="1" applyFill="1" applyBorder="1" applyAlignment="1">
      <alignment horizontal="center" vertical="center"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54" fillId="0" borderId="13" xfId="0" applyFont="1" applyBorder="1" applyAlignment="1" applyProtection="1">
      <alignment horizontal="center" vertical="center" wrapText="1"/>
      <protection locked="0"/>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0" fontId="75" fillId="0" borderId="0" xfId="0" applyFont="1" applyAlignment="1" applyProtection="1">
      <alignment horizontal="center" vertical="center"/>
      <protection locked="0"/>
    </xf>
    <xf numFmtId="0" fontId="56" fillId="6" borderId="23" xfId="1" applyFont="1" applyFill="1" applyBorder="1" applyAlignment="1"/>
    <xf numFmtId="0" fontId="57" fillId="6" borderId="25" xfId="1" applyFont="1" applyFill="1" applyBorder="1" applyAlignment="1"/>
    <xf numFmtId="0" fontId="56" fillId="6" borderId="32" xfId="0"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48" fillId="6" borderId="1" xfId="0" applyFont="1" applyFill="1" applyBorder="1">
      <alignment vertical="center"/>
    </xf>
    <xf numFmtId="0" fontId="63" fillId="0" borderId="0" xfId="0" applyFont="1" applyProtection="1">
      <alignment vertical="center"/>
      <protection locked="0"/>
    </xf>
    <xf numFmtId="0" fontId="101" fillId="0" borderId="0" xfId="0" applyFont="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8"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8"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0" fontId="47" fillId="6" borderId="15"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8"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50" fillId="0" borderId="1" xfId="0" applyNumberFormat="1" applyFont="1" applyBorder="1" applyProtection="1">
      <alignment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2" fillId="6" borderId="20" xfId="0" applyFont="1" applyFill="1" applyBorder="1">
      <alignment vertical="center"/>
    </xf>
    <xf numFmtId="0" fontId="112" fillId="6" borderId="21" xfId="0" applyFont="1" applyFill="1" applyBorder="1" applyAlignment="1">
      <alignment horizontal="center" vertical="center"/>
    </xf>
    <xf numFmtId="0" fontId="56" fillId="6" borderId="24" xfId="0" applyFont="1" applyFill="1" applyBorder="1" applyAlignment="1">
      <alignment horizontal="center" vertical="center" wrapText="1"/>
    </xf>
    <xf numFmtId="0" fontId="81" fillId="0" borderId="60" xfId="3" applyFont="1" applyBorder="1">
      <alignment vertical="center"/>
    </xf>
    <xf numFmtId="0" fontId="102" fillId="6" borderId="67" xfId="0" applyFont="1" applyFill="1" applyBorder="1" applyAlignment="1">
      <alignment horizontal="center" vertical="center" wrapText="1"/>
    </xf>
    <xf numFmtId="0" fontId="57" fillId="6" borderId="20" xfId="0" applyFont="1" applyFill="1" applyBorder="1" applyAlignment="1">
      <alignment horizontal="center" vertical="center" wrapText="1"/>
    </xf>
    <xf numFmtId="49" fontId="83"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7" fillId="7" borderId="0" xfId="0" applyFont="1" applyFill="1" applyProtection="1">
      <alignment vertical="center"/>
      <protection locked="0"/>
    </xf>
    <xf numFmtId="179"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177" fontId="50" fillId="6" borderId="1" xfId="1" applyNumberFormat="1" applyFont="1" applyFill="1" applyBorder="1" applyAlignment="1">
      <alignment horizontal="center" vertical="center"/>
    </xf>
    <xf numFmtId="0" fontId="49" fillId="6" borderId="1" xfId="1" applyFont="1" applyFill="1" applyBorder="1">
      <alignment vertical="center"/>
    </xf>
    <xf numFmtId="0" fontId="51" fillId="3" borderId="0" xfId="0" applyFont="1" applyFill="1" applyProtection="1">
      <alignment vertical="center"/>
      <protection locked="0"/>
    </xf>
    <xf numFmtId="185" fontId="50" fillId="3" borderId="0" xfId="0" applyNumberFormat="1" applyFont="1" applyFill="1" applyAlignment="1" applyProtection="1">
      <alignment horizontal="center" vertical="center"/>
      <protection locked="0"/>
    </xf>
    <xf numFmtId="0" fontId="49" fillId="6" borderId="33" xfId="1" applyFont="1" applyFill="1" applyBorder="1">
      <alignment vertical="center"/>
    </xf>
    <xf numFmtId="0" fontId="49" fillId="6" borderId="32" xfId="0" applyFont="1" applyFill="1" applyBorder="1">
      <alignment vertical="center"/>
    </xf>
    <xf numFmtId="0" fontId="118" fillId="0" borderId="0" xfId="5" applyFont="1">
      <alignment vertical="center"/>
    </xf>
    <xf numFmtId="0" fontId="98"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3" fontId="50" fillId="0" borderId="1" xfId="0" applyNumberFormat="1" applyFont="1" applyBorder="1" applyAlignment="1" applyProtection="1">
      <alignment horizontal="center" vertical="center" shrinkToFit="1"/>
      <protection locked="0"/>
    </xf>
    <xf numFmtId="183" fontId="50" fillId="6" borderId="1" xfId="0"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55" fillId="6" borderId="59" xfId="0" applyNumberFormat="1" applyFont="1" applyFill="1" applyBorder="1" applyAlignment="1">
      <alignment horizontal="center" vertical="center"/>
    </xf>
    <xf numFmtId="0" fontId="101" fillId="6" borderId="28" xfId="0" applyFont="1" applyFill="1" applyBorder="1">
      <alignment vertical="center"/>
    </xf>
    <xf numFmtId="0" fontId="101" fillId="6" borderId="5" xfId="0" applyFont="1" applyFill="1" applyBorder="1">
      <alignment vertical="center"/>
    </xf>
    <xf numFmtId="0" fontId="101"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6"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0" fontId="75" fillId="6" borderId="1" xfId="0" applyFont="1" applyFill="1" applyBorder="1" applyAlignment="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8"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8"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8"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7" xfId="0" applyFont="1" applyBorder="1" applyAlignment="1" applyProtection="1">
      <alignment horizontal="center" vertical="center" wrapText="1"/>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47" fillId="6" borderId="1" xfId="0" applyFont="1" applyFill="1" applyBorder="1" applyAlignment="1">
      <alignment horizontal="right" vertical="center" wrapText="1"/>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2"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0" fontId="15"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181" fontId="55" fillId="5" borderId="61" xfId="0" applyNumberFormat="1" applyFont="1" applyFill="1" applyBorder="1" applyAlignment="1" applyProtection="1">
      <alignment horizontal="center" vertical="center"/>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73" fillId="6" borderId="20" xfId="0" applyFont="1" applyFill="1" applyBorder="1" applyAlignment="1">
      <alignment vertical="center" wrapText="1"/>
    </xf>
    <xf numFmtId="0" fontId="73" fillId="6" borderId="21" xfId="0" applyFont="1" applyFill="1" applyBorder="1" applyAlignment="1">
      <alignment vertical="center" wrapText="1"/>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89" fontId="47" fillId="6" borderId="30" xfId="0" applyNumberFormat="1" applyFont="1" applyFill="1" applyBorder="1" applyAlignment="1">
      <alignment horizontal="center" vertical="center" wrapText="1"/>
    </xf>
    <xf numFmtId="189" fontId="47" fillId="6" borderId="9" xfId="0" applyNumberFormat="1" applyFont="1" applyFill="1" applyBorder="1" applyAlignment="1">
      <alignment horizontal="center" vertical="center" wrapText="1"/>
    </xf>
    <xf numFmtId="189" fontId="47" fillId="6" borderId="39" xfId="0" applyNumberFormat="1" applyFont="1" applyFill="1" applyBorder="1" applyAlignment="1">
      <alignment horizontal="center" vertical="center" wrapText="1"/>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6" borderId="1" xfId="8" applyFont="1" applyFill="1" applyBorder="1" applyAlignment="1">
      <alignment horizontal="center" vertical="center" wrapText="1"/>
    </xf>
    <xf numFmtId="0" fontId="56" fillId="6"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2" fillId="6" borderId="1" xfId="8" applyFont="1" applyFill="1" applyBorder="1" applyAlignment="1">
      <alignment horizontal="center" vertical="center"/>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8"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22" fillId="6" borderId="0" xfId="2" applyFont="1" applyFill="1"/>
    <xf numFmtId="0" fontId="22" fillId="6" borderId="6" xfId="2" applyFont="1" applyFill="1" applyBorder="1"/>
    <xf numFmtId="0" fontId="22" fillId="0" borderId="0" xfId="2" applyFont="1"/>
    <xf numFmtId="0" fontId="22" fillId="6" borderId="23" xfId="2" applyFont="1" applyFill="1" applyBorder="1"/>
    <xf numFmtId="0" fontId="22" fillId="6" borderId="25" xfId="2" applyFont="1" applyFill="1" applyBorder="1"/>
    <xf numFmtId="0" fontId="22" fillId="6" borderId="0" xfId="2"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2"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2" fillId="6" borderId="0" xfId="2" applyFont="1" applyFill="1" applyAlignment="1">
      <alignment horizontal="center" wrapText="1"/>
    </xf>
    <xf numFmtId="14" fontId="22"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left"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15"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6"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15"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0"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0"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8"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8"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8"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19"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8" fillId="6" borderId="0" xfId="0" applyFont="1" applyFill="1">
      <alignment vertical="center"/>
    </xf>
    <xf numFmtId="0" fontId="219"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7" fillId="6" borderId="5" xfId="0" applyFont="1" applyFill="1" applyBorder="1">
      <alignment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55" fillId="6" borderId="0" xfId="0" applyFont="1" applyFill="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47" fillId="6" borderId="70" xfId="0" applyFont="1" applyFill="1" applyBorder="1">
      <alignment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5" fontId="50" fillId="5" borderId="1" xfId="0" applyNumberFormat="1" applyFont="1" applyFill="1" applyBorder="1" applyAlignment="1" applyProtection="1">
      <alignment horizontal="center" vertical="center" wrapText="1"/>
      <protection locked="0"/>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8"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47" fillId="0" borderId="33" xfId="0" applyFont="1" applyBorder="1" applyAlignment="1" applyProtection="1">
      <alignment horizontal="center" vertical="center" wrapText="1"/>
      <protection locked="0"/>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188"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3"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49" fillId="5" borderId="23" xfId="0" applyFont="1" applyFill="1" applyBorder="1" applyAlignment="1" applyProtection="1">
      <alignment horizontal="center" vertical="center" wrapText="1"/>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1"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101" fillId="6" borderId="23" xfId="0" applyFont="1" applyFill="1" applyBorder="1" applyAlignment="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2" fillId="6" borderId="13" xfId="0" applyFont="1" applyFill="1" applyBorder="1" applyAlignment="1">
      <alignment horizontal="left" vertical="center" wrapText="1"/>
    </xf>
    <xf numFmtId="0" fontId="102" fillId="6" borderId="3" xfId="0" applyFont="1" applyFill="1" applyBorder="1" applyAlignment="1">
      <alignment horizontal="center" vertical="center" wrapText="1"/>
    </xf>
    <xf numFmtId="0" fontId="102" fillId="6" borderId="2" xfId="0" applyFont="1" applyFill="1" applyBorder="1" applyAlignment="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6" fillId="6" borderId="17" xfId="0" applyFont="1" applyFill="1" applyBorder="1" applyAlignment="1">
      <alignment horizontal="center"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6" fontId="56" fillId="6" borderId="15" xfId="0" applyNumberFormat="1" applyFont="1" applyFill="1" applyBorder="1" applyAlignment="1">
      <alignment horizontal="center" vertical="center" wrapText="1"/>
    </xf>
    <xf numFmtId="186"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102" fillId="6" borderId="54" xfId="0" applyFont="1" applyFill="1" applyBorder="1">
      <alignment vertical="center"/>
    </xf>
    <xf numFmtId="0" fontId="102"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2" fillId="6" borderId="0" xfId="0" applyFont="1" applyFill="1">
      <alignment vertical="center"/>
    </xf>
    <xf numFmtId="186" fontId="101" fillId="6" borderId="0" xfId="0" applyNumberFormat="1" applyFont="1" applyFill="1" applyAlignment="1">
      <alignment horizontal="center" vertical="center" wrapText="1"/>
    </xf>
    <xf numFmtId="0" fontId="112"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2" fillId="6" borderId="0" xfId="0" applyFont="1" applyFill="1" applyAlignment="1">
      <alignment horizontal="center" vertical="center"/>
    </xf>
    <xf numFmtId="0" fontId="102" fillId="6" borderId="23" xfId="0" applyFont="1" applyFill="1" applyBorder="1" applyAlignment="1">
      <alignment horizontal="center"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2" fillId="6" borderId="1" xfId="0" applyNumberFormat="1" applyFont="1" applyFill="1" applyBorder="1" applyAlignment="1">
      <alignment horizontal="center" vertical="center" wrapText="1"/>
    </xf>
    <xf numFmtId="0" fontId="22" fillId="6" borderId="1" xfId="0" applyFont="1" applyFill="1" applyBorder="1" applyAlignment="1">
      <alignment vertical="center" wrapText="1"/>
    </xf>
    <xf numFmtId="0" fontId="56" fillId="5" borderId="32" xfId="0" applyFont="1" applyFill="1" applyBorder="1" applyAlignment="1" applyProtection="1">
      <alignment horizontal="right"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84" xfId="0" applyFont="1" applyFill="1" applyBorder="1" applyAlignment="1">
      <alignment horizontal="center" vertical="center"/>
    </xf>
    <xf numFmtId="0" fontId="105" fillId="0" borderId="0" xfId="9" applyFont="1" applyAlignment="1">
      <alignment horizontal="left" vertical="center"/>
    </xf>
    <xf numFmtId="0" fontId="105" fillId="0" borderId="119" xfId="9" applyFont="1" applyBorder="1" applyAlignment="1">
      <alignment horizontal="left" vertical="center"/>
    </xf>
    <xf numFmtId="0" fontId="100" fillId="6" borderId="119" xfId="10" applyFont="1" applyFill="1" applyBorder="1" applyAlignment="1">
      <alignment horizontal="left" vertical="center"/>
    </xf>
    <xf numFmtId="0" fontId="25" fillId="6" borderId="119" xfId="10" applyFont="1" applyFill="1" applyBorder="1" applyAlignment="1">
      <alignment horizontal="left" vertical="center"/>
    </xf>
    <xf numFmtId="0" fontId="105" fillId="0" borderId="120" xfId="9" applyFont="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5"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39"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5"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05"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16" fillId="5"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5" fontId="102" fillId="0" borderId="0" xfId="9" applyNumberFormat="1" applyFont="1" applyAlignment="1">
      <alignment horizontal="left" vertical="center"/>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0" fontId="146" fillId="13" borderId="0" xfId="9" applyFont="1" applyFill="1" applyAlignment="1">
      <alignment horizontal="left" vertical="center"/>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5" fontId="102" fillId="5" borderId="0" xfId="9" applyNumberFormat="1" applyFont="1" applyFill="1" applyAlignment="1">
      <alignment horizontal="left" vertical="center"/>
    </xf>
    <xf numFmtId="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0" fontId="125" fillId="5" borderId="0" xfId="9" applyFont="1" applyFill="1" applyAlignment="1">
      <alignment horizontal="left" vertical="center"/>
    </xf>
    <xf numFmtId="14" fontId="102" fillId="0" borderId="0" xfId="9" applyNumberFormat="1" applyFont="1" applyAlignment="1">
      <alignment horizontal="left" vertical="center"/>
    </xf>
    <xf numFmtId="0" fontId="125" fillId="0" borderId="0" xfId="9"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2" fillId="6" borderId="0" xfId="0" applyFont="1" applyFill="1" applyAlignment="1">
      <alignment horizontal="left" vertical="center"/>
    </xf>
    <xf numFmtId="0" fontId="179" fillId="6" borderId="154" xfId="0" applyFont="1" applyFill="1" applyBorder="1" applyAlignment="1">
      <alignment horizontal="left"/>
    </xf>
    <xf numFmtId="0" fontId="104" fillId="6" borderId="154" xfId="0" applyFont="1" applyFill="1" applyBorder="1" applyAlignment="1">
      <alignment horizontal="left"/>
    </xf>
    <xf numFmtId="0" fontId="179" fillId="6" borderId="154" xfId="0" applyFont="1" applyFill="1" applyBorder="1" applyAlignment="1">
      <alignment horizontal="right"/>
    </xf>
    <xf numFmtId="0" fontId="104" fillId="7" borderId="154" xfId="0" applyFont="1" applyFill="1" applyBorder="1" applyAlignment="1" applyProtection="1">
      <protection locked="0"/>
    </xf>
    <xf numFmtId="0" fontId="104" fillId="7" borderId="154" xfId="0" applyFont="1" applyFill="1" applyBorder="1" applyAlignment="1"/>
    <xf numFmtId="0" fontId="104" fillId="0" borderId="154" xfId="0" applyFont="1" applyBorder="1" applyAlignment="1"/>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8"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0" fontId="239" fillId="0" borderId="5" xfId="5" applyFont="1" applyBorder="1" applyAlignment="1">
      <alignment horizontal="left" vertical="center"/>
    </xf>
    <xf numFmtId="0" fontId="121" fillId="0" borderId="156" xfId="5" applyFont="1" applyBorder="1" applyAlignment="1">
      <alignment horizontal="left" vertical="center"/>
    </xf>
    <xf numFmtId="183" fontId="121" fillId="0" borderId="1" xfId="5" applyNumberFormat="1" applyFont="1" applyBorder="1" applyAlignment="1">
      <alignment horizontal="left" vertical="center"/>
    </xf>
    <xf numFmtId="0" fontId="239" fillId="0" borderId="1" xfId="5" applyFont="1" applyBorder="1" applyAlignment="1">
      <alignment horizontal="left" vertical="center"/>
    </xf>
    <xf numFmtId="0" fontId="239"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3" fontId="121" fillId="0" borderId="5" xfId="5" applyNumberFormat="1" applyFont="1" applyBorder="1" applyAlignment="1">
      <alignment horizontal="left" vertical="center"/>
    </xf>
    <xf numFmtId="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3"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6" borderId="60" xfId="0" applyFont="1" applyFill="1" applyBorder="1" applyAlignment="1">
      <alignment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116" fillId="0" borderId="49" xfId="0" applyFont="1" applyBorder="1" applyAlignment="1" applyProtection="1">
      <alignment horizontal="left" vertical="center" wrapText="1"/>
      <protection locked="0"/>
    </xf>
    <xf numFmtId="10" fontId="56" fillId="6" borderId="32" xfId="0" applyNumberFormat="1" applyFont="1" applyFill="1" applyBorder="1" applyAlignment="1">
      <alignment horizontal="left" vertical="center" wrapText="1"/>
    </xf>
    <xf numFmtId="0" fontId="47" fillId="2" borderId="1" xfId="2"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47" fillId="6" borderId="1" xfId="0" applyFont="1" applyFill="1" applyBorder="1" applyAlignment="1" applyProtection="1">
      <alignment horizontal="left" vertical="center" wrapText="1"/>
      <protection locked="0"/>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38" xfId="0" applyFont="1" applyFill="1" applyBorder="1">
      <alignment vertical="center"/>
    </xf>
    <xf numFmtId="0" fontId="47" fillId="6" borderId="66" xfId="0" applyFont="1" applyFill="1" applyBorder="1">
      <alignment vertical="center"/>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2" fillId="12"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27" fillId="12" borderId="0" xfId="0" applyFont="1" applyFill="1" applyProtection="1">
      <alignment vertical="center"/>
      <protection locked="0"/>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47" fillId="5" borderId="11" xfId="0" applyFont="1" applyFill="1" applyBorder="1" applyAlignment="1" applyProtection="1">
      <alignment vertical="center" wrapText="1"/>
      <protection locked="0"/>
    </xf>
    <xf numFmtId="191"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0" fontId="98"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6" fillId="0" borderId="0" xfId="4" applyFont="1" applyAlignment="1" applyProtection="1">
      <alignment horizontal="left"/>
      <protection locked="0"/>
    </xf>
    <xf numFmtId="0" fontId="241"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6" fillId="0" borderId="0" xfId="4" applyFont="1" applyAlignment="1">
      <alignment horizontal="left"/>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2"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2" fillId="0" borderId="0" xfId="4" applyFont="1" applyAlignment="1">
      <alignment horizontal="left"/>
    </xf>
    <xf numFmtId="0" fontId="57" fillId="6" borderId="13" xfId="1" applyFont="1" applyFill="1" applyBorder="1">
      <alignmen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2"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3" fillId="6" borderId="0" xfId="1" applyFont="1" applyFill="1">
      <alignment vertical="center"/>
    </xf>
    <xf numFmtId="0" fontId="22"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7" fillId="6" borderId="23" xfId="4"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0" fontId="57" fillId="6" borderId="24" xfId="4" applyFont="1" applyFill="1" applyBorder="1" applyAlignment="1">
      <alignment vertical="center"/>
    </xf>
    <xf numFmtId="49" fontId="56" fillId="6" borderId="23"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2"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83"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39"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0" fontId="56"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3" fillId="6" borderId="74" xfId="4" applyFont="1" applyFill="1" applyBorder="1" applyAlignment="1" applyProtection="1">
      <alignment vertical="center"/>
      <protection locked="0"/>
    </xf>
    <xf numFmtId="0" fontId="102" fillId="6" borderId="11" xfId="0" applyFont="1" applyFill="1" applyBorder="1">
      <alignment vertical="center"/>
    </xf>
    <xf numFmtId="0" fontId="102" fillId="6" borderId="14" xfId="0" applyFont="1" applyFill="1" applyBorder="1">
      <alignment vertical="center"/>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11"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80" fillId="6" borderId="1" xfId="0" applyFont="1" applyFill="1" applyBorder="1" applyAlignment="1" applyProtection="1">
      <alignment horizontal="center" vertical="center" wrapText="1"/>
      <protection locked="0"/>
    </xf>
    <xf numFmtId="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0" fontId="98" fillId="6" borderId="25" xfId="0" applyFont="1" applyFill="1" applyBorder="1" applyAlignment="1">
      <alignment horizontal="left" vertical="center"/>
    </xf>
    <xf numFmtId="0" fontId="110" fillId="6" borderId="6" xfId="0" applyFont="1" applyFill="1" applyBorder="1" applyAlignment="1">
      <alignment horizontal="left" vertical="center" wrapText="1"/>
    </xf>
    <xf numFmtId="0" fontId="110" fillId="6" borderId="23"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11"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47" fillId="0" borderId="0" xfId="0" applyFont="1" applyAlignment="1">
      <alignment horizontal="left" vertical="center"/>
    </xf>
    <xf numFmtId="0" fontId="110" fillId="6" borderId="4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0" xfId="0" applyFont="1" applyFill="1" applyAlignment="1">
      <alignment horizontal="left" vertical="center"/>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26" xfId="0" applyFont="1" applyFill="1" applyBorder="1" applyAlignment="1">
      <alignment horizontal="left" vertical="center"/>
    </xf>
    <xf numFmtId="0" fontId="110" fillId="6" borderId="84" xfId="0" applyFont="1" applyFill="1" applyBorder="1" applyAlignment="1">
      <alignment horizontal="left"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1" xfId="0" applyFont="1" applyFill="1" applyBorder="1" applyAlignment="1">
      <alignment horizontal="left" vertical="center"/>
    </xf>
    <xf numFmtId="0" fontId="110" fillId="0" borderId="0" xfId="0" applyFont="1" applyAlignment="1">
      <alignment horizontal="left" vertical="center"/>
    </xf>
    <xf numFmtId="0" fontId="110" fillId="6" borderId="4" xfId="0" applyFont="1" applyFill="1" applyBorder="1" applyAlignment="1">
      <alignment horizontal="left" vertical="center" wrapText="1"/>
    </xf>
    <xf numFmtId="0" fontId="110" fillId="6" borderId="2"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110" fillId="6" borderId="3" xfId="0" applyFont="1" applyFill="1" applyBorder="1" applyAlignment="1">
      <alignment horizontal="left" vertical="center" wrapText="1"/>
    </xf>
    <xf numFmtId="0" fontId="110" fillId="6" borderId="2" xfId="0" applyFont="1" applyFill="1" applyBorder="1" applyAlignment="1">
      <alignment horizontal="left" vertical="center"/>
    </xf>
    <xf numFmtId="0" fontId="115"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5" fillId="6" borderId="120"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70" fillId="15" borderId="0" xfId="9" applyFont="1" applyFill="1" applyAlignment="1">
      <alignment horizontal="left" vertical="center"/>
    </xf>
    <xf numFmtId="10" fontId="170" fillId="15" borderId="0" xfId="9" applyNumberFormat="1" applyFont="1" applyFill="1" applyAlignment="1">
      <alignment horizontal="left" vertical="center"/>
    </xf>
    <xf numFmtId="10" fontId="170" fillId="15" borderId="160" xfId="9" applyNumberFormat="1" applyFont="1" applyFill="1" applyBorder="1" applyAlignment="1">
      <alignment horizontal="left" vertical="center"/>
    </xf>
    <xf numFmtId="10" fontId="170" fillId="15" borderId="161" xfId="9" applyNumberFormat="1" applyFont="1" applyFill="1" applyBorder="1" applyAlignment="1">
      <alignment horizontal="left" vertical="center"/>
    </xf>
    <xf numFmtId="10" fontId="170" fillId="15" borderId="162" xfId="9" applyNumberFormat="1" applyFont="1" applyFill="1" applyBorder="1" applyAlignment="1">
      <alignment horizontal="left" vertical="center"/>
    </xf>
    <xf numFmtId="0" fontId="105" fillId="17" borderId="0" xfId="9" applyFont="1" applyFill="1" applyAlignment="1">
      <alignment horizontal="left" vertical="center"/>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102" fillId="0" borderId="160" xfId="9" applyFont="1" applyBorder="1" applyAlignment="1">
      <alignment horizontal="left" vertical="center"/>
    </xf>
    <xf numFmtId="0" fontId="102" fillId="0" borderId="161" xfId="9" applyFont="1" applyBorder="1" applyAlignment="1">
      <alignment horizontal="left" vertical="center"/>
    </xf>
    <xf numFmtId="0" fontId="102" fillId="0" borderId="162" xfId="9" applyFont="1" applyBorder="1" applyAlignment="1">
      <alignment horizontal="left" vertical="center"/>
    </xf>
    <xf numFmtId="10" fontId="102" fillId="0" borderId="160" xfId="9" applyNumberFormat="1" applyFont="1" applyBorder="1" applyAlignment="1">
      <alignment horizontal="left" vertical="center"/>
    </xf>
    <xf numFmtId="10" fontId="102" fillId="0" borderId="161" xfId="9" applyNumberFormat="1" applyFont="1" applyBorder="1" applyAlignment="1">
      <alignment horizontal="left" vertical="center"/>
    </xf>
    <xf numFmtId="10" fontId="102" fillId="0" borderId="162" xfId="9" applyNumberFormat="1" applyFont="1" applyBorder="1" applyAlignment="1">
      <alignment horizontal="left" vertical="center"/>
    </xf>
    <xf numFmtId="0" fontId="56" fillId="6" borderId="1" xfId="9" applyFont="1" applyFill="1" applyBorder="1" applyAlignment="1">
      <alignment horizontal="left" vertical="center" wrapText="1"/>
    </xf>
    <xf numFmtId="0" fontId="145" fillId="12" borderId="126" xfId="16" applyFont="1" applyFill="1" applyBorder="1" applyAlignment="1">
      <alignment horizontal="left" vertical="center" wrapText="1"/>
    </xf>
    <xf numFmtId="0" fontId="102" fillId="17" borderId="0" xfId="9" applyFont="1" applyFill="1" applyAlignment="1">
      <alignment horizontal="left" vertical="center"/>
    </xf>
    <xf numFmtId="0" fontId="57" fillId="21" borderId="1"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0" fontId="146" fillId="21" borderId="0" xfId="9" applyFont="1" applyFill="1" applyAlignment="1">
      <alignment horizontal="left" vertical="center"/>
    </xf>
    <xf numFmtId="0" fontId="56" fillId="18" borderId="163" xfId="9" applyFont="1" applyFill="1" applyBorder="1" applyAlignment="1">
      <alignment horizontal="left" vertical="center" wrapText="1"/>
    </xf>
    <xf numFmtId="0" fontId="145" fillId="18" borderId="165" xfId="16" applyFont="1" applyFill="1" applyBorder="1" applyAlignment="1">
      <alignment horizontal="left" vertical="center" wrapText="1"/>
    </xf>
    <xf numFmtId="0" fontId="102" fillId="17" borderId="168" xfId="9"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68" xfId="9" applyNumberFormat="1" applyFont="1" applyFill="1" applyBorder="1" applyAlignment="1">
      <alignment horizontal="left" vertical="center"/>
    </xf>
    <xf numFmtId="0" fontId="102" fillId="18" borderId="168" xfId="9" applyFont="1" applyFill="1" applyBorder="1" applyAlignment="1">
      <alignment horizontal="left" vertical="center"/>
    </xf>
    <xf numFmtId="0" fontId="146" fillId="18" borderId="168" xfId="9" applyFont="1" applyFill="1" applyBorder="1" applyAlignment="1">
      <alignment horizontal="left" vertical="center"/>
    </xf>
    <xf numFmtId="0" fontId="143" fillId="0" borderId="0" xfId="9" applyFont="1">
      <alignment vertical="center"/>
    </xf>
    <xf numFmtId="0" fontId="105" fillId="0" borderId="0" xfId="9" applyFont="1">
      <alignment vertical="center"/>
    </xf>
    <xf numFmtId="10" fontId="105" fillId="21" borderId="160" xfId="9" applyNumberFormat="1" applyFont="1" applyFill="1" applyBorder="1" applyAlignment="1">
      <alignment horizontal="left" vertical="center"/>
    </xf>
    <xf numFmtId="10" fontId="105" fillId="21" borderId="161" xfId="9" applyNumberFormat="1" applyFont="1" applyFill="1" applyBorder="1" applyAlignment="1">
      <alignment horizontal="left" vertical="center"/>
    </xf>
    <xf numFmtId="10" fontId="105" fillId="21" borderId="162"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8" borderId="171" xfId="9" applyNumberFormat="1" applyFont="1" applyFill="1" applyBorder="1" applyAlignment="1">
      <alignment horizontal="left" vertical="center"/>
    </xf>
    <xf numFmtId="10" fontId="102"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4" fillId="6" borderId="0" xfId="0" applyFont="1" applyFill="1"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113"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3"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3"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0"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8"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101" fillId="6" borderId="14" xfId="0" applyNumberFormat="1" applyFont="1" applyFill="1" applyBorder="1" applyAlignment="1">
      <alignment vertical="center" wrapText="1"/>
    </xf>
    <xf numFmtId="49" fontId="56" fillId="6" borderId="14" xfId="0" applyNumberFormat="1" applyFont="1" applyFill="1" applyBorder="1" applyAlignment="1">
      <alignment vertical="center" wrapText="1"/>
    </xf>
    <xf numFmtId="10" fontId="56" fillId="6" borderId="0" xfId="0" applyNumberFormat="1" applyFont="1" applyFill="1" applyAlignment="1">
      <alignment vertical="center" wrapText="1"/>
    </xf>
    <xf numFmtId="49" fontId="56" fillId="6" borderId="12" xfId="0" applyNumberFormat="1" applyFont="1" applyFill="1" applyBorder="1" applyAlignment="1">
      <alignment vertical="center" wrapText="1"/>
    </xf>
    <xf numFmtId="49" fontId="83" fillId="6" borderId="26" xfId="0" applyNumberFormat="1" applyFont="1" applyFill="1" applyBorder="1" applyAlignment="1">
      <alignment horizontal="center" vertical="center" wrapText="1"/>
    </xf>
    <xf numFmtId="0" fontId="57" fillId="6" borderId="84" xfId="0" applyFont="1" applyFill="1" applyBorder="1" applyAlignment="1">
      <alignment horizontal="left" vertical="center" wrapText="1"/>
    </xf>
    <xf numFmtId="0" fontId="56" fillId="6" borderId="34" xfId="0" applyFont="1" applyFill="1" applyBorder="1" applyAlignment="1">
      <alignment horizontal="left" vertical="center" wrapText="1"/>
    </xf>
    <xf numFmtId="0" fontId="22" fillId="6" borderId="3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56" fillId="0" borderId="1" xfId="0" applyFont="1" applyBorder="1" applyAlignment="1" applyProtection="1">
      <alignment horizontal="left" vertical="center"/>
      <protection locked="0"/>
    </xf>
    <xf numFmtId="0" fontId="56" fillId="6" borderId="0" xfId="0" applyFont="1" applyFill="1" applyAlignment="1">
      <alignment horizontal="left" vertical="center" wrapText="1"/>
    </xf>
    <xf numFmtId="0" fontId="116" fillId="6" borderId="60" xfId="0" applyFont="1" applyFill="1" applyBorder="1" applyAlignment="1">
      <alignment horizontal="left" vertical="center"/>
    </xf>
    <xf numFmtId="0" fontId="116" fillId="6" borderId="71" xfId="0" applyFont="1" applyFill="1" applyBorder="1" applyAlignment="1">
      <alignment horizontal="left" vertical="center"/>
    </xf>
    <xf numFmtId="0" fontId="102" fillId="6" borderId="15" xfId="0" applyFont="1" applyFill="1" applyBorder="1" applyAlignment="1">
      <alignment horizontal="left" vertical="center" wrapText="1"/>
    </xf>
    <xf numFmtId="0" fontId="83" fillId="6" borderId="9" xfId="0" applyFont="1" applyFill="1" applyBorder="1" applyAlignment="1">
      <alignment horizontal="left" vertical="center" wrapText="1"/>
    </xf>
    <xf numFmtId="0" fontId="22" fillId="6" borderId="9" xfId="0" applyFont="1" applyFill="1" applyBorder="1" applyAlignment="1" applyProtection="1">
      <alignment horizontal="left" vertical="center" wrapText="1"/>
      <protection locked="0"/>
    </xf>
    <xf numFmtId="0" fontId="22" fillId="6" borderId="1" xfId="0" applyFont="1" applyFill="1" applyBorder="1" applyAlignment="1">
      <alignment horizontal="left" vertical="center"/>
    </xf>
    <xf numFmtId="0" fontId="22" fillId="6" borderId="1" xfId="0" applyFont="1" applyFill="1" applyBorder="1" applyAlignment="1">
      <alignment horizontal="left" vertical="center" wrapText="1"/>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83" fillId="6" borderId="6" xfId="0" applyNumberFormat="1" applyFont="1" applyFill="1" applyBorder="1" applyAlignment="1">
      <alignment horizontal="center" vertical="center" wrapText="1"/>
    </xf>
    <xf numFmtId="0" fontId="56" fillId="6" borderId="9"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left" vertical="center" wrapText="1"/>
      <protection locked="0"/>
    </xf>
    <xf numFmtId="49" fontId="101" fillId="6" borderId="23" xfId="0" applyNumberFormat="1" applyFont="1" applyFill="1" applyBorder="1" applyAlignment="1">
      <alignment vertical="center" wrapText="1"/>
    </xf>
    <xf numFmtId="0" fontId="56" fillId="6" borderId="24" xfId="0" applyFont="1" applyFill="1" applyBorder="1" applyAlignment="1" applyProtection="1">
      <alignment horizontal="left" vertical="center" wrapText="1"/>
      <protection locked="0"/>
    </xf>
    <xf numFmtId="49" fontId="101" fillId="6" borderId="25" xfId="0" applyNumberFormat="1" applyFont="1" applyFill="1" applyBorder="1" applyAlignment="1">
      <alignment vertical="center" wrapText="1"/>
    </xf>
    <xf numFmtId="0" fontId="102" fillId="6" borderId="32" xfId="0" applyFont="1" applyFill="1" applyBorder="1" applyAlignment="1">
      <alignment horizontal="left" vertical="center" wrapText="1"/>
    </xf>
    <xf numFmtId="0" fontId="56" fillId="6" borderId="32" xfId="0" applyFont="1" applyFill="1" applyBorder="1" applyAlignment="1" applyProtection="1">
      <alignment horizontal="left" vertical="center" wrapText="1"/>
      <protection locked="0"/>
    </xf>
    <xf numFmtId="0" fontId="22"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0" fontId="56" fillId="6" borderId="28" xfId="0" applyFont="1" applyFill="1" applyBorder="1" applyAlignment="1">
      <alignment vertical="center" wrapText="1"/>
    </xf>
    <xf numFmtId="0" fontId="56" fillId="6" borderId="30" xfId="0" applyFont="1" applyFill="1" applyBorder="1" applyAlignment="1">
      <alignment vertical="center" wrapText="1"/>
    </xf>
    <xf numFmtId="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lignment horizontal="center" vertical="center" wrapText="1"/>
    </xf>
    <xf numFmtId="0" fontId="80" fillId="6" borderId="5" xfId="0" applyFont="1" applyFill="1" applyBorder="1">
      <alignment vertical="center"/>
    </xf>
    <xf numFmtId="0" fontId="22" fillId="6" borderId="20" xfId="0" applyFont="1" applyFill="1" applyBorder="1">
      <alignment vertical="center"/>
    </xf>
    <xf numFmtId="0" fontId="56" fillId="6" borderId="24" xfId="0" applyFont="1" applyFill="1" applyBorder="1" applyAlignment="1">
      <alignment horizontal="left" vertical="center" wrapText="1"/>
    </xf>
    <xf numFmtId="0" fontId="22" fillId="7" borderId="0" xfId="0" applyFont="1" applyFill="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56" fillId="6" borderId="23" xfId="0" applyFont="1" applyFill="1" applyBorder="1" applyAlignment="1">
      <alignment horizontal="left" vertical="center" wrapText="1"/>
    </xf>
    <xf numFmtId="9" fontId="56" fillId="6" borderId="25" xfId="0" applyNumberFormat="1" applyFont="1" applyFill="1" applyBorder="1" applyAlignment="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56" fillId="6" borderId="23" xfId="0" applyFont="1" applyFill="1" applyBorder="1" applyAlignment="1">
      <alignment horizontal="left" vertical="center"/>
    </xf>
    <xf numFmtId="0" fontId="102" fillId="6" borderId="1" xfId="8" applyFont="1" applyFill="1" applyBorder="1" applyAlignment="1">
      <alignment horizontal="left" vertical="center"/>
    </xf>
    <xf numFmtId="0" fontId="125" fillId="6" borderId="23" xfId="0" applyFont="1" applyFill="1" applyBorder="1" applyAlignment="1">
      <alignment horizontal="left" vertical="center" wrapText="1"/>
    </xf>
    <xf numFmtId="0" fontId="102" fillId="6" borderId="0" xfId="0" applyFont="1" applyFill="1" applyAlignment="1">
      <alignment horizontal="center" vertical="center" wrapText="1"/>
    </xf>
    <xf numFmtId="0" fontId="102" fillId="5" borderId="0" xfId="0" applyFont="1" applyFill="1" applyAlignment="1" applyProtection="1">
      <alignment horizontal="center" vertical="center" wrapText="1"/>
      <protection locked="0"/>
    </xf>
    <xf numFmtId="10" fontId="102" fillId="6" borderId="0" xfId="0" applyNumberFormat="1" applyFont="1" applyFill="1" applyAlignment="1">
      <alignment horizontal="center" vertical="center" wrapText="1"/>
    </xf>
    <xf numFmtId="10" fontId="101" fillId="0" borderId="0" xfId="0" applyNumberFormat="1" applyFont="1" applyAlignment="1" applyProtection="1">
      <alignment horizontal="center" vertical="center"/>
      <protection locked="0"/>
    </xf>
    <xf numFmtId="10" fontId="101" fillId="6" borderId="0" xfId="0" applyNumberFormat="1" applyFont="1" applyFill="1" applyAlignment="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Alignment="1">
      <alignment horizontal="center" vertical="center" wrapText="1"/>
    </xf>
    <xf numFmtId="0" fontId="112"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102" fillId="6" borderId="25" xfId="0" applyFont="1" applyFill="1" applyBorder="1" applyAlignment="1">
      <alignment horizontal="left" vertical="center" wrapText="1"/>
    </xf>
    <xf numFmtId="0" fontId="116" fillId="6" borderId="58"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2" fillId="6" borderId="0" xfId="0" applyNumberFormat="1" applyFont="1" applyFill="1" applyAlignment="1">
      <alignment horizontal="center" vertical="center" wrapText="1"/>
    </xf>
    <xf numFmtId="0" fontId="116" fillId="6" borderId="1" xfId="0" applyFont="1" applyFill="1" applyBorder="1" applyAlignment="1">
      <alignment horizontal="left" vertical="center" wrapText="1"/>
    </xf>
    <xf numFmtId="0" fontId="102" fillId="6" borderId="1" xfId="0" applyFont="1" applyFill="1" applyBorder="1" applyAlignment="1">
      <alignment horizontal="left" vertical="center"/>
    </xf>
    <xf numFmtId="0" fontId="102" fillId="0" borderId="0" xfId="0" applyFont="1" applyAlignment="1">
      <alignment horizontal="left" vertical="center"/>
    </xf>
    <xf numFmtId="0" fontId="56" fillId="0" borderId="0" xfId="0" applyFont="1" applyAlignment="1" applyProtection="1">
      <alignment horizontal="left" vertical="center" wrapText="1"/>
      <protection locked="0"/>
    </xf>
    <xf numFmtId="0" fontId="101" fillId="0" borderId="0" xfId="0" applyFont="1" applyAlignment="1">
      <alignment horizontal="left" vertical="center"/>
    </xf>
    <xf numFmtId="0" fontId="56" fillId="6" borderId="9" xfId="3" applyFont="1" applyFill="1" applyBorder="1" applyAlignment="1">
      <alignment horizontal="left" vertical="center"/>
    </xf>
    <xf numFmtId="177" fontId="80" fillId="0" borderId="1" xfId="1" applyNumberFormat="1" applyFont="1" applyBorder="1" applyProtection="1">
      <alignment vertical="center"/>
      <protection locked="0" hidden="1"/>
    </xf>
    <xf numFmtId="177" fontId="131" fillId="0" borderId="1" xfId="1" applyNumberFormat="1" applyFont="1" applyBorder="1" applyProtection="1">
      <alignment vertical="center"/>
      <protection locked="0"/>
    </xf>
    <xf numFmtId="0" fontId="22"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wrapText="1"/>
      <protection locked="0"/>
    </xf>
    <xf numFmtId="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lignment horizontal="right" vertical="center"/>
    </xf>
    <xf numFmtId="186" fontId="55" fillId="6" borderId="1" xfId="0" applyNumberFormat="1" applyFont="1" applyFill="1" applyBorder="1" applyAlignment="1">
      <alignment horizontal="right" vertical="center"/>
    </xf>
    <xf numFmtId="0" fontId="65" fillId="5" borderId="118" xfId="0" applyFont="1" applyFill="1" applyBorder="1" applyProtection="1">
      <alignment vertical="center"/>
      <protection locked="0"/>
    </xf>
    <xf numFmtId="0" fontId="141" fillId="7" borderId="0" xfId="0" applyFont="1" applyFill="1" applyAlignment="1" applyProtection="1">
      <protection locked="0"/>
    </xf>
    <xf numFmtId="0" fontId="80" fillId="6" borderId="0" xfId="0" applyFont="1" applyFill="1" applyAlignment="1" applyProtection="1">
      <protection locked="0"/>
    </xf>
    <xf numFmtId="0" fontId="65" fillId="5" borderId="88" xfId="0" applyFont="1" applyFill="1" applyBorder="1" applyProtection="1">
      <alignment vertical="center"/>
      <protection locked="0"/>
    </xf>
    <xf numFmtId="176" fontId="47" fillId="0" borderId="23" xfId="0" applyNumberFormat="1" applyFont="1" applyBorder="1" applyAlignment="1" applyProtection="1">
      <alignment horizontal="center" vertical="center" wrapText="1"/>
      <protection locked="0"/>
    </xf>
    <xf numFmtId="176" fontId="47" fillId="0" borderId="3" xfId="0" applyNumberFormat="1" applyFont="1" applyBorder="1" applyAlignment="1" applyProtection="1">
      <alignment horizontal="center" vertical="center" wrapText="1"/>
      <protection locked="0"/>
    </xf>
    <xf numFmtId="0" fontId="111" fillId="6" borderId="16" xfId="0" applyFont="1" applyFill="1" applyBorder="1" applyAlignment="1">
      <alignment horizontal="left" vertical="center"/>
    </xf>
    <xf numFmtId="0" fontId="98" fillId="6" borderId="1" xfId="0" applyFont="1" applyFill="1" applyBorder="1" applyAlignment="1">
      <alignment horizontal="left" vertical="center"/>
    </xf>
    <xf numFmtId="0" fontId="56" fillId="5" borderId="0" xfId="4" applyFont="1" applyFill="1" applyAlignment="1" applyProtection="1">
      <alignment vertical="center"/>
      <protection locked="0"/>
    </xf>
    <xf numFmtId="176" fontId="56" fillId="0" borderId="0" xfId="4" applyNumberFormat="1" applyFont="1" applyProtection="1">
      <protection locked="0"/>
    </xf>
    <xf numFmtId="0" fontId="161" fillId="6" borderId="1" xfId="12" applyFill="1" applyBorder="1" applyAlignment="1">
      <alignment horizontal="left"/>
    </xf>
    <xf numFmtId="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0" fontId="267" fillId="0" borderId="0" xfId="9" applyFont="1">
      <alignment vertical="center"/>
    </xf>
    <xf numFmtId="0" fontId="270" fillId="0" borderId="0" xfId="0" applyFont="1" applyAlignment="1" applyProtection="1">
      <alignment horizontal="left" vertical="center"/>
      <protection locked="0"/>
    </xf>
    <xf numFmtId="0" fontId="110" fillId="6" borderId="74" xfId="0" applyFont="1" applyFill="1" applyBorder="1" applyAlignment="1">
      <alignment horizontal="left" vertical="center"/>
    </xf>
    <xf numFmtId="0" fontId="110" fillId="6" borderId="12" xfId="0" applyFont="1" applyFill="1" applyBorder="1" applyAlignment="1">
      <alignment horizontal="left" vertical="center"/>
    </xf>
    <xf numFmtId="0" fontId="110" fillId="6" borderId="32" xfId="0" applyFont="1" applyFill="1" applyBorder="1" applyAlignment="1">
      <alignment horizontal="left" vertical="center"/>
    </xf>
    <xf numFmtId="0" fontId="110" fillId="6" borderId="75" xfId="0" applyFont="1" applyFill="1" applyBorder="1" applyAlignment="1">
      <alignment horizontal="left" vertical="center"/>
    </xf>
    <xf numFmtId="0" fontId="110" fillId="6" borderId="73" xfId="0" applyFont="1" applyFill="1" applyBorder="1" applyAlignment="1">
      <alignment horizontal="left" vertical="center"/>
    </xf>
    <xf numFmtId="0" fontId="110" fillId="6" borderId="9" xfId="0" applyFont="1" applyFill="1" applyBorder="1" applyAlignment="1">
      <alignment horizontal="left" vertical="center"/>
    </xf>
    <xf numFmtId="0" fontId="49" fillId="6" borderId="23" xfId="0" applyFont="1" applyFill="1" applyBorder="1" applyAlignment="1">
      <alignment horizontal="left" vertical="center"/>
    </xf>
    <xf numFmtId="49" fontId="57" fillId="6" borderId="0" xfId="1" applyNumberFormat="1" applyFont="1" applyFill="1" applyAlignment="1">
      <alignment horizontal="left" vertical="center"/>
    </xf>
    <xf numFmtId="0" fontId="138" fillId="6" borderId="0" xfId="0" applyFont="1" applyFill="1" applyAlignment="1" applyProtection="1">
      <alignment horizontal="left" vertical="center"/>
      <protection locked="0"/>
    </xf>
    <xf numFmtId="0" fontId="60" fillId="22" borderId="1" xfId="1" applyFont="1" applyFill="1" applyBorder="1" applyAlignment="1">
      <alignment horizontal="left" vertical="center"/>
    </xf>
    <xf numFmtId="0" fontId="60" fillId="22" borderId="5" xfId="1" applyFont="1" applyFill="1" applyBorder="1" applyAlignment="1">
      <alignment horizontal="left" vertical="center"/>
    </xf>
    <xf numFmtId="0" fontId="57" fillId="22" borderId="1" xfId="0" applyFont="1" applyFill="1" applyBorder="1" applyAlignment="1">
      <alignment horizontal="left" vertical="center"/>
    </xf>
    <xf numFmtId="9" fontId="57" fillId="22" borderId="5" xfId="1" applyNumberFormat="1" applyFont="1" applyFill="1" applyBorder="1" applyAlignment="1">
      <alignment horizontal="left" vertical="center"/>
    </xf>
    <xf numFmtId="0" fontId="57" fillId="22" borderId="24" xfId="0" applyFont="1" applyFill="1" applyBorder="1" applyAlignment="1">
      <alignment horizontal="left" vertical="center" wrapText="1"/>
    </xf>
    <xf numFmtId="177" fontId="56" fillId="22" borderId="1" xfId="1" applyNumberFormat="1" applyFont="1" applyFill="1" applyBorder="1" applyAlignment="1">
      <alignment horizontal="right" vertical="center"/>
    </xf>
    <xf numFmtId="184" fontId="57" fillId="22" borderId="1" xfId="0" applyNumberFormat="1" applyFont="1" applyFill="1" applyBorder="1" applyAlignment="1">
      <alignment horizontal="left" vertical="center"/>
    </xf>
    <xf numFmtId="49" fontId="138" fillId="6" borderId="1" xfId="1" applyNumberFormat="1" applyFont="1" applyFill="1" applyBorder="1">
      <alignment vertical="center"/>
    </xf>
    <xf numFmtId="49" fontId="60" fillId="6" borderId="23" xfId="1" applyNumberFormat="1" applyFont="1" applyFill="1" applyBorder="1" applyAlignment="1">
      <alignment horizontal="left" vertical="center"/>
    </xf>
    <xf numFmtId="49" fontId="22" fillId="6" borderId="23" xfId="1" applyNumberFormat="1" applyFont="1" applyFill="1" applyBorder="1" applyAlignment="1">
      <alignment horizontal="right" vertical="center"/>
    </xf>
    <xf numFmtId="177" fontId="56" fillId="6" borderId="1" xfId="1" applyNumberFormat="1" applyFont="1" applyFill="1" applyBorder="1" applyAlignment="1">
      <alignment horizontal="right" vertical="center"/>
    </xf>
    <xf numFmtId="0" fontId="138" fillId="6" borderId="84" xfId="1" applyFont="1" applyFill="1" applyBorder="1" applyAlignment="1">
      <alignment horizontal="left" vertical="center"/>
    </xf>
    <xf numFmtId="0" fontId="138" fillId="6" borderId="67" xfId="1" applyFont="1" applyFill="1" applyBorder="1" applyAlignment="1">
      <alignment horizontal="left" vertical="center"/>
    </xf>
    <xf numFmtId="0" fontId="60" fillId="6" borderId="5" xfId="1" applyFont="1" applyFill="1" applyBorder="1" applyAlignment="1">
      <alignment horizontal="left" vertical="center"/>
    </xf>
    <xf numFmtId="0" fontId="60" fillId="6" borderId="0" xfId="1" applyFont="1" applyFill="1" applyAlignment="1">
      <alignment horizontal="left" vertical="center"/>
    </xf>
    <xf numFmtId="0" fontId="53" fillId="6" borderId="1" xfId="0" applyFont="1" applyFill="1" applyBorder="1" applyProtection="1">
      <alignment vertical="center"/>
      <protection locked="0"/>
    </xf>
    <xf numFmtId="49" fontId="53" fillId="6" borderId="23" xfId="1" applyNumberFormat="1" applyFont="1" applyFill="1" applyBorder="1" applyAlignment="1">
      <alignment horizontal="left" vertical="center"/>
    </xf>
    <xf numFmtId="177" fontId="53" fillId="6" borderId="1" xfId="0" applyNumberFormat="1" applyFont="1" applyFill="1" applyBorder="1" applyAlignment="1">
      <alignment horizontal="right" vertical="center"/>
    </xf>
    <xf numFmtId="0" fontId="53" fillId="6" borderId="1" xfId="0" applyFont="1" applyFill="1" applyBorder="1">
      <alignment vertical="center"/>
    </xf>
    <xf numFmtId="0" fontId="60" fillId="6" borderId="1" xfId="0" applyFont="1" applyFill="1" applyBorder="1" applyAlignment="1">
      <alignment horizontal="right" vertical="center"/>
    </xf>
    <xf numFmtId="0" fontId="60" fillId="6" borderId="1" xfId="0" applyFont="1" applyFill="1" applyBorder="1" applyProtection="1">
      <alignment vertical="center"/>
      <protection locked="0"/>
    </xf>
    <xf numFmtId="0" fontId="60" fillId="6" borderId="24" xfId="0" applyFont="1" applyFill="1" applyBorder="1" applyProtection="1">
      <alignment vertical="center"/>
      <protection locked="0"/>
    </xf>
    <xf numFmtId="0" fontId="138" fillId="6" borderId="24" xfId="0" applyFont="1" applyFill="1" applyBorder="1" applyProtection="1">
      <alignment vertical="center"/>
      <protection locked="0"/>
    </xf>
    <xf numFmtId="0" fontId="60" fillId="6" borderId="32" xfId="0" applyFont="1" applyFill="1" applyBorder="1" applyProtection="1">
      <alignment vertical="center"/>
      <protection locked="0"/>
    </xf>
    <xf numFmtId="185" fontId="60" fillId="6" borderId="1" xfId="0" applyNumberFormat="1" applyFont="1" applyFill="1" applyBorder="1" applyAlignment="1" applyProtection="1">
      <alignment horizontal="right" vertical="center"/>
      <protection locked="0"/>
    </xf>
    <xf numFmtId="185" fontId="56" fillId="6" borderId="1" xfId="1" applyNumberFormat="1" applyFont="1" applyFill="1" applyBorder="1" applyAlignment="1">
      <alignment horizontal="right" vertical="center"/>
    </xf>
    <xf numFmtId="185" fontId="60" fillId="6" borderId="1" xfId="1" applyNumberFormat="1" applyFont="1" applyFill="1" applyBorder="1" applyAlignment="1">
      <alignment horizontal="right" vertical="center"/>
    </xf>
    <xf numFmtId="185" fontId="60" fillId="6" borderId="13" xfId="1" applyNumberFormat="1" applyFont="1" applyFill="1" applyBorder="1" applyAlignment="1">
      <alignment horizontal="right" vertical="center"/>
    </xf>
    <xf numFmtId="192" fontId="56" fillId="6" borderId="1" xfId="0" applyNumberFormat="1" applyFont="1" applyFill="1" applyBorder="1" applyAlignment="1">
      <alignment horizontal="right" vertical="center"/>
    </xf>
    <xf numFmtId="185" fontId="60" fillId="6" borderId="1" xfId="0" applyNumberFormat="1" applyFont="1" applyFill="1" applyBorder="1" applyAlignment="1">
      <alignment horizontal="right" vertical="center"/>
    </xf>
    <xf numFmtId="185" fontId="60" fillId="6" borderId="32" xfId="0" applyNumberFormat="1" applyFont="1" applyFill="1" applyBorder="1" applyAlignment="1" applyProtection="1">
      <alignment horizontal="right" vertical="center"/>
      <protection locked="0"/>
    </xf>
    <xf numFmtId="177" fontId="56" fillId="6" borderId="1" xfId="0" applyNumberFormat="1" applyFont="1" applyFill="1" applyBorder="1" applyAlignment="1">
      <alignment horizontal="right" vertical="center"/>
    </xf>
    <xf numFmtId="179" fontId="56" fillId="6" borderId="5" xfId="1" applyNumberFormat="1" applyFont="1" applyFill="1" applyBorder="1" applyAlignment="1">
      <alignment horizontal="right" vertical="center"/>
    </xf>
    <xf numFmtId="9" fontId="57" fillId="6" borderId="5" xfId="1" applyNumberFormat="1" applyFont="1" applyFill="1" applyBorder="1" applyAlignment="1">
      <alignment horizontal="right" vertical="center"/>
    </xf>
    <xf numFmtId="9" fontId="60" fillId="6" borderId="1" xfId="17" applyFont="1" applyFill="1" applyBorder="1" applyAlignment="1" applyProtection="1">
      <alignment horizontal="right" vertical="center"/>
    </xf>
    <xf numFmtId="9" fontId="60" fillId="6" borderId="32" xfId="0" applyNumberFormat="1" applyFont="1" applyFill="1" applyBorder="1" applyAlignment="1">
      <alignment horizontal="right" vertical="center"/>
    </xf>
    <xf numFmtId="10" fontId="56" fillId="6" borderId="5" xfId="1" applyNumberFormat="1" applyFont="1" applyFill="1" applyBorder="1" applyAlignment="1">
      <alignment horizontal="right" vertical="center"/>
    </xf>
    <xf numFmtId="0" fontId="53" fillId="3" borderId="0" xfId="0" applyFont="1" applyFill="1" applyProtection="1">
      <alignment vertical="center"/>
      <protection locked="0"/>
    </xf>
    <xf numFmtId="185" fontId="53" fillId="6" borderId="1" xfId="0" applyNumberFormat="1" applyFont="1" applyFill="1" applyBorder="1" applyAlignment="1">
      <alignment horizontal="right" vertical="center"/>
    </xf>
    <xf numFmtId="0" fontId="53" fillId="6" borderId="1" xfId="0" applyFont="1" applyFill="1" applyBorder="1" applyAlignment="1">
      <alignment horizontal="center" vertical="center"/>
    </xf>
    <xf numFmtId="0" fontId="53" fillId="6" borderId="24" xfId="0" applyFont="1" applyFill="1" applyBorder="1">
      <alignment vertical="center"/>
    </xf>
    <xf numFmtId="192" fontId="53" fillId="6" borderId="1" xfId="0" applyNumberFormat="1" applyFont="1" applyFill="1" applyBorder="1" applyAlignment="1">
      <alignment horizontal="right" vertical="center"/>
    </xf>
    <xf numFmtId="192" fontId="53" fillId="6" borderId="1" xfId="0" applyNumberFormat="1" applyFont="1" applyFill="1" applyBorder="1" applyAlignment="1">
      <alignment horizontal="left" vertical="center"/>
    </xf>
    <xf numFmtId="10" fontId="53" fillId="6" borderId="5"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9" fontId="53" fillId="6" borderId="5" xfId="1" applyNumberFormat="1" applyFont="1" applyFill="1" applyBorder="1" applyAlignment="1">
      <alignment horizontal="right" vertical="center"/>
    </xf>
    <xf numFmtId="0" fontId="235" fillId="6" borderId="24" xfId="0" applyFont="1" applyFill="1" applyBorder="1">
      <alignment vertical="center"/>
    </xf>
    <xf numFmtId="177" fontId="60" fillId="6" borderId="84" xfId="1" applyNumberFormat="1" applyFont="1" applyFill="1" applyBorder="1" applyAlignment="1">
      <alignment horizontal="left" vertical="center"/>
    </xf>
    <xf numFmtId="0" fontId="60" fillId="6" borderId="84" xfId="1" applyFont="1" applyFill="1" applyBorder="1" applyAlignment="1">
      <alignment horizontal="left" vertical="center"/>
    </xf>
    <xf numFmtId="49" fontId="60" fillId="6" borderId="51" xfId="1" applyNumberFormat="1" applyFont="1" applyFill="1" applyBorder="1">
      <alignment vertical="center"/>
    </xf>
    <xf numFmtId="49" fontId="138" fillId="6" borderId="28" xfId="1" applyNumberFormat="1" applyFont="1" applyFill="1" applyBorder="1">
      <alignment vertical="center"/>
    </xf>
    <xf numFmtId="49" fontId="60" fillId="6" borderId="20" xfId="1" applyNumberFormat="1" applyFont="1" applyFill="1" applyBorder="1">
      <alignment vertical="center"/>
    </xf>
    <xf numFmtId="185" fontId="53" fillId="6" borderId="1" xfId="1" applyNumberFormat="1" applyFont="1" applyFill="1" applyBorder="1" applyAlignment="1">
      <alignment horizontal="right" vertical="center"/>
    </xf>
    <xf numFmtId="0" fontId="53" fillId="6" borderId="24" xfId="1" applyFont="1" applyFill="1" applyBorder="1" applyAlignment="1">
      <alignment horizontal="left" vertical="center"/>
    </xf>
    <xf numFmtId="49" fontId="56" fillId="6" borderId="23" xfId="1" applyNumberFormat="1" applyFont="1" applyFill="1" applyBorder="1" applyAlignment="1">
      <alignment horizontal="center" vertical="center"/>
    </xf>
    <xf numFmtId="179" fontId="56" fillId="6" borderId="1" xfId="1" applyNumberFormat="1" applyFont="1" applyFill="1" applyBorder="1" applyAlignment="1">
      <alignment horizontal="center" vertical="center"/>
    </xf>
    <xf numFmtId="0" fontId="56" fillId="6" borderId="1" xfId="1" applyFont="1" applyFill="1" applyBorder="1" applyAlignment="1">
      <alignment horizontal="center" vertical="center"/>
    </xf>
    <xf numFmtId="10" fontId="56" fillId="6" borderId="1" xfId="1" applyNumberFormat="1" applyFont="1" applyFill="1" applyBorder="1" applyAlignment="1">
      <alignment horizontal="right" vertical="center"/>
    </xf>
    <xf numFmtId="49" fontId="187" fillId="6" borderId="23" xfId="1" applyNumberFormat="1" applyFont="1" applyFill="1" applyBorder="1" applyAlignment="1">
      <alignment horizontal="left" vertical="center"/>
    </xf>
    <xf numFmtId="177"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9" fontId="56" fillId="6" borderId="5" xfId="1" applyNumberFormat="1" applyFont="1" applyFill="1" applyBorder="1" applyAlignment="1">
      <alignment horizontal="right" vertical="center"/>
    </xf>
    <xf numFmtId="177" fontId="56" fillId="6" borderId="1" xfId="1" applyNumberFormat="1" applyFont="1" applyFill="1" applyBorder="1">
      <alignment vertical="center"/>
    </xf>
    <xf numFmtId="185" fontId="62"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0" fontId="57" fillId="6" borderId="1" xfId="1" applyFont="1" applyFill="1" applyBorder="1" applyAlignment="1">
      <alignment horizontal="center" vertical="center"/>
    </xf>
    <xf numFmtId="0" fontId="63" fillId="6" borderId="1" xfId="0" applyFont="1" applyFill="1" applyBorder="1" applyAlignment="1">
      <alignment horizontal="left" vertical="center"/>
    </xf>
    <xf numFmtId="192" fontId="56" fillId="22" borderId="1" xfId="0" applyNumberFormat="1" applyFont="1" applyFill="1" applyBorder="1" applyAlignment="1">
      <alignment horizontal="right" vertical="center"/>
    </xf>
    <xf numFmtId="49" fontId="56" fillId="22" borderId="23" xfId="0" applyNumberFormat="1" applyFont="1" applyFill="1" applyBorder="1" applyAlignment="1">
      <alignment horizontal="right" vertical="center"/>
    </xf>
    <xf numFmtId="49" fontId="138" fillId="6" borderId="26" xfId="1" applyNumberFormat="1" applyFont="1" applyFill="1" applyBorder="1" applyAlignment="1">
      <alignment horizontal="left" vertical="center"/>
    </xf>
    <xf numFmtId="49" fontId="138" fillId="6" borderId="84" xfId="1" applyNumberFormat="1" applyFont="1" applyFill="1" applyBorder="1" applyAlignment="1">
      <alignment horizontal="left" vertical="center"/>
    </xf>
    <xf numFmtId="49" fontId="56" fillId="22" borderId="5" xfId="1" applyNumberFormat="1" applyFont="1" applyFill="1" applyBorder="1" applyAlignment="1">
      <alignment horizontal="right" vertical="center"/>
    </xf>
    <xf numFmtId="49" fontId="22" fillId="22" borderId="5" xfId="1" applyNumberFormat="1" applyFont="1" applyFill="1" applyBorder="1" applyAlignment="1">
      <alignment horizontal="right" vertical="center"/>
    </xf>
    <xf numFmtId="49" fontId="53" fillId="6" borderId="5" xfId="1" applyNumberFormat="1" applyFont="1" applyFill="1" applyBorder="1">
      <alignment vertical="center"/>
    </xf>
    <xf numFmtId="49" fontId="56" fillId="6" borderId="5" xfId="1" applyNumberFormat="1" applyFont="1" applyFill="1" applyBorder="1">
      <alignment vertical="center"/>
    </xf>
    <xf numFmtId="49" fontId="187" fillId="6" borderId="5" xfId="1" applyNumberFormat="1" applyFont="1" applyFill="1" applyBorder="1">
      <alignment vertical="center"/>
    </xf>
    <xf numFmtId="49" fontId="56" fillId="6" borderId="23" xfId="0" applyNumberFormat="1" applyFont="1" applyFill="1" applyBorder="1" applyAlignment="1">
      <alignment horizontal="center" vertical="center"/>
    </xf>
    <xf numFmtId="49" fontId="22" fillId="6" borderId="5" xfId="1" applyNumberFormat="1" applyFont="1" applyFill="1" applyBorder="1" applyAlignment="1">
      <alignment horizontal="left" vertical="center"/>
    </xf>
    <xf numFmtId="49" fontId="22" fillId="6" borderId="5" xfId="1" applyNumberFormat="1" applyFont="1" applyFill="1" applyBorder="1" applyAlignment="1">
      <alignment horizontal="right" vertical="center"/>
    </xf>
    <xf numFmtId="49" fontId="62" fillId="6" borderId="23" xfId="1" applyNumberFormat="1" applyFont="1" applyFill="1" applyBorder="1" applyAlignment="1">
      <alignment horizontal="right" vertical="center"/>
    </xf>
    <xf numFmtId="49" fontId="62" fillId="6" borderId="5" xfId="1" applyNumberFormat="1" applyFont="1" applyFill="1" applyBorder="1" applyAlignment="1">
      <alignment horizontal="right" vertical="center"/>
    </xf>
    <xf numFmtId="49" fontId="56" fillId="6" borderId="5" xfId="1" applyNumberFormat="1" applyFont="1" applyFill="1" applyBorder="1" applyAlignment="1">
      <alignment horizontal="right" vertical="center"/>
    </xf>
    <xf numFmtId="49" fontId="22" fillId="6" borderId="23" xfId="0" applyNumberFormat="1" applyFont="1" applyFill="1" applyBorder="1" applyAlignment="1">
      <alignment horizontal="right" vertical="center"/>
    </xf>
    <xf numFmtId="49" fontId="56" fillId="6" borderId="23" xfId="0" applyNumberFormat="1" applyFont="1" applyFill="1" applyBorder="1" applyAlignment="1">
      <alignment horizontal="right" vertical="center"/>
    </xf>
    <xf numFmtId="49" fontId="60" fillId="6" borderId="23" xfId="0" applyNumberFormat="1" applyFont="1" applyFill="1" applyBorder="1" applyAlignment="1" applyProtection="1">
      <alignment horizontal="left" vertical="center"/>
      <protection locked="0"/>
    </xf>
    <xf numFmtId="49" fontId="138" fillId="6" borderId="1" xfId="0" applyNumberFormat="1" applyFont="1" applyFill="1" applyBorder="1" applyProtection="1">
      <alignment vertical="center"/>
      <protection locked="0"/>
    </xf>
    <xf numFmtId="49" fontId="60" fillId="6" borderId="25" xfId="0" applyNumberFormat="1" applyFont="1" applyFill="1" applyBorder="1" applyAlignment="1" applyProtection="1">
      <alignment horizontal="left" vertical="center"/>
      <protection locked="0"/>
    </xf>
    <xf numFmtId="49" fontId="138" fillId="6" borderId="32" xfId="0" applyNumberFormat="1" applyFont="1" applyFill="1" applyBorder="1" applyAlignment="1" applyProtection="1">
      <alignment horizontal="left" vertical="center"/>
      <protection locked="0"/>
    </xf>
    <xf numFmtId="176" fontId="162" fillId="0" borderId="1" xfId="12" applyNumberFormat="1" applyFont="1" applyBorder="1" applyAlignment="1" applyProtection="1">
      <alignment horizontal="left" vertical="center" wrapText="1"/>
      <protection locked="0"/>
    </xf>
    <xf numFmtId="176" fontId="162" fillId="12" borderId="0" xfId="12" applyNumberFormat="1" applyFont="1" applyFill="1" applyAlignment="1" applyProtection="1">
      <alignment horizontal="left" vertical="center" wrapText="1"/>
      <protection locked="0"/>
    </xf>
    <xf numFmtId="176" fontId="47" fillId="6" borderId="34" xfId="0" applyNumberFormat="1" applyFont="1" applyFill="1" applyBorder="1">
      <alignment vertical="center"/>
    </xf>
    <xf numFmtId="0" fontId="109" fillId="6" borderId="0" xfId="0" applyFont="1" applyFill="1" applyAlignment="1">
      <alignment horizontal="left" vertical="center" wrapText="1"/>
    </xf>
    <xf numFmtId="0" fontId="109" fillId="6" borderId="60" xfId="0" applyFont="1" applyFill="1" applyBorder="1" applyAlignment="1">
      <alignment horizontal="left" vertical="center" wrapText="1"/>
    </xf>
    <xf numFmtId="176" fontId="56" fillId="6" borderId="1" xfId="0" applyNumberFormat="1" applyFont="1" applyFill="1" applyBorder="1" applyAlignment="1">
      <alignment horizontal="left" vertical="center" wrapText="1"/>
    </xf>
    <xf numFmtId="176" fontId="56" fillId="0" borderId="1" xfId="0" applyNumberFormat="1" applyFont="1" applyBorder="1" applyAlignment="1" applyProtection="1">
      <alignment horizontal="left" vertical="center" wrapText="1"/>
      <protection locked="0"/>
    </xf>
    <xf numFmtId="176" fontId="47" fillId="6" borderId="24" xfId="0" applyNumberFormat="1" applyFont="1" applyFill="1" applyBorder="1" applyAlignment="1">
      <alignment horizontal="center" vertical="center"/>
    </xf>
    <xf numFmtId="176" fontId="47" fillId="6" borderId="61" xfId="0" applyNumberFormat="1" applyFont="1" applyFill="1" applyBorder="1" applyAlignment="1">
      <alignment horizontal="center" vertical="center"/>
    </xf>
    <xf numFmtId="176" fontId="47" fillId="0" borderId="49" xfId="0" applyNumberFormat="1" applyFont="1" applyBorder="1" applyAlignment="1" applyProtection="1">
      <alignment horizontal="center" vertical="center"/>
      <protection locked="0"/>
    </xf>
    <xf numFmtId="176" fontId="49"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wrapText="1"/>
    </xf>
    <xf numFmtId="176" fontId="50"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5" fillId="0" borderId="0" xfId="0" applyNumberFormat="1" applyFont="1" applyAlignment="1" applyProtection="1">
      <alignment horizontal="left" vertical="center"/>
      <protection locked="0"/>
    </xf>
    <xf numFmtId="185" fontId="245"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01"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6"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6" fillId="0" borderId="1" xfId="0" applyNumberFormat="1" applyFont="1" applyBorder="1" applyAlignment="1" applyProtection="1">
      <alignment horizontal="right" vertical="center"/>
      <protection locked="0"/>
    </xf>
    <xf numFmtId="185" fontId="206" fillId="0" borderId="49" xfId="0" applyNumberFormat="1" applyFont="1" applyBorder="1" applyAlignment="1" applyProtection="1">
      <alignment horizontal="right" vertical="center"/>
      <protection locked="0"/>
    </xf>
    <xf numFmtId="185" fontId="102"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1"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6" fillId="6" borderId="25" xfId="0" applyFont="1" applyFill="1" applyBorder="1" applyAlignment="1">
      <alignment horizontal="left" vertical="center"/>
    </xf>
    <xf numFmtId="0" fontId="101" fillId="6" borderId="9" xfId="0" applyFont="1" applyFill="1" applyBorder="1" applyAlignment="1">
      <alignment horizontal="left" vertical="center"/>
    </xf>
    <xf numFmtId="176" fontId="206" fillId="6" borderId="1" xfId="0" applyNumberFormat="1" applyFont="1" applyFill="1" applyBorder="1" applyAlignment="1">
      <alignment horizontal="right" vertical="center"/>
    </xf>
    <xf numFmtId="176" fontId="206" fillId="6" borderId="32" xfId="0" applyNumberFormat="1" applyFont="1" applyFill="1" applyBorder="1" applyAlignment="1">
      <alignment horizontal="right" vertical="center"/>
    </xf>
    <xf numFmtId="0" fontId="101" fillId="6" borderId="19" xfId="0" applyFont="1" applyFill="1" applyBorder="1" applyAlignment="1">
      <alignment horizontal="left" vertical="center"/>
    </xf>
    <xf numFmtId="0" fontId="117" fillId="6" borderId="9" xfId="0" applyFont="1" applyFill="1" applyBorder="1" applyAlignment="1">
      <alignment horizontal="left" vertical="center"/>
    </xf>
    <xf numFmtId="0" fontId="117" fillId="6" borderId="10" xfId="0" applyFont="1" applyFill="1" applyBorder="1" applyAlignment="1">
      <alignment horizontal="left" vertical="center"/>
    </xf>
    <xf numFmtId="0" fontId="98" fillId="6" borderId="95" xfId="0" applyFont="1" applyFill="1" applyBorder="1" applyAlignment="1">
      <alignment horizontal="left" vertical="center"/>
    </xf>
    <xf numFmtId="181" fontId="101" fillId="6" borderId="86" xfId="17" applyNumberFormat="1" applyFont="1" applyFill="1" applyBorder="1" applyAlignment="1" applyProtection="1">
      <alignment horizontal="left" vertical="center"/>
    </xf>
    <xf numFmtId="181" fontId="101"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6" fillId="6" borderId="0" xfId="0" applyFont="1" applyFill="1" applyAlignment="1">
      <alignment horizontal="right" vertical="center"/>
    </xf>
    <xf numFmtId="176" fontId="112"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6" fillId="6" borderId="24" xfId="0" applyNumberFormat="1" applyFont="1" applyFill="1" applyBorder="1" applyAlignment="1">
      <alignment horizontal="right" vertical="center"/>
    </xf>
    <xf numFmtId="0" fontId="60" fillId="6" borderId="1" xfId="1" applyFont="1" applyFill="1" applyBorder="1" applyAlignment="1">
      <alignment horizontal="left" vertical="center"/>
    </xf>
    <xf numFmtId="49" fontId="125" fillId="22" borderId="5" xfId="1" applyNumberFormat="1" applyFont="1" applyFill="1" applyBorder="1" applyAlignment="1">
      <alignment horizontal="right" vertical="center"/>
    </xf>
    <xf numFmtId="49" fontId="53" fillId="22" borderId="23" xfId="1" applyNumberFormat="1" applyFont="1" applyFill="1" applyBorder="1" applyAlignment="1">
      <alignment horizontal="left" vertical="center"/>
    </xf>
    <xf numFmtId="49" fontId="53" fillId="22" borderId="5" xfId="1" applyNumberFormat="1" applyFont="1" applyFill="1" applyBorder="1" applyAlignment="1">
      <alignment horizontal="left" vertical="center"/>
    </xf>
    <xf numFmtId="185" fontId="53" fillId="22" borderId="1" xfId="0" applyNumberFormat="1" applyFont="1" applyFill="1" applyBorder="1" applyAlignment="1">
      <alignment horizontal="right" vertical="center"/>
    </xf>
    <xf numFmtId="0" fontId="53" fillId="22" borderId="1" xfId="0" applyFont="1" applyFill="1" applyBorder="1" applyAlignment="1">
      <alignment horizontal="left" vertical="center"/>
    </xf>
    <xf numFmtId="10" fontId="53" fillId="22" borderId="5" xfId="1" applyNumberFormat="1" applyFont="1" applyFill="1" applyBorder="1" applyAlignment="1">
      <alignment horizontal="left" vertical="center"/>
    </xf>
    <xf numFmtId="0" fontId="53" fillId="22" borderId="24" xfId="0" applyFont="1" applyFill="1" applyBorder="1" applyAlignment="1">
      <alignment horizontal="left" vertical="center"/>
    </xf>
    <xf numFmtId="10" fontId="53"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3" fillId="6" borderId="5" xfId="1" applyNumberFormat="1" applyFont="1" applyFill="1" applyBorder="1" applyAlignment="1">
      <alignment horizontal="left" vertical="center"/>
    </xf>
    <xf numFmtId="49" fontId="187" fillId="22" borderId="5" xfId="1" applyNumberFormat="1" applyFont="1" applyFill="1" applyBorder="1" applyAlignment="1">
      <alignment horizontal="left" vertical="center"/>
    </xf>
    <xf numFmtId="177" fontId="53" fillId="22" borderId="1" xfId="1" applyNumberFormat="1" applyFont="1" applyFill="1" applyBorder="1" applyAlignment="1">
      <alignment horizontal="right" vertical="center"/>
    </xf>
    <xf numFmtId="192" fontId="53" fillId="22" borderId="1" xfId="0" applyNumberFormat="1" applyFont="1" applyFill="1" applyBorder="1" applyAlignment="1">
      <alignment horizontal="left" vertical="center"/>
    </xf>
    <xf numFmtId="9" fontId="53" fillId="22" borderId="5" xfId="1" applyNumberFormat="1" applyFont="1" applyFill="1" applyBorder="1" applyAlignment="1">
      <alignment horizontal="left" vertical="center"/>
    </xf>
    <xf numFmtId="0" fontId="53" fillId="22" borderId="24" xfId="0" applyFont="1" applyFill="1" applyBorder="1" applyAlignment="1">
      <alignment horizontal="left" vertical="center" wrapText="1"/>
    </xf>
    <xf numFmtId="49" fontId="53" fillId="6" borderId="5" xfId="1" applyNumberFormat="1" applyFont="1" applyFill="1" applyBorder="1" applyAlignment="1">
      <alignment horizontal="left" vertical="center"/>
    </xf>
    <xf numFmtId="0" fontId="187" fillId="6" borderId="24" xfId="0" applyFont="1" applyFill="1" applyBorder="1" applyAlignment="1">
      <alignment horizontal="left" vertical="center"/>
    </xf>
    <xf numFmtId="10" fontId="53" fillId="6" borderId="1" xfId="1" applyNumberFormat="1" applyFont="1" applyFill="1" applyBorder="1" applyAlignment="1">
      <alignment horizontal="left" vertical="center"/>
    </xf>
    <xf numFmtId="49" fontId="187" fillId="6" borderId="5" xfId="1" applyNumberFormat="1" applyFont="1" applyFill="1" applyBorder="1" applyAlignment="1">
      <alignment horizontal="left" vertical="center"/>
    </xf>
    <xf numFmtId="49" fontId="53" fillId="6" borderId="1" xfId="1" applyNumberFormat="1" applyFont="1" applyFill="1" applyBorder="1" applyAlignment="1">
      <alignment horizontal="left" vertical="center"/>
    </xf>
    <xf numFmtId="185" fontId="56" fillId="6" borderId="1" xfId="0" applyNumberFormat="1" applyFont="1" applyFill="1" applyBorder="1" applyAlignment="1" applyProtection="1">
      <alignment horizontal="right" vertical="center"/>
      <protection locked="0"/>
    </xf>
    <xf numFmtId="192" fontId="56" fillId="6" borderId="1" xfId="0" applyNumberFormat="1" applyFont="1" applyFill="1" applyBorder="1" applyAlignment="1" applyProtection="1">
      <alignment horizontal="right" vertical="center"/>
      <protection locked="0"/>
    </xf>
    <xf numFmtId="0" fontId="175" fillId="6" borderId="20" xfId="0" applyFont="1" applyFill="1" applyBorder="1">
      <alignment vertical="center"/>
    </xf>
    <xf numFmtId="0" fontId="175" fillId="6" borderId="51" xfId="0" applyFont="1" applyFill="1" applyBorder="1">
      <alignment vertical="center"/>
    </xf>
    <xf numFmtId="49" fontId="80" fillId="6" borderId="23" xfId="0" applyNumberFormat="1" applyFont="1" applyFill="1" applyBorder="1" applyAlignment="1">
      <alignment horizontal="center" vertical="center"/>
    </xf>
    <xf numFmtId="0" fontId="148" fillId="6" borderId="1" xfId="1" applyFont="1" applyFill="1" applyBorder="1">
      <alignment vertical="center"/>
    </xf>
    <xf numFmtId="0" fontId="101" fillId="6" borderId="23" xfId="1" applyFont="1" applyFill="1" applyBorder="1" applyAlignment="1">
      <alignment horizontal="right" vertical="center"/>
    </xf>
    <xf numFmtId="0" fontId="50" fillId="6" borderId="1" xfId="0" applyFont="1" applyFill="1" applyBorder="1" applyProtection="1">
      <alignment vertical="center"/>
      <protection locked="0"/>
    </xf>
    <xf numFmtId="0" fontId="50" fillId="6" borderId="1" xfId="0" applyFont="1" applyFill="1" applyBorder="1" applyAlignment="1" applyProtection="1">
      <alignment horizontal="center" vertical="center"/>
      <protection locked="0"/>
    </xf>
    <xf numFmtId="0" fontId="49" fillId="6" borderId="1" xfId="1" applyFont="1" applyFill="1" applyBorder="1" applyAlignment="1">
      <alignment horizontal="left" vertical="center" wrapText="1"/>
    </xf>
    <xf numFmtId="0" fontId="49" fillId="6" borderId="46" xfId="0" applyFont="1" applyFill="1" applyBorder="1" applyAlignment="1">
      <alignment horizontal="left" vertical="center"/>
    </xf>
    <xf numFmtId="185" fontId="50" fillId="5" borderId="24" xfId="0" applyNumberFormat="1" applyFont="1" applyFill="1" applyBorder="1" applyAlignment="1" applyProtection="1">
      <alignment horizontal="center" vertical="center" wrapText="1"/>
      <protection locked="0"/>
    </xf>
    <xf numFmtId="185" fontId="49" fillId="6" borderId="1" xfId="0" applyNumberFormat="1" applyFont="1" applyFill="1" applyBorder="1" applyAlignment="1">
      <alignment horizontal="right" vertical="center"/>
    </xf>
    <xf numFmtId="177" fontId="49" fillId="6" borderId="1" xfId="1" applyNumberFormat="1" applyFont="1" applyFill="1" applyBorder="1" applyAlignment="1">
      <alignment horizontal="right" vertical="center"/>
    </xf>
    <xf numFmtId="177" fontId="50" fillId="6" borderId="1" xfId="0" applyNumberFormat="1" applyFont="1" applyFill="1" applyBorder="1" applyAlignment="1">
      <alignment horizontal="right" vertical="center"/>
    </xf>
    <xf numFmtId="0" fontId="50" fillId="6" borderId="1" xfId="0" applyFont="1" applyFill="1" applyBorder="1" applyAlignment="1">
      <alignment horizontal="right" vertical="center"/>
    </xf>
    <xf numFmtId="185" fontId="50" fillId="6" borderId="1" xfId="0" applyNumberFormat="1" applyFont="1" applyFill="1" applyBorder="1" applyAlignment="1" applyProtection="1">
      <alignment horizontal="right" vertical="center"/>
      <protection locked="0"/>
    </xf>
    <xf numFmtId="177" fontId="50" fillId="6" borderId="1" xfId="1" applyNumberFormat="1" applyFont="1" applyFill="1" applyBorder="1" applyAlignment="1">
      <alignment horizontal="right" vertical="center"/>
    </xf>
    <xf numFmtId="186" fontId="50" fillId="6" borderId="1" xfId="0" applyNumberFormat="1" applyFont="1" applyFill="1" applyBorder="1" applyAlignment="1">
      <alignment horizontal="right" vertical="center"/>
    </xf>
    <xf numFmtId="177" fontId="50" fillId="6" borderId="1" xfId="0" applyNumberFormat="1" applyFont="1" applyFill="1" applyBorder="1" applyAlignment="1">
      <alignment horizontal="right" vertical="center" wrapText="1"/>
    </xf>
    <xf numFmtId="10" fontId="49" fillId="6" borderId="1" xfId="1" applyNumberFormat="1" applyFont="1" applyFill="1" applyBorder="1" applyAlignment="1">
      <alignment horizontal="right" vertical="center"/>
    </xf>
    <xf numFmtId="10" fontId="50" fillId="6" borderId="1" xfId="1" applyNumberFormat="1" applyFont="1" applyFill="1" applyBorder="1" applyAlignment="1">
      <alignment horizontal="right" vertical="center"/>
    </xf>
    <xf numFmtId="9" fontId="50" fillId="6" borderId="1" xfId="1" applyNumberFormat="1" applyFont="1" applyFill="1" applyBorder="1" applyAlignment="1">
      <alignment horizontal="right" vertical="center"/>
    </xf>
    <xf numFmtId="10" fontId="50" fillId="6" borderId="1" xfId="0" applyNumberFormat="1" applyFont="1" applyFill="1" applyBorder="1" applyAlignment="1">
      <alignment horizontal="right" vertical="center" wrapText="1"/>
    </xf>
    <xf numFmtId="9" fontId="49" fillId="6" borderId="1" xfId="0" applyNumberFormat="1" applyFont="1" applyFill="1" applyBorder="1" applyAlignment="1">
      <alignment horizontal="right" vertical="center" wrapText="1"/>
    </xf>
    <xf numFmtId="0" fontId="49" fillId="6" borderId="9" xfId="0" applyFont="1" applyFill="1" applyBorder="1">
      <alignment vertical="center"/>
    </xf>
    <xf numFmtId="185" fontId="49" fillId="6" borderId="9" xfId="0" applyNumberFormat="1" applyFont="1" applyFill="1" applyBorder="1" applyAlignment="1">
      <alignment horizontal="center" vertical="center"/>
    </xf>
    <xf numFmtId="0" fontId="148" fillId="6" borderId="1" xfId="0" applyFont="1" applyFill="1" applyBorder="1">
      <alignment vertical="center"/>
    </xf>
    <xf numFmtId="0" fontId="49" fillId="6" borderId="1" xfId="0" applyFont="1" applyFill="1" applyBorder="1">
      <alignment vertical="center"/>
    </xf>
    <xf numFmtId="0" fontId="49" fillId="6" borderId="24" xfId="0" applyFont="1" applyFill="1" applyBorder="1">
      <alignment vertical="center"/>
    </xf>
    <xf numFmtId="0" fontId="50" fillId="6" borderId="24" xfId="0" applyFont="1" applyFill="1" applyBorder="1">
      <alignment vertical="center"/>
    </xf>
    <xf numFmtId="0" fontId="50" fillId="6" borderId="1" xfId="1" applyFont="1" applyFill="1" applyBorder="1" applyAlignment="1">
      <alignment horizontal="right" vertical="center"/>
    </xf>
    <xf numFmtId="0" fontId="142" fillId="5" borderId="1" xfId="1" applyFont="1" applyFill="1" applyBorder="1" applyAlignment="1" applyProtection="1">
      <alignment horizontal="right" vertical="center"/>
      <protection locked="0"/>
    </xf>
    <xf numFmtId="0" fontId="50" fillId="0" borderId="1" xfId="0" applyFont="1" applyBorder="1" applyProtection="1">
      <alignment vertical="center"/>
      <protection locked="0"/>
    </xf>
    <xf numFmtId="0" fontId="55" fillId="6" borderId="1" xfId="0" applyFont="1" applyFill="1" applyBorder="1">
      <alignment vertical="center"/>
    </xf>
    <xf numFmtId="0" fontId="50" fillId="6" borderId="24" xfId="0" applyFont="1" applyFill="1" applyBorder="1" applyProtection="1">
      <alignment vertical="center"/>
      <protection locked="0"/>
    </xf>
    <xf numFmtId="177" fontId="49" fillId="6" borderId="1" xfId="0" applyNumberFormat="1" applyFont="1" applyFill="1" applyBorder="1" applyAlignment="1">
      <alignment horizontal="right" vertical="center"/>
    </xf>
    <xf numFmtId="10" fontId="49" fillId="6" borderId="1" xfId="0" applyNumberFormat="1" applyFont="1" applyFill="1" applyBorder="1" applyAlignment="1">
      <alignment horizontal="right" vertical="center"/>
    </xf>
    <xf numFmtId="10" fontId="50" fillId="6" borderId="1" xfId="0" applyNumberFormat="1" applyFont="1" applyFill="1" applyBorder="1" applyAlignment="1">
      <alignment horizontal="right" vertical="center"/>
    </xf>
    <xf numFmtId="0" fontId="49" fillId="6" borderId="1" xfId="1" applyFont="1" applyFill="1" applyBorder="1" applyAlignment="1">
      <alignment horizontal="left" vertical="center"/>
    </xf>
    <xf numFmtId="177" fontId="49" fillId="6" borderId="1" xfId="0" applyNumberFormat="1" applyFont="1" applyFill="1" applyBorder="1">
      <alignment vertical="center"/>
    </xf>
    <xf numFmtId="0" fontId="49" fillId="6" borderId="25" xfId="0" applyFont="1" applyFill="1" applyBorder="1" applyAlignment="1">
      <alignment horizontal="left" vertical="center"/>
    </xf>
    <xf numFmtId="0" fontId="148" fillId="6" borderId="32" xfId="0" applyFont="1" applyFill="1" applyBorder="1">
      <alignment vertical="center"/>
    </xf>
    <xf numFmtId="9" fontId="49" fillId="6" borderId="32" xfId="0" applyNumberFormat="1" applyFont="1" applyFill="1" applyBorder="1" applyAlignment="1">
      <alignment horizontal="right" vertical="center" wrapText="1"/>
    </xf>
    <xf numFmtId="0" fontId="80" fillId="6" borderId="1" xfId="1" applyFont="1" applyFill="1" applyBorder="1" applyAlignment="1">
      <alignment horizontal="left" vertical="center"/>
    </xf>
    <xf numFmtId="0" fontId="80"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3" fillId="6" borderId="1" xfId="1" applyFont="1" applyFill="1" applyBorder="1" applyAlignment="1">
      <alignment horizontal="right" vertical="center"/>
    </xf>
    <xf numFmtId="9" fontId="173" fillId="6" borderId="1" xfId="1" applyNumberFormat="1" applyFont="1" applyFill="1" applyBorder="1" applyAlignment="1">
      <alignment horizontal="right" vertical="center"/>
    </xf>
    <xf numFmtId="49" fontId="60" fillId="6" borderId="10" xfId="1" applyNumberFormat="1" applyFont="1" applyFill="1" applyBorder="1">
      <alignment vertical="center"/>
    </xf>
    <xf numFmtId="49" fontId="50" fillId="6" borderId="23" xfId="0" applyNumberFormat="1" applyFont="1" applyFill="1" applyBorder="1" applyAlignment="1">
      <alignment horizontal="right" vertical="center"/>
    </xf>
    <xf numFmtId="49" fontId="49" fillId="6" borderId="1" xfId="0" applyNumberFormat="1" applyFont="1" applyFill="1" applyBorder="1" applyAlignment="1">
      <alignment horizontal="right" vertical="center"/>
    </xf>
    <xf numFmtId="185" fontId="50" fillId="6" borderId="1" xfId="0" applyNumberFormat="1" applyFont="1" applyFill="1" applyBorder="1" applyAlignment="1">
      <alignment horizontal="right" vertical="center"/>
    </xf>
    <xf numFmtId="185" fontId="173" fillId="6" borderId="1" xfId="0" applyNumberFormat="1" applyFont="1" applyFill="1" applyBorder="1" applyAlignment="1">
      <alignment horizontal="right" vertical="center"/>
    </xf>
    <xf numFmtId="49" fontId="49" fillId="6" borderId="1" xfId="0" applyNumberFormat="1" applyFont="1" applyFill="1" applyBorder="1" applyAlignment="1">
      <alignment horizontal="right" vertical="center" wrapText="1"/>
    </xf>
    <xf numFmtId="185" fontId="173" fillId="6" borderId="1" xfId="1" applyNumberFormat="1" applyFont="1" applyFill="1" applyBorder="1" applyAlignment="1">
      <alignment horizontal="right" vertical="center"/>
    </xf>
    <xf numFmtId="185" fontId="50" fillId="6" borderId="1" xfId="1" applyNumberFormat="1" applyFont="1" applyFill="1" applyBorder="1" applyAlignment="1">
      <alignment horizontal="right" vertical="center"/>
    </xf>
    <xf numFmtId="185" fontId="50" fillId="0" borderId="1" xfId="0" applyNumberFormat="1" applyFont="1" applyBorder="1" applyAlignment="1" applyProtection="1">
      <alignment horizontal="right" vertical="center"/>
      <protection locked="0"/>
    </xf>
    <xf numFmtId="185" fontId="50" fillId="0" borderId="24" xfId="0" applyNumberFormat="1" applyFont="1" applyBorder="1" applyAlignment="1" applyProtection="1">
      <alignment horizontal="right" vertical="center"/>
      <protection locked="0"/>
    </xf>
    <xf numFmtId="176" fontId="102" fillId="6" borderId="1" xfId="0" applyNumberFormat="1" applyFont="1" applyFill="1" applyBorder="1" applyAlignment="1">
      <alignment horizontal="right" vertical="center"/>
    </xf>
    <xf numFmtId="176" fontId="102" fillId="6" borderId="24" xfId="0" applyNumberFormat="1" applyFont="1" applyFill="1" applyBorder="1" applyAlignment="1">
      <alignment horizontal="right" vertical="center"/>
    </xf>
    <xf numFmtId="0" fontId="175" fillId="6" borderId="1" xfId="0" applyFont="1" applyFill="1" applyBorder="1">
      <alignment vertical="center"/>
    </xf>
    <xf numFmtId="0" fontId="148" fillId="6" borderId="9" xfId="0" applyFont="1" applyFill="1" applyBorder="1">
      <alignment vertical="center"/>
    </xf>
    <xf numFmtId="0" fontId="80" fillId="6" borderId="1" xfId="0" applyFont="1" applyFill="1" applyBorder="1" applyAlignment="1">
      <alignment horizontal="left" vertical="center"/>
    </xf>
    <xf numFmtId="0" fontId="80" fillId="6" borderId="13" xfId="0" applyFont="1" applyFill="1" applyBorder="1" applyAlignment="1">
      <alignment vertical="top" wrapText="1"/>
    </xf>
    <xf numFmtId="0" fontId="80" fillId="6" borderId="1" xfId="0" applyFont="1" applyFill="1" applyBorder="1">
      <alignment vertical="center"/>
    </xf>
    <xf numFmtId="0" fontId="80" fillId="2" borderId="1" xfId="0" applyFont="1" applyFill="1" applyBorder="1" applyAlignment="1" applyProtection="1">
      <alignment horizontal="left" vertical="center" wrapText="1"/>
      <protection locked="0"/>
    </xf>
    <xf numFmtId="0" fontId="80" fillId="6" borderId="1" xfId="0" applyFont="1" applyFill="1" applyBorder="1" applyAlignment="1">
      <alignment horizontal="right" vertical="center"/>
    </xf>
    <xf numFmtId="0" fontId="55" fillId="6" borderId="1" xfId="0" applyFont="1" applyFill="1" applyBorder="1" applyAlignment="1" applyProtection="1">
      <alignment horizontal="right" vertical="center"/>
      <protection locked="0"/>
    </xf>
    <xf numFmtId="176" fontId="50" fillId="6" borderId="78" xfId="0" applyNumberFormat="1" applyFont="1" applyFill="1" applyBorder="1" applyAlignment="1">
      <alignment horizontal="right" vertical="center"/>
    </xf>
    <xf numFmtId="176" fontId="56" fillId="6" borderId="1" xfId="0" applyNumberFormat="1" applyFont="1" applyFill="1" applyBorder="1" applyAlignment="1" applyProtection="1">
      <alignment horizontal="right" vertical="center"/>
      <protection locked="0"/>
    </xf>
    <xf numFmtId="0" fontId="22" fillId="6" borderId="1" xfId="0" applyFont="1" applyFill="1" applyBorder="1" applyProtection="1">
      <alignment vertical="center"/>
      <protection locked="0"/>
    </xf>
    <xf numFmtId="0" fontId="51" fillId="6" borderId="1" xfId="0" applyFont="1" applyFill="1" applyBorder="1" applyProtection="1">
      <alignment vertical="center"/>
      <protection locked="0"/>
    </xf>
    <xf numFmtId="49" fontId="55" fillId="6" borderId="6" xfId="0" applyNumberFormat="1" applyFont="1" applyFill="1" applyBorder="1" applyAlignment="1">
      <alignment horizontal="left" vertical="center"/>
    </xf>
    <xf numFmtId="0" fontId="55" fillId="6" borderId="9" xfId="0" applyFont="1" applyFill="1" applyBorder="1" applyAlignment="1">
      <alignment horizontal="left" vertical="center"/>
    </xf>
    <xf numFmtId="0" fontId="55" fillId="6" borderId="1" xfId="0" applyFont="1" applyFill="1" applyBorder="1" applyAlignment="1">
      <alignment horizontal="left" vertical="center"/>
    </xf>
    <xf numFmtId="0" fontId="55" fillId="6" borderId="1" xfId="0" applyFont="1" applyFill="1" applyBorder="1" applyAlignment="1">
      <alignment vertical="center" wrapText="1"/>
    </xf>
    <xf numFmtId="181" fontId="55" fillId="6" borderId="1" xfId="0" applyNumberFormat="1" applyFont="1" applyFill="1" applyBorder="1" applyAlignment="1">
      <alignment horizontal="right" vertical="center"/>
    </xf>
    <xf numFmtId="0" fontId="82" fillId="6" borderId="1" xfId="0" applyFont="1" applyFill="1" applyBorder="1" applyAlignment="1">
      <alignment horizontal="left" vertical="center"/>
    </xf>
    <xf numFmtId="49" fontId="82" fillId="6" borderId="23" xfId="0" applyNumberFormat="1" applyFont="1" applyFill="1" applyBorder="1" applyAlignment="1">
      <alignment horizontal="left" vertical="center"/>
    </xf>
    <xf numFmtId="49" fontId="82" fillId="6" borderId="25" xfId="0" applyNumberFormat="1" applyFont="1" applyFill="1" applyBorder="1" applyAlignment="1">
      <alignment horizontal="left" vertical="center"/>
    </xf>
    <xf numFmtId="0" fontId="102" fillId="6" borderId="1" xfId="0" applyFont="1" applyFill="1" applyBorder="1" applyAlignment="1">
      <alignment horizontal="right" vertical="center"/>
    </xf>
    <xf numFmtId="0" fontId="56" fillId="6" borderId="9" xfId="0" applyFont="1" applyFill="1" applyBorder="1" applyProtection="1">
      <alignment vertical="center"/>
      <protection locked="0"/>
    </xf>
    <xf numFmtId="0" fontId="56" fillId="6" borderId="10" xfId="0" applyFont="1" applyFill="1" applyBorder="1" applyProtection="1">
      <alignment vertical="center"/>
      <protection locked="0"/>
    </xf>
    <xf numFmtId="0" fontId="82" fillId="6" borderId="32" xfId="0" applyFont="1" applyFill="1" applyBorder="1" applyAlignment="1">
      <alignment horizontal="left" vertical="center" wrapText="1"/>
    </xf>
    <xf numFmtId="181" fontId="55" fillId="6" borderId="49" xfId="0" applyNumberFormat="1" applyFont="1" applyFill="1" applyBorder="1" applyAlignment="1">
      <alignment horizontal="center" vertical="center"/>
    </xf>
    <xf numFmtId="0" fontId="82" fillId="6" borderId="9" xfId="0" applyFont="1" applyFill="1" applyBorder="1">
      <alignment vertical="center"/>
    </xf>
    <xf numFmtId="0" fontId="80" fillId="6" borderId="1" xfId="0" applyFont="1" applyFill="1" applyBorder="1" applyAlignment="1" applyProtection="1">
      <protection locked="0"/>
    </xf>
    <xf numFmtId="0" fontId="82" fillId="6" borderId="32" xfId="0" applyFont="1" applyFill="1" applyBorder="1" applyAlignment="1">
      <alignment horizontal="left" vertical="center"/>
    </xf>
    <xf numFmtId="0" fontId="141" fillId="6" borderId="1" xfId="0" applyFont="1" applyFill="1" applyBorder="1" applyAlignment="1">
      <alignment horizontal="left" vertical="center" wrapText="1"/>
    </xf>
    <xf numFmtId="0" fontId="80" fillId="6" borderId="1" xfId="0" applyFont="1" applyFill="1" applyBorder="1" applyAlignment="1">
      <alignment horizontal="left" vertical="center" wrapText="1"/>
    </xf>
    <xf numFmtId="176" fontId="102" fillId="6" borderId="1" xfId="0" applyNumberFormat="1" applyFont="1" applyFill="1" applyBorder="1" applyAlignment="1" applyProtection="1">
      <alignment horizontal="right" vertical="center"/>
      <protection locked="0"/>
    </xf>
    <xf numFmtId="0" fontId="82" fillId="6" borderId="2" xfId="0" applyFont="1" applyFill="1" applyBorder="1" applyAlignment="1" applyProtection="1">
      <alignment vertical="center" wrapText="1"/>
      <protection locked="0"/>
    </xf>
    <xf numFmtId="185" fontId="55" fillId="6" borderId="1" xfId="0" applyNumberFormat="1" applyFont="1" applyFill="1" applyBorder="1" applyAlignment="1">
      <alignment horizontal="right" vertical="center"/>
    </xf>
    <xf numFmtId="176" fontId="55" fillId="0" borderId="78" xfId="0" applyNumberFormat="1" applyFont="1" applyBorder="1" applyAlignment="1" applyProtection="1">
      <alignment horizontal="right" vertical="center"/>
      <protection locked="0"/>
    </xf>
    <xf numFmtId="185" fontId="55" fillId="0" borderId="78" xfId="0" applyNumberFormat="1" applyFont="1" applyBorder="1" applyAlignment="1" applyProtection="1">
      <alignment horizontal="right" vertical="center"/>
      <protection locked="0"/>
    </xf>
    <xf numFmtId="49" fontId="55" fillId="6" borderId="51" xfId="0" applyNumberFormat="1" applyFont="1" applyFill="1" applyBorder="1" applyAlignment="1">
      <alignment horizontal="left" vertical="center"/>
    </xf>
    <xf numFmtId="49" fontId="50" fillId="6" borderId="37" xfId="0" applyNumberFormat="1" applyFont="1" applyFill="1" applyBorder="1" applyAlignment="1">
      <alignment horizontal="left" vertical="center"/>
    </xf>
    <xf numFmtId="49" fontId="55" fillId="6" borderId="38" xfId="0" applyNumberFormat="1" applyFont="1" applyFill="1" applyBorder="1" applyAlignment="1">
      <alignment horizontal="left" vertical="center"/>
    </xf>
    <xf numFmtId="0" fontId="55" fillId="6" borderId="6" xfId="0" applyFont="1" applyFill="1" applyBorder="1" applyAlignment="1">
      <alignment horizontal="left" vertical="center"/>
    </xf>
    <xf numFmtId="185" fontId="50" fillId="6" borderId="9" xfId="0" applyNumberFormat="1" applyFont="1" applyFill="1" applyBorder="1" applyAlignment="1">
      <alignment horizontal="right" vertical="center"/>
    </xf>
    <xf numFmtId="0" fontId="50" fillId="6" borderId="9" xfId="0" applyFont="1" applyFill="1" applyBorder="1">
      <alignment vertical="center"/>
    </xf>
    <xf numFmtId="0" fontId="80" fillId="6" borderId="23" xfId="0" applyFont="1" applyFill="1" applyBorder="1" applyAlignment="1">
      <alignment horizontal="left" vertical="center"/>
    </xf>
    <xf numFmtId="0" fontId="55" fillId="6" borderId="25" xfId="0" applyFont="1" applyFill="1" applyBorder="1" applyAlignment="1">
      <alignment horizontal="left" vertical="center"/>
    </xf>
    <xf numFmtId="185" fontId="55" fillId="6" borderId="32" xfId="0" applyNumberFormat="1" applyFont="1" applyFill="1" applyBorder="1" applyAlignment="1">
      <alignment horizontal="right" vertical="center"/>
    </xf>
    <xf numFmtId="0" fontId="50" fillId="6" borderId="49" xfId="0" applyFont="1" applyFill="1" applyBorder="1">
      <alignment vertical="center"/>
    </xf>
    <xf numFmtId="0" fontId="277" fillId="7" borderId="0" xfId="0" applyFont="1" applyFill="1" applyProtection="1">
      <alignment vertical="center"/>
      <protection locked="0"/>
    </xf>
    <xf numFmtId="185" fontId="55" fillId="6" borderId="46" xfId="0" applyNumberFormat="1" applyFont="1" applyFill="1" applyBorder="1" applyAlignment="1">
      <alignment horizontal="right" vertical="center"/>
    </xf>
    <xf numFmtId="185" fontId="55" fillId="6" borderId="58" xfId="0" applyNumberFormat="1" applyFont="1" applyFill="1" applyBorder="1" applyAlignment="1" applyProtection="1">
      <alignment horizontal="right" vertical="center"/>
      <protection locked="0"/>
    </xf>
    <xf numFmtId="0" fontId="57" fillId="7" borderId="24" xfId="0" applyFont="1" applyFill="1" applyBorder="1" applyAlignment="1" applyProtection="1">
      <alignment horizontal="right" vertical="center"/>
      <protection locked="0"/>
    </xf>
    <xf numFmtId="0" fontId="55" fillId="6" borderId="8" xfId="0" applyFont="1" applyFill="1" applyBorder="1" applyAlignment="1">
      <alignment horizontal="right" vertical="center"/>
    </xf>
    <xf numFmtId="0" fontId="55" fillId="6" borderId="24" xfId="0" applyFont="1" applyFill="1" applyBorder="1" applyAlignment="1">
      <alignment horizontal="right" vertical="center"/>
    </xf>
    <xf numFmtId="181" fontId="55" fillId="0" borderId="24" xfId="0" applyNumberFormat="1" applyFont="1" applyBorder="1" applyAlignment="1" applyProtection="1">
      <alignment horizontal="right" vertical="center"/>
      <protection locked="0"/>
    </xf>
    <xf numFmtId="181" fontId="55" fillId="5" borderId="61" xfId="0" applyNumberFormat="1" applyFont="1" applyFill="1" applyBorder="1" applyAlignment="1" applyProtection="1">
      <alignment horizontal="left" vertical="center"/>
      <protection locked="0"/>
    </xf>
    <xf numFmtId="10" fontId="50" fillId="6" borderId="24" xfId="0" applyNumberFormat="1" applyFont="1" applyFill="1" applyBorder="1" applyAlignment="1">
      <alignment horizontal="right" vertical="center"/>
    </xf>
    <xf numFmtId="181" fontId="50" fillId="6" borderId="24" xfId="0" applyNumberFormat="1" applyFont="1" applyFill="1" applyBorder="1" applyAlignment="1">
      <alignment horizontal="right" vertical="center"/>
    </xf>
    <xf numFmtId="0" fontId="50" fillId="6" borderId="24" xfId="0" applyFont="1" applyFill="1" applyBorder="1" applyAlignment="1">
      <alignment horizontal="right" vertical="center"/>
    </xf>
    <xf numFmtId="181" fontId="55" fillId="6" borderId="24" xfId="0" applyNumberFormat="1" applyFont="1" applyFill="1" applyBorder="1" applyAlignment="1">
      <alignment horizontal="right" vertical="center"/>
    </xf>
    <xf numFmtId="179" fontId="55" fillId="6" borderId="24" xfId="0" applyNumberFormat="1" applyFont="1" applyFill="1" applyBorder="1" applyAlignment="1">
      <alignment horizontal="right" vertical="center"/>
    </xf>
    <xf numFmtId="179" fontId="55" fillId="6" borderId="49" xfId="0" applyNumberFormat="1" applyFont="1" applyFill="1" applyBorder="1" applyAlignment="1">
      <alignment horizontal="right" vertical="center"/>
    </xf>
    <xf numFmtId="49" fontId="187" fillId="22" borderId="37" xfId="1" applyNumberFormat="1" applyFont="1" applyFill="1" applyBorder="1" applyAlignment="1">
      <alignment horizontal="left" vertical="center"/>
    </xf>
    <xf numFmtId="49" fontId="53" fillId="22" borderId="54" xfId="1" applyNumberFormat="1" applyFont="1" applyFill="1" applyBorder="1" applyAlignment="1">
      <alignment horizontal="left" vertical="center"/>
    </xf>
    <xf numFmtId="49" fontId="53" fillId="22" borderId="48" xfId="1" applyNumberFormat="1" applyFont="1" applyFill="1" applyBorder="1" applyAlignment="1">
      <alignment horizontal="left" vertical="center"/>
    </xf>
    <xf numFmtId="49" fontId="187" fillId="6" borderId="26" xfId="1" applyNumberFormat="1" applyFont="1" applyFill="1" applyBorder="1" applyAlignment="1">
      <alignment horizontal="left" vertical="center"/>
    </xf>
    <xf numFmtId="49" fontId="187" fillId="6" borderId="84" xfId="1" applyNumberFormat="1" applyFont="1" applyFill="1" applyBorder="1" applyAlignment="1">
      <alignment horizontal="left" vertical="center"/>
    </xf>
    <xf numFmtId="0" fontId="187" fillId="6" borderId="84" xfId="1" applyFont="1" applyFill="1" applyBorder="1" applyAlignment="1">
      <alignment horizontal="left" vertical="center"/>
    </xf>
    <xf numFmtId="177" fontId="53" fillId="6" borderId="84" xfId="1" applyNumberFormat="1" applyFont="1" applyFill="1" applyBorder="1" applyAlignment="1">
      <alignment horizontal="left" vertical="center"/>
    </xf>
    <xf numFmtId="0" fontId="53" fillId="6" borderId="84" xfId="1" applyFont="1" applyFill="1" applyBorder="1" applyAlignment="1">
      <alignment horizontal="left" vertical="center"/>
    </xf>
    <xf numFmtId="0" fontId="187" fillId="6" borderId="67" xfId="1" applyFont="1" applyFill="1" applyBorder="1" applyAlignment="1">
      <alignment horizontal="left" vertical="center"/>
    </xf>
    <xf numFmtId="49" fontId="53" fillId="22" borderId="1" xfId="1" applyNumberFormat="1" applyFont="1" applyFill="1" applyBorder="1" applyAlignment="1">
      <alignment horizontal="left" vertical="center"/>
    </xf>
    <xf numFmtId="49" fontId="187" fillId="22" borderId="1" xfId="1" applyNumberFormat="1" applyFont="1" applyFill="1" applyBorder="1" applyAlignment="1">
      <alignment horizontal="left" vertical="center"/>
    </xf>
    <xf numFmtId="185" fontId="53" fillId="22" borderId="1" xfId="1" applyNumberFormat="1" applyFont="1" applyFill="1" applyBorder="1" applyAlignment="1">
      <alignment horizontal="right" vertical="center"/>
    </xf>
    <xf numFmtId="49" fontId="60" fillId="2" borderId="72" xfId="0" applyNumberFormat="1" applyFont="1" applyFill="1" applyBorder="1" applyAlignment="1" applyProtection="1">
      <alignment horizontal="right"/>
      <protection locked="0"/>
    </xf>
    <xf numFmtId="0" fontId="56" fillId="6" borderId="2" xfId="0" applyFont="1" applyFill="1" applyBorder="1" applyProtection="1">
      <alignment vertical="center"/>
      <protection locked="0"/>
    </xf>
    <xf numFmtId="0" fontId="134" fillId="5" borderId="0" xfId="0" applyFont="1" applyFill="1" applyAlignment="1" applyProtection="1">
      <alignment horizontal="center" vertical="center"/>
      <protection locked="0"/>
    </xf>
    <xf numFmtId="185" fontId="49" fillId="6" borderId="32" xfId="0" applyNumberFormat="1" applyFont="1" applyFill="1" applyBorder="1" applyAlignment="1">
      <alignment horizontal="right" vertical="center"/>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47" fillId="6" borderId="5" xfId="0" applyFont="1" applyFill="1" applyBorder="1" applyAlignment="1">
      <alignment horizontal="left" vertical="center" wrapText="1"/>
    </xf>
    <xf numFmtId="0" fontId="55" fillId="6" borderId="1" xfId="0" applyFont="1" applyFill="1" applyBorder="1" applyAlignment="1">
      <alignment horizontal="right" vertical="center"/>
    </xf>
    <xf numFmtId="0" fontId="57" fillId="5" borderId="58" xfId="1" applyFont="1" applyFill="1" applyBorder="1" applyProtection="1">
      <alignment vertical="center"/>
      <protection locked="0"/>
    </xf>
    <xf numFmtId="0" fontId="47" fillId="6" borderId="28" xfId="0" applyFont="1" applyFill="1" applyBorder="1" applyAlignment="1">
      <alignment horizontal="left" vertical="center" wrapText="1"/>
    </xf>
    <xf numFmtId="0" fontId="47" fillId="0" borderId="46"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6" borderId="29" xfId="0" applyFont="1" applyFill="1" applyBorder="1" applyAlignment="1">
      <alignment horizontal="left" vertical="center" wrapText="1"/>
    </xf>
    <xf numFmtId="0" fontId="54" fillId="6" borderId="0" xfId="0" applyFont="1" applyFill="1" applyAlignment="1">
      <alignment horizontal="left" vertical="center"/>
    </xf>
    <xf numFmtId="0" fontId="47" fillId="6" borderId="46"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58" xfId="0" applyFont="1" applyFill="1" applyBorder="1" applyAlignment="1">
      <alignment horizontal="left" vertical="center" wrapText="1"/>
    </xf>
    <xf numFmtId="0" fontId="47" fillId="0" borderId="5" xfId="0" applyFont="1" applyBorder="1" applyAlignment="1" applyProtection="1">
      <alignment horizontal="left" vertical="center" wrapText="1"/>
      <protection locked="0"/>
    </xf>
    <xf numFmtId="181" fontId="53" fillId="18" borderId="68" xfId="0" applyNumberFormat="1" applyFont="1" applyFill="1" applyBorder="1" applyAlignment="1" applyProtection="1">
      <alignment horizontal="right" vertical="center" wrapText="1"/>
      <protection locked="0"/>
    </xf>
    <xf numFmtId="0" fontId="47" fillId="6" borderId="48" xfId="0" applyFont="1" applyFill="1" applyBorder="1" applyAlignment="1">
      <alignment horizontal="right" vertical="center" wrapText="1"/>
    </xf>
    <xf numFmtId="0" fontId="61" fillId="0" borderId="48" xfId="0" applyFont="1" applyBorder="1" applyAlignment="1" applyProtection="1">
      <alignment horizontal="right" vertical="center" wrapText="1"/>
      <protection locked="0"/>
    </xf>
    <xf numFmtId="0" fontId="61" fillId="6" borderId="48" xfId="0" applyFont="1" applyFill="1" applyBorder="1" applyAlignment="1">
      <alignment horizontal="right" vertical="center" wrapText="1"/>
    </xf>
    <xf numFmtId="0" fontId="61" fillId="0" borderId="72" xfId="0" applyFont="1" applyBorder="1" applyAlignment="1" applyProtection="1">
      <alignment horizontal="right" vertical="center" wrapText="1"/>
      <protection locked="0"/>
    </xf>
    <xf numFmtId="0" fontId="61" fillId="6" borderId="50" xfId="0" applyFont="1" applyFill="1" applyBorder="1" applyAlignment="1">
      <alignment horizontal="right" vertical="center" wrapText="1"/>
    </xf>
    <xf numFmtId="0" fontId="61" fillId="6" borderId="80" xfId="0" applyFont="1" applyFill="1" applyBorder="1" applyAlignment="1">
      <alignment horizontal="right" vertical="center" wrapText="1"/>
    </xf>
    <xf numFmtId="188" fontId="54" fillId="6" borderId="48" xfId="0" applyNumberFormat="1" applyFont="1" applyFill="1" applyBorder="1" applyAlignment="1">
      <alignment horizontal="right" vertical="center"/>
    </xf>
    <xf numFmtId="188" fontId="47" fillId="6" borderId="21" xfId="0" applyNumberFormat="1" applyFont="1" applyFill="1" applyBorder="1" applyAlignment="1">
      <alignment horizontal="left" vertical="center" wrapText="1"/>
    </xf>
    <xf numFmtId="188" fontId="47" fillId="6" borderId="48" xfId="0" applyNumberFormat="1" applyFont="1" applyFill="1" applyBorder="1" applyAlignment="1">
      <alignment horizontal="left" vertical="center" wrapText="1"/>
    </xf>
    <xf numFmtId="183" fontId="47" fillId="6" borderId="26" xfId="0" applyNumberFormat="1" applyFont="1" applyFill="1" applyBorder="1" applyAlignment="1">
      <alignment horizontal="left" vertical="center" wrapText="1"/>
    </xf>
    <xf numFmtId="49" fontId="47" fillId="2" borderId="26" xfId="0" applyNumberFormat="1" applyFont="1" applyFill="1" applyBorder="1" applyAlignment="1" applyProtection="1">
      <alignment horizontal="left" vertical="center" wrapText="1"/>
      <protection locked="0"/>
    </xf>
    <xf numFmtId="0" fontId="47" fillId="0" borderId="51" xfId="0" applyFont="1" applyBorder="1" applyAlignment="1" applyProtection="1">
      <alignment horizontal="left" vertical="center" wrapText="1"/>
      <protection locked="0"/>
    </xf>
    <xf numFmtId="176" fontId="47" fillId="0" borderId="23" xfId="0" applyNumberFormat="1" applyFont="1" applyBorder="1" applyAlignment="1" applyProtection="1">
      <alignment horizontal="left" vertical="center" wrapText="1"/>
      <protection locked="0"/>
    </xf>
    <xf numFmtId="0" fontId="47" fillId="0" borderId="23" xfId="0" applyFont="1" applyBorder="1" applyAlignment="1" applyProtection="1">
      <alignment horizontal="left" vertical="center" wrapText="1"/>
      <protection locked="0"/>
    </xf>
    <xf numFmtId="0" fontId="47" fillId="0" borderId="41" xfId="0" applyFont="1" applyBorder="1" applyAlignment="1" applyProtection="1">
      <alignment horizontal="left" vertical="center" wrapText="1"/>
      <protection locked="0"/>
    </xf>
    <xf numFmtId="0" fontId="54" fillId="0" borderId="37" xfId="0" applyFont="1" applyBorder="1" applyAlignment="1" applyProtection="1">
      <alignment horizontal="left" vertical="center" wrapText="1"/>
      <protection locked="0"/>
    </xf>
    <xf numFmtId="0" fontId="54" fillId="0" borderId="38" xfId="0" applyFont="1" applyBorder="1" applyAlignment="1" applyProtection="1">
      <alignment horizontal="left" vertical="center" wrapText="1"/>
      <protection locked="0"/>
    </xf>
    <xf numFmtId="49" fontId="54" fillId="6" borderId="40" xfId="0" applyNumberFormat="1" applyFont="1" applyFill="1" applyBorder="1" applyAlignment="1">
      <alignment horizontal="left" vertical="center" wrapText="1"/>
    </xf>
    <xf numFmtId="0" fontId="54" fillId="2" borderId="41" xfId="0" applyFont="1" applyFill="1" applyBorder="1" applyAlignment="1" applyProtection="1">
      <alignment horizontal="left" vertical="center" wrapText="1"/>
      <protection locked="0"/>
    </xf>
    <xf numFmtId="0" fontId="54" fillId="6" borderId="11" xfId="0" applyFont="1" applyFill="1" applyBorder="1" applyAlignment="1">
      <alignment horizontal="left" vertical="center" wrapText="1"/>
    </xf>
    <xf numFmtId="0" fontId="54" fillId="2" borderId="14" xfId="0" applyFont="1" applyFill="1" applyBorder="1" applyAlignment="1" applyProtection="1">
      <alignment horizontal="left" vertical="center" wrapText="1"/>
      <protection locked="0"/>
    </xf>
    <xf numFmtId="0" fontId="54" fillId="2" borderId="23" xfId="0" applyFont="1" applyFill="1" applyBorder="1" applyAlignment="1" applyProtection="1">
      <alignment horizontal="left" vertical="center" wrapText="1"/>
      <protection locked="0"/>
    </xf>
    <xf numFmtId="0" fontId="54" fillId="2" borderId="6" xfId="0" applyFont="1" applyFill="1" applyBorder="1" applyAlignment="1" applyProtection="1">
      <alignment horizontal="left" vertical="center" wrapText="1"/>
      <protection locked="0"/>
    </xf>
    <xf numFmtId="0" fontId="47" fillId="0" borderId="37" xfId="0" applyFont="1" applyBorder="1" applyAlignment="1" applyProtection="1">
      <alignment horizontal="left" vertical="center" wrapText="1"/>
      <protection locked="0"/>
    </xf>
    <xf numFmtId="49" fontId="54" fillId="2" borderId="23" xfId="0" applyNumberFormat="1" applyFont="1" applyFill="1" applyBorder="1" applyAlignment="1" applyProtection="1">
      <alignment horizontal="left" vertical="center" wrapText="1"/>
      <protection locked="0"/>
    </xf>
    <xf numFmtId="9" fontId="47" fillId="0" borderId="37" xfId="0" applyNumberFormat="1" applyFont="1" applyBorder="1" applyAlignment="1" applyProtection="1">
      <alignment horizontal="left" vertical="center" wrapText="1"/>
      <protection locked="0"/>
    </xf>
    <xf numFmtId="49" fontId="65" fillId="2" borderId="27" xfId="0" applyNumberFormat="1" applyFont="1" applyFill="1" applyBorder="1" applyAlignment="1" applyProtection="1">
      <alignment horizontal="left" vertical="center"/>
      <protection locked="0"/>
    </xf>
    <xf numFmtId="181" fontId="55" fillId="6" borderId="61" xfId="0" applyNumberFormat="1" applyFont="1" applyFill="1" applyBorder="1" applyAlignment="1">
      <alignment horizontal="right" vertical="center"/>
    </xf>
    <xf numFmtId="181" fontId="55" fillId="6" borderId="79" xfId="0" applyNumberFormat="1" applyFont="1" applyFill="1" applyBorder="1" applyAlignment="1">
      <alignment horizontal="right" vertical="center"/>
    </xf>
    <xf numFmtId="185" fontId="56" fillId="6" borderId="1" xfId="0" applyNumberFormat="1" applyFont="1" applyFill="1" applyBorder="1" applyAlignment="1">
      <alignment horizontal="right"/>
    </xf>
    <xf numFmtId="181" fontId="56" fillId="6" borderId="1" xfId="0" applyNumberFormat="1" applyFont="1" applyFill="1" applyBorder="1" applyAlignment="1">
      <alignment horizontal="right"/>
    </xf>
    <xf numFmtId="181" fontId="50" fillId="6" borderId="1" xfId="0" applyNumberFormat="1" applyFont="1" applyFill="1" applyBorder="1" applyAlignment="1">
      <alignment horizontal="right"/>
    </xf>
    <xf numFmtId="0" fontId="65" fillId="6" borderId="85" xfId="0" applyFont="1" applyFill="1" applyBorder="1" applyAlignment="1">
      <alignment horizontal="left" vertical="center"/>
    </xf>
    <xf numFmtId="49" fontId="54" fillId="6" borderId="11" xfId="0" applyNumberFormat="1" applyFont="1" applyFill="1" applyBorder="1" applyAlignment="1">
      <alignment horizontal="left" vertical="center" wrapText="1"/>
    </xf>
    <xf numFmtId="0" fontId="54" fillId="2" borderId="37" xfId="0" applyFont="1" applyFill="1" applyBorder="1" applyAlignment="1" applyProtection="1">
      <alignment horizontal="left" vertical="center" wrapText="1"/>
      <protection locked="0"/>
    </xf>
    <xf numFmtId="0" fontId="47" fillId="2" borderId="41" xfId="0" applyFont="1" applyFill="1" applyBorder="1" applyAlignment="1" applyProtection="1">
      <alignment horizontal="left" vertical="center" wrapText="1"/>
      <protection locked="0"/>
    </xf>
    <xf numFmtId="17" fontId="52" fillId="0" borderId="37" xfId="0" applyNumberFormat="1" applyFont="1" applyBorder="1" applyAlignment="1" applyProtection="1">
      <alignment horizontal="left" vertical="center" wrapText="1"/>
      <protection locked="0"/>
    </xf>
    <xf numFmtId="0" fontId="54" fillId="6" borderId="5" xfId="0" applyFont="1" applyFill="1" applyBorder="1" applyAlignment="1">
      <alignment horizontal="left" vertical="center" wrapText="1"/>
    </xf>
    <xf numFmtId="183" fontId="47" fillId="0" borderId="70" xfId="0" applyNumberFormat="1" applyFont="1" applyBorder="1" applyAlignment="1" applyProtection="1">
      <alignment horizontal="left" vertical="center" wrapText="1"/>
      <protection locked="0"/>
    </xf>
    <xf numFmtId="49" fontId="47" fillId="2" borderId="30" xfId="0" applyNumberFormat="1" applyFont="1" applyFill="1" applyBorder="1" applyAlignment="1" applyProtection="1">
      <alignment horizontal="left" vertical="center" wrapText="1"/>
      <protection locked="0"/>
    </xf>
    <xf numFmtId="176" fontId="47" fillId="0" borderId="3" xfId="0" applyNumberFormat="1"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49" fontId="54" fillId="0" borderId="39" xfId="0" applyNumberFormat="1" applyFont="1" applyBorder="1" applyAlignment="1" applyProtection="1">
      <alignment horizontal="left" vertical="center" wrapText="1"/>
      <protection locked="0"/>
    </xf>
    <xf numFmtId="49" fontId="54" fillId="0" borderId="35" xfId="0" applyNumberFormat="1" applyFont="1" applyBorder="1" applyAlignment="1" applyProtection="1">
      <alignment horizontal="left" vertical="center" wrapText="1"/>
      <protection locked="0"/>
    </xf>
    <xf numFmtId="49" fontId="54" fillId="2" borderId="35" xfId="0" applyNumberFormat="1" applyFont="1" applyFill="1" applyBorder="1" applyAlignment="1" applyProtection="1">
      <alignment horizontal="left" vertical="center" wrapText="1"/>
      <protection locked="0"/>
    </xf>
    <xf numFmtId="49" fontId="54" fillId="0" borderId="22" xfId="0" applyNumberFormat="1" applyFont="1" applyBorder="1" applyAlignment="1" applyProtection="1">
      <alignment horizontal="left" vertical="center" wrapText="1"/>
      <protection locked="0"/>
    </xf>
    <xf numFmtId="49" fontId="54" fillId="2" borderId="7" xfId="0" applyNumberFormat="1" applyFont="1" applyFill="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49" fontId="54" fillId="0" borderId="40" xfId="0" applyNumberFormat="1" applyFont="1" applyBorder="1" applyAlignment="1" applyProtection="1">
      <alignment horizontal="left" vertical="center" wrapText="1"/>
      <protection locked="0"/>
    </xf>
    <xf numFmtId="49" fontId="54" fillId="0" borderId="14" xfId="0" applyNumberFormat="1" applyFont="1" applyBorder="1" applyAlignment="1" applyProtection="1">
      <alignment horizontal="left" vertical="center" wrapText="1"/>
      <protection locked="0"/>
    </xf>
    <xf numFmtId="49" fontId="54" fillId="2" borderId="14" xfId="0" applyNumberFormat="1" applyFont="1" applyFill="1" applyBorder="1" applyAlignment="1" applyProtection="1">
      <alignment horizontal="left" vertical="center" wrapText="1"/>
      <protection locked="0"/>
    </xf>
    <xf numFmtId="49" fontId="54" fillId="0" borderId="11" xfId="0" applyNumberFormat="1" applyFont="1" applyBorder="1" applyAlignment="1" applyProtection="1">
      <alignment horizontal="left" vertical="center" wrapText="1"/>
      <protection locked="0"/>
    </xf>
    <xf numFmtId="49" fontId="54" fillId="2" borderId="41" xfId="0" applyNumberFormat="1" applyFont="1" applyFill="1" applyBorder="1" applyAlignment="1" applyProtection="1">
      <alignment horizontal="left" vertical="center" wrapText="1"/>
      <protection locked="0"/>
    </xf>
    <xf numFmtId="176" fontId="54" fillId="6" borderId="48" xfId="0" applyNumberFormat="1" applyFont="1" applyFill="1" applyBorder="1" applyAlignment="1">
      <alignment horizontal="right" vertical="center" wrapText="1"/>
    </xf>
    <xf numFmtId="0" fontId="47" fillId="6" borderId="3" xfId="0" applyFont="1" applyFill="1" applyBorder="1" applyAlignment="1">
      <alignment horizontal="right" vertical="center" wrapText="1"/>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0" borderId="11" xfId="0" applyFont="1" applyBorder="1" applyAlignment="1" applyProtection="1">
      <alignment horizontal="right" vertical="center" wrapText="1"/>
      <protection locked="0"/>
    </xf>
    <xf numFmtId="0" fontId="61" fillId="6" borderId="41" xfId="0" applyFont="1" applyFill="1" applyBorder="1" applyAlignment="1">
      <alignment horizontal="right" vertical="center" wrapText="1"/>
    </xf>
    <xf numFmtId="0" fontId="61" fillId="6" borderId="14" xfId="0" applyFont="1" applyFill="1" applyBorder="1" applyAlignment="1">
      <alignment horizontal="right" vertical="center" wrapText="1"/>
    </xf>
    <xf numFmtId="188" fontId="54" fillId="6" borderId="3" xfId="0" applyNumberFormat="1" applyFont="1" applyFill="1" applyBorder="1" applyAlignment="1">
      <alignment horizontal="right" vertical="center"/>
    </xf>
    <xf numFmtId="188" fontId="47" fillId="6" borderId="3" xfId="0" applyNumberFormat="1" applyFont="1" applyFill="1" applyBorder="1" applyAlignment="1">
      <alignment horizontal="left" vertical="center" wrapText="1"/>
    </xf>
    <xf numFmtId="0" fontId="52" fillId="6" borderId="1" xfId="0" applyFont="1" applyFill="1" applyBorder="1" applyAlignment="1">
      <alignment horizontal="left" vertical="center" wrapText="1"/>
    </xf>
    <xf numFmtId="49" fontId="47" fillId="2" borderId="70" xfId="0" applyNumberFormat="1" applyFont="1" applyFill="1" applyBorder="1" applyAlignment="1" applyProtection="1">
      <alignment horizontal="left" vertical="center" wrapText="1"/>
      <protection locked="0"/>
    </xf>
    <xf numFmtId="49" fontId="47" fillId="0" borderId="41" xfId="0" applyNumberFormat="1" applyFont="1" applyBorder="1" applyAlignment="1" applyProtection="1">
      <alignment horizontal="left" vertical="center" wrapText="1"/>
      <protection locked="0"/>
    </xf>
    <xf numFmtId="0" fontId="54" fillId="2" borderId="30" xfId="0" applyFont="1" applyFill="1" applyBorder="1" applyAlignment="1" applyProtection="1">
      <alignment horizontal="left" vertical="center" wrapText="1"/>
      <protection locked="0"/>
    </xf>
    <xf numFmtId="0" fontId="54" fillId="2" borderId="3" xfId="0" applyFont="1" applyFill="1" applyBorder="1" applyAlignment="1" applyProtection="1">
      <alignment horizontal="left" vertical="center" wrapText="1"/>
      <protection locked="0"/>
    </xf>
    <xf numFmtId="49" fontId="54" fillId="2" borderId="3" xfId="0" applyNumberFormat="1" applyFont="1" applyFill="1" applyBorder="1" applyAlignment="1" applyProtection="1">
      <alignment horizontal="left" vertical="center" wrapText="1"/>
      <protection locked="0"/>
    </xf>
    <xf numFmtId="49" fontId="47" fillId="2" borderId="6" xfId="0" applyNumberFormat="1"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47" fillId="0" borderId="7" xfId="0" applyNumberFormat="1" applyFont="1" applyBorder="1" applyAlignment="1" applyProtection="1">
      <alignment horizontal="left" vertical="center" wrapText="1"/>
      <protection locked="0"/>
    </xf>
    <xf numFmtId="0" fontId="54" fillId="0" borderId="54" xfId="0" applyFont="1" applyBorder="1" applyAlignment="1" applyProtection="1">
      <alignment horizontal="left" vertical="center" wrapText="1"/>
      <protection locked="0"/>
    </xf>
    <xf numFmtId="0" fontId="54" fillId="0" borderId="52" xfId="0" applyFont="1" applyBorder="1" applyAlignment="1" applyProtection="1">
      <alignment horizontal="left" vertical="center" wrapText="1"/>
      <protection locked="0"/>
    </xf>
    <xf numFmtId="9" fontId="47" fillId="0" borderId="23" xfId="0" applyNumberFormat="1" applyFont="1" applyBorder="1" applyAlignment="1" applyProtection="1">
      <alignment horizontal="left" vertical="center" wrapText="1"/>
      <protection locked="0"/>
    </xf>
    <xf numFmtId="9" fontId="47" fillId="0" borderId="3" xfId="0" applyNumberFormat="1" applyFont="1" applyBorder="1" applyAlignment="1" applyProtection="1">
      <alignment horizontal="left" vertical="center" wrapText="1"/>
      <protection locked="0"/>
    </xf>
    <xf numFmtId="176" fontId="101" fillId="6" borderId="5" xfId="0" applyNumberFormat="1" applyFont="1" applyFill="1" applyBorder="1" applyAlignment="1">
      <alignment horizontal="right" vertical="center"/>
    </xf>
    <xf numFmtId="176" fontId="101" fillId="6" borderId="24" xfId="0" applyNumberFormat="1" applyFont="1" applyFill="1" applyBorder="1" applyAlignment="1">
      <alignment horizontal="left" vertical="center"/>
    </xf>
    <xf numFmtId="176" fontId="101" fillId="6" borderId="5" xfId="0" applyNumberFormat="1" applyFont="1" applyFill="1" applyBorder="1" applyAlignment="1">
      <alignment horizontal="left" vertical="center"/>
    </xf>
    <xf numFmtId="176" fontId="60" fillId="6" borderId="13" xfId="0" applyNumberFormat="1" applyFont="1" applyFill="1" applyBorder="1" applyAlignment="1">
      <alignment horizontal="right" vertical="center"/>
    </xf>
    <xf numFmtId="176" fontId="60" fillId="6" borderId="46" xfId="0" applyNumberFormat="1" applyFont="1" applyFill="1" applyBorder="1" applyAlignment="1">
      <alignment horizontal="right" vertical="center"/>
    </xf>
    <xf numFmtId="176" fontId="47" fillId="0" borderId="37" xfId="0" applyNumberFormat="1" applyFont="1" applyBorder="1" applyAlignment="1" applyProtection="1">
      <alignment horizontal="left" vertical="center" wrapText="1"/>
      <protection locked="0"/>
    </xf>
    <xf numFmtId="176" fontId="54" fillId="0" borderId="3" xfId="0" applyNumberFormat="1" applyFont="1" applyBorder="1" applyAlignment="1" applyProtection="1">
      <alignment horizontal="left" vertical="center" wrapText="1"/>
      <protection locked="0"/>
    </xf>
    <xf numFmtId="176" fontId="53" fillId="6" borderId="38" xfId="0" applyNumberFormat="1" applyFont="1" applyFill="1" applyBorder="1" applyAlignment="1">
      <alignment horizontal="right" vertical="center" wrapText="1"/>
    </xf>
    <xf numFmtId="176" fontId="53" fillId="6" borderId="52" xfId="0" applyNumberFormat="1" applyFont="1" applyFill="1" applyBorder="1" applyAlignment="1">
      <alignment horizontal="right" vertical="center" wrapText="1"/>
    </xf>
    <xf numFmtId="185" fontId="47" fillId="6" borderId="67" xfId="0" applyNumberFormat="1" applyFont="1" applyFill="1" applyBorder="1" applyAlignment="1">
      <alignment horizontal="right" vertical="center" wrapText="1"/>
    </xf>
    <xf numFmtId="185" fontId="47" fillId="6" borderId="10" xfId="0" applyNumberFormat="1" applyFont="1" applyFill="1" applyBorder="1" applyAlignment="1">
      <alignment horizontal="right" vertical="center" wrapText="1"/>
    </xf>
    <xf numFmtId="185" fontId="47" fillId="6" borderId="24" xfId="0" applyNumberFormat="1" applyFont="1" applyFill="1" applyBorder="1" applyAlignment="1">
      <alignment horizontal="right" vertical="center" wrapText="1"/>
    </xf>
    <xf numFmtId="185" fontId="47" fillId="6" borderId="71" xfId="0" applyNumberFormat="1" applyFont="1" applyFill="1" applyBorder="1" applyAlignment="1">
      <alignment horizontal="right" vertical="center" wrapText="1"/>
    </xf>
    <xf numFmtId="185" fontId="54" fillId="6" borderId="24" xfId="0" applyNumberFormat="1" applyFont="1" applyFill="1" applyBorder="1" applyAlignment="1">
      <alignment horizontal="right" vertical="center" wrapText="1"/>
    </xf>
    <xf numFmtId="185" fontId="54" fillId="6" borderId="49" xfId="0" applyNumberFormat="1" applyFont="1" applyFill="1" applyBorder="1" applyAlignment="1">
      <alignment horizontal="right" vertical="center" wrapText="1"/>
    </xf>
    <xf numFmtId="185" fontId="54" fillId="6" borderId="62" xfId="0" applyNumberFormat="1" applyFont="1" applyFill="1" applyBorder="1" applyAlignment="1">
      <alignment horizontal="right" vertical="center" wrapText="1"/>
    </xf>
    <xf numFmtId="185" fontId="54" fillId="6" borderId="8" xfId="0" applyNumberFormat="1" applyFont="1" applyFill="1" applyBorder="1" applyAlignment="1">
      <alignment horizontal="right" vertical="center" wrapText="1"/>
    </xf>
    <xf numFmtId="185" fontId="54" fillId="6" borderId="53" xfId="0" applyNumberFormat="1" applyFont="1" applyFill="1" applyBorder="1" applyAlignment="1">
      <alignment horizontal="right" vertical="center" wrapText="1"/>
    </xf>
    <xf numFmtId="185" fontId="54" fillId="6" borderId="61" xfId="0" applyNumberFormat="1" applyFont="1" applyFill="1" applyBorder="1" applyAlignment="1">
      <alignment horizontal="right" vertical="center" wrapText="1"/>
    </xf>
    <xf numFmtId="185" fontId="47" fillId="6" borderId="8" xfId="0" applyNumberFormat="1" applyFont="1" applyFill="1" applyBorder="1" applyAlignment="1">
      <alignment horizontal="right" vertical="center" wrapText="1"/>
    </xf>
    <xf numFmtId="185" fontId="54" fillId="6" borderId="10" xfId="0" applyNumberFormat="1" applyFont="1" applyFill="1" applyBorder="1" applyAlignment="1">
      <alignment horizontal="right" vertical="center" wrapText="1"/>
    </xf>
    <xf numFmtId="185" fontId="47" fillId="6" borderId="67" xfId="0" applyNumberFormat="1" applyFont="1" applyFill="1" applyBorder="1" applyAlignment="1">
      <alignment horizontal="center" vertical="center" wrapText="1"/>
    </xf>
    <xf numFmtId="185" fontId="47" fillId="6" borderId="10" xfId="0" applyNumberFormat="1" applyFont="1" applyFill="1" applyBorder="1" applyAlignment="1">
      <alignment horizontal="center" vertical="center" wrapText="1"/>
    </xf>
    <xf numFmtId="185" fontId="47" fillId="6" borderId="24" xfId="0" applyNumberFormat="1" applyFont="1" applyFill="1" applyBorder="1" applyAlignment="1">
      <alignment horizontal="center" vertical="center" wrapText="1"/>
    </xf>
    <xf numFmtId="185" fontId="47" fillId="6" borderId="71" xfId="0" applyNumberFormat="1" applyFont="1" applyFill="1" applyBorder="1" applyAlignment="1">
      <alignment horizontal="center" vertical="center" wrapText="1"/>
    </xf>
    <xf numFmtId="185" fontId="54" fillId="6" borderId="24" xfId="0" applyNumberFormat="1" applyFont="1" applyFill="1" applyBorder="1" applyAlignment="1">
      <alignment horizontal="center" vertical="center" wrapText="1"/>
    </xf>
    <xf numFmtId="185" fontId="54" fillId="6" borderId="49" xfId="0" applyNumberFormat="1" applyFont="1" applyFill="1" applyBorder="1" applyAlignment="1">
      <alignment horizontal="center" vertical="center" wrapText="1"/>
    </xf>
    <xf numFmtId="185" fontId="54" fillId="6" borderId="62" xfId="0" applyNumberFormat="1" applyFont="1" applyFill="1" applyBorder="1" applyAlignment="1">
      <alignment horizontal="center" vertical="center" wrapText="1"/>
    </xf>
    <xf numFmtId="185" fontId="54" fillId="6" borderId="8" xfId="0" applyNumberFormat="1" applyFont="1" applyFill="1" applyBorder="1" applyAlignment="1">
      <alignment horizontal="center" vertical="center" wrapText="1"/>
    </xf>
    <xf numFmtId="185" fontId="54" fillId="6" borderId="53" xfId="0" applyNumberFormat="1" applyFont="1" applyFill="1" applyBorder="1" applyAlignment="1">
      <alignment horizontal="center" vertical="center" wrapText="1"/>
    </xf>
    <xf numFmtId="185" fontId="54" fillId="6" borderId="61" xfId="0" applyNumberFormat="1" applyFont="1" applyFill="1" applyBorder="1" applyAlignment="1">
      <alignment horizontal="center" vertical="center" wrapText="1"/>
    </xf>
    <xf numFmtId="185" fontId="47" fillId="6" borderId="8" xfId="0" applyNumberFormat="1" applyFont="1" applyFill="1" applyBorder="1" applyAlignment="1">
      <alignment horizontal="center" vertical="center" wrapText="1"/>
    </xf>
    <xf numFmtId="185" fontId="54" fillId="6" borderId="10" xfId="0" applyNumberFormat="1" applyFont="1" applyFill="1" applyBorder="1" applyAlignment="1">
      <alignment horizontal="center" vertical="center" wrapText="1"/>
    </xf>
    <xf numFmtId="185" fontId="47" fillId="6" borderId="76" xfId="0" applyNumberFormat="1" applyFont="1" applyFill="1" applyBorder="1" applyAlignment="1">
      <alignment horizontal="center" vertical="center" wrapText="1"/>
    </xf>
    <xf numFmtId="185" fontId="47" fillId="6" borderId="53" xfId="0" applyNumberFormat="1" applyFont="1" applyFill="1" applyBorder="1" applyAlignment="1">
      <alignment horizontal="center" vertical="center" wrapText="1"/>
    </xf>
    <xf numFmtId="176" fontId="65" fillId="0" borderId="32" xfId="0" applyNumberFormat="1" applyFont="1" applyBorder="1" applyProtection="1">
      <alignment vertical="center"/>
      <protection locked="0"/>
    </xf>
    <xf numFmtId="176" fontId="105" fillId="6" borderId="1" xfId="0" applyNumberFormat="1" applyFont="1" applyFill="1" applyBorder="1" applyAlignment="1">
      <alignment horizontal="center" vertical="center"/>
    </xf>
    <xf numFmtId="176" fontId="50" fillId="6" borderId="1" xfId="0" applyNumberFormat="1" applyFont="1" applyFill="1" applyBorder="1" applyAlignment="1">
      <alignment horizontal="center" vertical="center"/>
    </xf>
    <xf numFmtId="49" fontId="63" fillId="0" borderId="1" xfId="0" applyNumberFormat="1" applyFont="1" applyBorder="1" applyAlignment="1" applyProtection="1">
      <alignment horizontal="center" vertical="center"/>
      <protection locked="0"/>
    </xf>
    <xf numFmtId="49" fontId="50" fillId="0" borderId="1" xfId="0" applyNumberFormat="1" applyFont="1" applyBorder="1" applyProtection="1">
      <alignment vertical="center"/>
      <protection locked="0"/>
    </xf>
    <xf numFmtId="176" fontId="55" fillId="10" borderId="96" xfId="0" applyNumberFormat="1" applyFont="1" applyFill="1" applyBorder="1" applyAlignment="1" applyProtection="1">
      <alignment vertical="center" wrapText="1"/>
      <protection locked="0"/>
    </xf>
    <xf numFmtId="176" fontId="50" fillId="10" borderId="42" xfId="0" applyNumberFormat="1" applyFont="1" applyFill="1" applyBorder="1" applyAlignment="1">
      <alignment horizontal="center" vertical="center" wrapText="1"/>
    </xf>
    <xf numFmtId="176" fontId="56" fillId="10" borderId="68" xfId="0" applyNumberFormat="1" applyFont="1" applyFill="1" applyBorder="1" applyAlignment="1" applyProtection="1">
      <alignment horizontal="center" vertical="center" wrapText="1"/>
      <protection locked="0"/>
    </xf>
    <xf numFmtId="176" fontId="56" fillId="7" borderId="0" xfId="0" applyNumberFormat="1" applyFont="1" applyFill="1" applyAlignment="1" applyProtection="1">
      <alignment horizontal="center" vertical="center"/>
      <protection locked="0"/>
    </xf>
    <xf numFmtId="176" fontId="56" fillId="0" borderId="0" xfId="0" applyNumberFormat="1" applyFont="1" applyAlignment="1" applyProtection="1">
      <alignment horizontal="center" vertical="center"/>
      <protection locked="0"/>
    </xf>
    <xf numFmtId="185" fontId="101" fillId="6" borderId="1" xfId="0" applyNumberFormat="1" applyFont="1" applyFill="1" applyBorder="1" applyAlignment="1">
      <alignment horizontal="right" vertical="center"/>
    </xf>
    <xf numFmtId="176" fontId="101" fillId="6" borderId="1" xfId="0" applyNumberFormat="1" applyFont="1" applyFill="1" applyBorder="1" applyAlignment="1">
      <alignment horizontal="left" vertical="center"/>
    </xf>
    <xf numFmtId="185" fontId="171" fillId="6" borderId="32" xfId="0" applyNumberFormat="1" applyFont="1" applyFill="1" applyBorder="1" applyAlignment="1">
      <alignment horizontal="center" vertical="center"/>
    </xf>
    <xf numFmtId="176" fontId="56" fillId="0" borderId="32" xfId="0" applyNumberFormat="1" applyFont="1" applyBorder="1" applyAlignment="1" applyProtection="1">
      <alignment horizontal="left" vertical="center" wrapText="1"/>
      <protection locked="0"/>
    </xf>
    <xf numFmtId="176" fontId="56" fillId="6" borderId="24" xfId="0" applyNumberFormat="1" applyFont="1" applyFill="1" applyBorder="1" applyAlignment="1">
      <alignment horizontal="left" vertical="center" wrapText="1"/>
    </xf>
    <xf numFmtId="187" fontId="56" fillId="7" borderId="0" xfId="0" applyNumberFormat="1" applyFont="1" applyFill="1" applyAlignment="1">
      <alignment horizontal="left" vertical="center" wrapText="1"/>
    </xf>
    <xf numFmtId="192" fontId="56" fillId="6" borderId="32" xfId="0" applyNumberFormat="1" applyFont="1" applyFill="1" applyBorder="1" applyAlignment="1">
      <alignment horizontal="left" vertical="center" wrapText="1"/>
    </xf>
    <xf numFmtId="192" fontId="56" fillId="7" borderId="0" xfId="0" applyNumberFormat="1" applyFont="1" applyFill="1" applyAlignment="1" applyProtection="1">
      <alignment horizontal="left" vertical="center" wrapText="1"/>
      <protection locked="0"/>
    </xf>
    <xf numFmtId="176" fontId="145" fillId="12" borderId="126" xfId="9" applyNumberFormat="1" applyFont="1" applyFill="1" applyBorder="1" applyAlignment="1">
      <alignment horizontal="left" vertical="center" wrapText="1"/>
    </xf>
    <xf numFmtId="185" fontId="145" fillId="11" borderId="125" xfId="9" applyNumberFormat="1" applyFont="1" applyFill="1" applyBorder="1" applyAlignment="1">
      <alignment horizontal="left" vertical="center" wrapText="1"/>
    </xf>
    <xf numFmtId="185" fontId="145" fillId="12" borderId="126" xfId="9" applyNumberFormat="1" applyFont="1" applyFill="1" applyBorder="1" applyAlignment="1">
      <alignment horizontal="left" vertical="center" wrapText="1"/>
    </xf>
    <xf numFmtId="185" fontId="252" fillId="21" borderId="125" xfId="9" applyNumberFormat="1" applyFont="1" applyFill="1" applyBorder="1" applyAlignment="1">
      <alignment horizontal="left" vertical="center" wrapText="1"/>
    </xf>
    <xf numFmtId="185" fontId="252" fillId="21" borderId="126" xfId="9" applyNumberFormat="1" applyFont="1" applyFill="1" applyBorder="1" applyAlignment="1">
      <alignment horizontal="left" vertical="center" wrapText="1"/>
    </xf>
    <xf numFmtId="185" fontId="145" fillId="18" borderId="164" xfId="9" applyNumberFormat="1" applyFont="1" applyFill="1" applyBorder="1" applyAlignment="1">
      <alignment horizontal="left" vertical="center" wrapText="1"/>
    </xf>
    <xf numFmtId="185" fontId="145" fillId="18" borderId="165" xfId="9" applyNumberFormat="1" applyFont="1" applyFill="1" applyBorder="1" applyAlignment="1">
      <alignment horizontal="left" vertical="center" wrapText="1"/>
    </xf>
    <xf numFmtId="176" fontId="242" fillId="15" borderId="0" xfId="9" applyNumberFormat="1" applyFont="1" applyFill="1" applyAlignment="1">
      <alignment horizontal="left" vertical="center"/>
    </xf>
    <xf numFmtId="176" fontId="145" fillId="12" borderId="126" xfId="16" applyNumberFormat="1" applyFont="1" applyFill="1" applyBorder="1" applyAlignment="1">
      <alignment horizontal="left" vertical="center" wrapText="1"/>
    </xf>
    <xf numFmtId="176" fontId="145" fillId="12" borderId="130" xfId="16" applyNumberFormat="1" applyFont="1" applyFill="1" applyBorder="1" applyAlignment="1">
      <alignment horizontal="left" vertical="center" wrapText="1"/>
    </xf>
    <xf numFmtId="176" fontId="252" fillId="21" borderId="126" xfId="16" applyNumberFormat="1" applyFont="1" applyFill="1" applyBorder="1" applyAlignment="1">
      <alignment horizontal="left" vertical="center" wrapText="1"/>
    </xf>
    <xf numFmtId="176" fontId="252" fillId="21" borderId="135" xfId="16" applyNumberFormat="1" applyFont="1" applyFill="1" applyBorder="1" applyAlignment="1">
      <alignment horizontal="left" vertical="center" wrapText="1"/>
    </xf>
    <xf numFmtId="176" fontId="252" fillId="21" borderId="130" xfId="16" applyNumberFormat="1" applyFont="1" applyFill="1" applyBorder="1" applyAlignment="1">
      <alignment horizontal="left" vertical="center" wrapText="1"/>
    </xf>
    <xf numFmtId="176" fontId="145" fillId="12" borderId="135" xfId="16" applyNumberFormat="1" applyFont="1" applyFill="1" applyBorder="1" applyAlignment="1">
      <alignment horizontal="left" vertical="center" wrapText="1"/>
    </xf>
    <xf numFmtId="176" fontId="145" fillId="18" borderId="165" xfId="16" applyNumberFormat="1" applyFont="1" applyFill="1" applyBorder="1" applyAlignment="1">
      <alignment horizontal="left" vertical="center" wrapText="1"/>
    </xf>
    <xf numFmtId="176" fontId="145" fillId="18" borderId="166" xfId="16" applyNumberFormat="1" applyFont="1" applyFill="1" applyBorder="1" applyAlignment="1">
      <alignment horizontal="left" vertical="center" wrapText="1"/>
    </xf>
    <xf numFmtId="176" fontId="145" fillId="18" borderId="167" xfId="16" applyNumberFormat="1" applyFont="1" applyFill="1" applyBorder="1" applyAlignment="1">
      <alignment horizontal="left" vertical="center" wrapText="1"/>
    </xf>
    <xf numFmtId="192" fontId="170" fillId="15" borderId="0" xfId="9" applyNumberFormat="1" applyFont="1" applyFill="1" applyAlignment="1">
      <alignment horizontal="left" vertical="center"/>
    </xf>
    <xf numFmtId="192" fontId="170" fillId="15" borderId="160" xfId="9" applyNumberFormat="1" applyFont="1" applyFill="1" applyBorder="1" applyAlignment="1">
      <alignment horizontal="left" vertical="center"/>
    </xf>
    <xf numFmtId="192" fontId="102" fillId="0" borderId="0" xfId="9" applyNumberFormat="1" applyFont="1" applyAlignment="1">
      <alignment horizontal="left" vertical="center"/>
    </xf>
    <xf numFmtId="192" fontId="105" fillId="21" borderId="0" xfId="9" applyNumberFormat="1" applyFont="1" applyFill="1" applyAlignment="1">
      <alignment horizontal="left" vertical="center"/>
    </xf>
    <xf numFmtId="192" fontId="102" fillId="18" borderId="168" xfId="9" applyNumberFormat="1" applyFont="1" applyFill="1" applyBorder="1" applyAlignment="1">
      <alignment horizontal="left" vertical="center"/>
    </xf>
    <xf numFmtId="176" fontId="146" fillId="13" borderId="0" xfId="9" applyNumberFormat="1" applyFont="1" applyFill="1" applyAlignment="1">
      <alignment horizontal="right" vertical="center"/>
    </xf>
    <xf numFmtId="176" fontId="146"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6" fillId="18" borderId="168" xfId="9" applyNumberFormat="1" applyFont="1" applyFill="1" applyBorder="1" applyAlignment="1">
      <alignment horizontal="right" vertical="center"/>
    </xf>
    <xf numFmtId="176" fontId="145" fillId="11" borderId="123" xfId="9" applyNumberFormat="1" applyFont="1" applyFill="1" applyBorder="1" applyAlignment="1">
      <alignment horizontal="left" vertical="center" wrapText="1"/>
    </xf>
    <xf numFmtId="176" fontId="145" fillId="11" borderId="126" xfId="9" applyNumberFormat="1" applyFont="1" applyFill="1" applyBorder="1" applyAlignment="1">
      <alignment horizontal="left" vertical="center" wrapText="1"/>
    </xf>
    <xf numFmtId="176" fontId="145" fillId="11" borderId="132" xfId="9" applyNumberFormat="1" applyFont="1" applyFill="1" applyBorder="1" applyAlignment="1">
      <alignment horizontal="left" vertical="center" wrapText="1"/>
    </xf>
    <xf numFmtId="176" fontId="145" fillId="12" borderId="123" xfId="9" applyNumberFormat="1" applyFont="1" applyFill="1" applyBorder="1" applyAlignment="1">
      <alignment horizontal="left" vertical="center" wrapText="1"/>
    </xf>
    <xf numFmtId="176" fontId="102" fillId="12" borderId="123" xfId="9" applyNumberFormat="1" applyFont="1" applyFill="1" applyBorder="1" applyAlignment="1">
      <alignment horizontal="left" vertical="center" wrapText="1"/>
    </xf>
    <xf numFmtId="176" fontId="102" fillId="5" borderId="126" xfId="9" applyNumberFormat="1" applyFont="1" applyFill="1" applyBorder="1" applyAlignment="1">
      <alignment horizontal="left" vertical="center" wrapText="1"/>
    </xf>
    <xf numFmtId="176" fontId="102" fillId="11" borderId="132" xfId="9" applyNumberFormat="1" applyFont="1" applyFill="1" applyBorder="1" applyAlignment="1">
      <alignment horizontal="left" vertical="center" wrapText="1"/>
    </xf>
    <xf numFmtId="176" fontId="145" fillId="12" borderId="137" xfId="9" applyNumberFormat="1" applyFont="1" applyFill="1" applyBorder="1" applyAlignment="1">
      <alignment horizontal="left" vertical="center" wrapText="1"/>
    </xf>
    <xf numFmtId="176" fontId="145" fillId="11" borderId="140" xfId="9" applyNumberFormat="1" applyFont="1" applyFill="1" applyBorder="1" applyAlignment="1">
      <alignment horizontal="left" vertical="center" wrapText="1"/>
    </xf>
    <xf numFmtId="185" fontId="145" fillId="13" borderId="126" xfId="9" applyNumberFormat="1" applyFont="1" applyFill="1" applyBorder="1" applyAlignment="1">
      <alignment horizontal="left" vertical="center" wrapText="1"/>
    </xf>
    <xf numFmtId="185" fontId="145" fillId="11" borderId="123" xfId="9" applyNumberFormat="1" applyFont="1" applyFill="1" applyBorder="1" applyAlignment="1">
      <alignment horizontal="left" vertical="center" wrapText="1"/>
    </xf>
    <xf numFmtId="185" fontId="145" fillId="11" borderId="126" xfId="9" applyNumberFormat="1" applyFont="1" applyFill="1" applyBorder="1" applyAlignment="1">
      <alignment horizontal="left" vertical="center" wrapText="1"/>
    </xf>
    <xf numFmtId="185" fontId="145" fillId="11" borderId="132" xfId="9" applyNumberFormat="1" applyFont="1" applyFill="1" applyBorder="1" applyAlignment="1">
      <alignment horizontal="left" vertical="center" wrapText="1"/>
    </xf>
    <xf numFmtId="185" fontId="145" fillId="12" borderId="123" xfId="9" applyNumberFormat="1" applyFont="1" applyFill="1" applyBorder="1" applyAlignment="1">
      <alignment horizontal="left" vertical="center" wrapText="1"/>
    </xf>
    <xf numFmtId="185" fontId="102" fillId="12" borderId="123" xfId="9" applyNumberFormat="1" applyFont="1" applyFill="1" applyBorder="1" applyAlignment="1">
      <alignment horizontal="left" vertical="center" wrapText="1"/>
    </xf>
    <xf numFmtId="185" fontId="102" fillId="5" borderId="126" xfId="9" applyNumberFormat="1" applyFont="1" applyFill="1" applyBorder="1" applyAlignment="1">
      <alignment horizontal="left" vertical="center" wrapText="1"/>
    </xf>
    <xf numFmtId="185" fontId="102" fillId="11" borderId="132" xfId="9" applyNumberFormat="1" applyFont="1" applyFill="1" applyBorder="1" applyAlignment="1">
      <alignment horizontal="left" vertical="center" wrapText="1"/>
    </xf>
    <xf numFmtId="185" fontId="145" fillId="12" borderId="137" xfId="9" applyNumberFormat="1" applyFont="1" applyFill="1" applyBorder="1" applyAlignment="1">
      <alignment horizontal="left" vertical="center" wrapText="1"/>
    </xf>
    <xf numFmtId="185" fontId="145" fillId="11" borderId="140" xfId="9" applyNumberFormat="1" applyFont="1" applyFill="1" applyBorder="1" applyAlignment="1">
      <alignment horizontal="left" vertical="center" wrapText="1"/>
    </xf>
    <xf numFmtId="185" fontId="145" fillId="12" borderId="132" xfId="9" applyNumberFormat="1" applyFont="1" applyFill="1" applyBorder="1" applyAlignment="1">
      <alignment horizontal="left" vertical="center" wrapText="1"/>
    </xf>
    <xf numFmtId="185" fontId="145" fillId="5" borderId="126" xfId="9" applyNumberFormat="1" applyFont="1" applyFill="1" applyBorder="1" applyAlignment="1">
      <alignment horizontal="left" vertical="center" wrapText="1"/>
    </xf>
    <xf numFmtId="176" fontId="146" fillId="15" borderId="0" xfId="9" applyNumberFormat="1" applyFont="1" applyFill="1" applyAlignment="1" applyProtection="1">
      <alignment horizontal="left" vertical="center"/>
      <protection locked="0"/>
    </xf>
    <xf numFmtId="176" fontId="146" fillId="13" borderId="0" xfId="9" applyNumberFormat="1" applyFont="1" applyFill="1" applyAlignment="1" applyProtection="1">
      <alignment horizontal="left" vertical="center"/>
      <protection locked="0"/>
    </xf>
    <xf numFmtId="176" fontId="145" fillId="12" borderId="130" xfId="9" applyNumberFormat="1" applyFont="1" applyFill="1" applyBorder="1" applyAlignment="1">
      <alignment horizontal="left" vertical="center" wrapText="1"/>
    </xf>
    <xf numFmtId="176" fontId="145" fillId="11" borderId="124" xfId="9" applyNumberFormat="1" applyFont="1" applyFill="1" applyBorder="1" applyAlignment="1">
      <alignment horizontal="left" vertical="center" wrapText="1"/>
    </xf>
    <xf numFmtId="176" fontId="145" fillId="11" borderId="130" xfId="9" applyNumberFormat="1" applyFont="1" applyFill="1" applyBorder="1" applyAlignment="1">
      <alignment horizontal="left" vertical="center" wrapText="1"/>
    </xf>
    <xf numFmtId="176" fontId="145" fillId="11" borderId="133" xfId="9" applyNumberFormat="1" applyFont="1" applyFill="1" applyBorder="1" applyAlignment="1">
      <alignment horizontal="left" vertical="center" wrapText="1"/>
    </xf>
    <xf numFmtId="176" fontId="145" fillId="12" borderId="124" xfId="9" applyNumberFormat="1" applyFont="1" applyFill="1" applyBorder="1" applyAlignment="1">
      <alignment horizontal="left" vertical="center" wrapText="1"/>
    </xf>
    <xf numFmtId="176" fontId="102" fillId="12" borderId="124" xfId="9" applyNumberFormat="1" applyFont="1" applyFill="1" applyBorder="1" applyAlignment="1">
      <alignment horizontal="left" vertical="center" wrapText="1"/>
    </xf>
    <xf numFmtId="176" fontId="102" fillId="5" borderId="130" xfId="9" applyNumberFormat="1" applyFont="1" applyFill="1" applyBorder="1" applyAlignment="1">
      <alignment horizontal="left" vertical="center" wrapText="1"/>
    </xf>
    <xf numFmtId="176" fontId="102" fillId="11" borderId="133" xfId="9" applyNumberFormat="1" applyFont="1" applyFill="1" applyBorder="1" applyAlignment="1">
      <alignment horizontal="left" vertical="center" wrapText="1"/>
    </xf>
    <xf numFmtId="176" fontId="145" fillId="12" borderId="138" xfId="9" applyNumberFormat="1" applyFont="1" applyFill="1" applyBorder="1" applyAlignment="1">
      <alignment horizontal="left" vertical="center" wrapText="1"/>
    </xf>
    <xf numFmtId="176" fontId="145" fillId="11" borderId="141" xfId="9" applyNumberFormat="1" applyFont="1" applyFill="1" applyBorder="1" applyAlignment="1">
      <alignment horizontal="left" vertical="center" wrapText="1"/>
    </xf>
    <xf numFmtId="192" fontId="102" fillId="15" borderId="0" xfId="9" applyNumberFormat="1" applyFont="1" applyFill="1" applyAlignment="1">
      <alignment horizontal="left" vertical="center"/>
    </xf>
    <xf numFmtId="192" fontId="102" fillId="13" borderId="0" xfId="9" applyNumberFormat="1" applyFont="1" applyFill="1" applyAlignment="1">
      <alignment horizontal="left" vertical="center"/>
    </xf>
    <xf numFmtId="192" fontId="102" fillId="5" borderId="0" xfId="9" applyNumberFormat="1" applyFont="1" applyFill="1" applyAlignment="1">
      <alignment horizontal="left" vertical="center"/>
    </xf>
    <xf numFmtId="185" fontId="254" fillId="6" borderId="9" xfId="0" applyNumberFormat="1" applyFont="1" applyFill="1" applyBorder="1" applyAlignment="1">
      <alignment horizontal="left" vertical="center" wrapText="1"/>
    </xf>
    <xf numFmtId="185" fontId="254" fillId="6" borderId="1" xfId="0" applyNumberFormat="1" applyFont="1" applyFill="1" applyBorder="1" applyAlignment="1">
      <alignment horizontal="left" vertical="center" wrapText="1"/>
    </xf>
    <xf numFmtId="185" fontId="254" fillId="6" borderId="32" xfId="0" applyNumberFormat="1" applyFont="1" applyFill="1" applyBorder="1" applyAlignment="1">
      <alignment horizontal="left" vertical="center" wrapText="1"/>
    </xf>
    <xf numFmtId="185" fontId="254" fillId="6" borderId="13" xfId="0" applyNumberFormat="1" applyFont="1" applyFill="1" applyBorder="1" applyAlignment="1">
      <alignment horizontal="left" vertical="center" wrapText="1"/>
    </xf>
    <xf numFmtId="185" fontId="254" fillId="6" borderId="10" xfId="0" applyNumberFormat="1" applyFont="1" applyFill="1" applyBorder="1" applyAlignment="1">
      <alignment horizontal="left" vertical="center" wrapText="1"/>
    </xf>
    <xf numFmtId="185" fontId="254" fillId="6" borderId="24" xfId="0" applyNumberFormat="1" applyFont="1" applyFill="1" applyBorder="1" applyAlignment="1">
      <alignment horizontal="left" vertical="center" wrapText="1"/>
    </xf>
    <xf numFmtId="185" fontId="254" fillId="6" borderId="49" xfId="0" applyNumberFormat="1" applyFont="1" applyFill="1" applyBorder="1" applyAlignment="1">
      <alignment horizontal="left" vertical="center" wrapText="1"/>
    </xf>
    <xf numFmtId="185" fontId="254" fillId="6" borderId="61" xfId="0" applyNumberFormat="1" applyFont="1" applyFill="1" applyBorder="1" applyAlignment="1">
      <alignment horizontal="left" vertical="center" wrapText="1"/>
    </xf>
    <xf numFmtId="176" fontId="141" fillId="6" borderId="78" xfId="2" applyNumberFormat="1" applyFont="1" applyFill="1" applyBorder="1" applyAlignment="1">
      <alignment horizontal="center"/>
    </xf>
    <xf numFmtId="176" fontId="125" fillId="6" borderId="9" xfId="2" applyNumberFormat="1" applyFont="1" applyFill="1" applyBorder="1" applyAlignment="1">
      <alignment horizontal="center" vertical="center" wrapText="1"/>
    </xf>
    <xf numFmtId="176" fontId="125" fillId="6" borderId="1" xfId="2" applyNumberFormat="1" applyFont="1" applyFill="1" applyBorder="1" applyAlignment="1">
      <alignment horizontal="center" vertical="center" wrapText="1"/>
    </xf>
    <xf numFmtId="176" fontId="125" fillId="6" borderId="32" xfId="2" applyNumberFormat="1" applyFont="1" applyFill="1" applyBorder="1" applyAlignment="1">
      <alignment horizontal="center" vertical="center" wrapText="1"/>
    </xf>
    <xf numFmtId="176" fontId="22" fillId="6" borderId="10" xfId="2" applyNumberFormat="1" applyFont="1" applyFill="1" applyBorder="1" applyAlignment="1">
      <alignment horizontal="center"/>
    </xf>
    <xf numFmtId="176" fontId="125" fillId="6" borderId="6" xfId="2" applyNumberFormat="1" applyFont="1" applyFill="1" applyBorder="1" applyAlignment="1">
      <alignment horizontal="center" vertical="center" wrapText="1"/>
    </xf>
    <xf numFmtId="176" fontId="22" fillId="6" borderId="9" xfId="2" applyNumberFormat="1" applyFont="1" applyFill="1" applyBorder="1" applyAlignment="1">
      <alignment horizontal="center"/>
    </xf>
    <xf numFmtId="176" fontId="22" fillId="6" borderId="24" xfId="2" applyNumberFormat="1" applyFont="1" applyFill="1" applyBorder="1" applyAlignment="1">
      <alignment horizontal="center"/>
    </xf>
    <xf numFmtId="176" fontId="125" fillId="6" borderId="23" xfId="2" applyNumberFormat="1" applyFont="1" applyFill="1" applyBorder="1" applyAlignment="1">
      <alignment horizontal="center" vertical="center" wrapText="1"/>
    </xf>
    <xf numFmtId="176" fontId="22" fillId="6" borderId="1" xfId="2" applyNumberFormat="1" applyFont="1" applyFill="1" applyBorder="1" applyAlignment="1">
      <alignment horizontal="center"/>
    </xf>
    <xf numFmtId="176" fontId="22" fillId="6" borderId="49" xfId="2" applyNumberFormat="1" applyFont="1" applyFill="1" applyBorder="1" applyAlignment="1">
      <alignment horizontal="center"/>
    </xf>
    <xf numFmtId="176" fontId="125" fillId="6" borderId="25" xfId="2" applyNumberFormat="1" applyFont="1" applyFill="1" applyBorder="1" applyAlignment="1">
      <alignment horizontal="center" vertical="center" wrapText="1"/>
    </xf>
    <xf numFmtId="176" fontId="22" fillId="6" borderId="32" xfId="2" applyNumberFormat="1" applyFont="1" applyFill="1" applyBorder="1" applyAlignment="1">
      <alignment horizontal="center"/>
    </xf>
    <xf numFmtId="176" fontId="159" fillId="6" borderId="1" xfId="2" applyNumberFormat="1" applyFont="1" applyFill="1" applyBorder="1" applyAlignment="1">
      <alignment horizontal="center" vertical="center" wrapText="1"/>
    </xf>
    <xf numFmtId="176" fontId="22" fillId="6" borderId="1" xfId="2" applyNumberFormat="1" applyFont="1" applyFill="1" applyBorder="1" applyAlignment="1">
      <alignment horizontal="center" wrapText="1"/>
    </xf>
    <xf numFmtId="176" fontId="132" fillId="6" borderId="1" xfId="2" applyNumberFormat="1" applyFont="1" applyFill="1" applyBorder="1" applyAlignment="1">
      <alignment horizontal="center" wrapText="1"/>
    </xf>
    <xf numFmtId="176" fontId="125" fillId="6" borderId="1" xfId="2" applyNumberFormat="1" applyFont="1" applyFill="1" applyBorder="1" applyAlignment="1">
      <alignment horizontal="center" wrapText="1"/>
    </xf>
    <xf numFmtId="176" fontId="240" fillId="6" borderId="1" xfId="2" applyNumberFormat="1" applyFont="1" applyFill="1" applyBorder="1" applyAlignment="1">
      <alignment horizontal="center"/>
    </xf>
    <xf numFmtId="0" fontId="61" fillId="6" borderId="0" xfId="0" applyFont="1" applyFill="1">
      <alignment vertical="center"/>
    </xf>
    <xf numFmtId="185" fontId="56" fillId="0" borderId="1" xfId="1" applyNumberFormat="1" applyFont="1" applyBorder="1" applyAlignment="1" applyProtection="1">
      <alignment horizontal="right" vertical="center"/>
      <protection locked="0"/>
    </xf>
    <xf numFmtId="182" fontId="57" fillId="18" borderId="5" xfId="1" applyNumberFormat="1" applyFont="1" applyFill="1" applyBorder="1" applyAlignment="1">
      <alignment horizontal="center" vertical="center"/>
    </xf>
    <xf numFmtId="182" fontId="57" fillId="6" borderId="5" xfId="1" applyNumberFormat="1" applyFont="1" applyFill="1" applyBorder="1" applyAlignment="1">
      <alignment horizontal="center" vertical="center"/>
    </xf>
    <xf numFmtId="0" fontId="135" fillId="6" borderId="1" xfId="0" applyFont="1" applyFill="1" applyBorder="1" applyAlignment="1">
      <alignment horizontal="right" vertical="center" wrapText="1"/>
    </xf>
    <xf numFmtId="185" fontId="102" fillId="6" borderId="1" xfId="0" applyNumberFormat="1" applyFont="1" applyFill="1" applyBorder="1" applyAlignment="1" applyProtection="1">
      <alignment horizontal="right" vertical="center"/>
      <protection locked="0"/>
    </xf>
    <xf numFmtId="185" fontId="50" fillId="6" borderId="13" xfId="0" applyNumberFormat="1" applyFont="1" applyFill="1" applyBorder="1" applyAlignment="1">
      <alignment horizontal="right" vertical="center"/>
    </xf>
    <xf numFmtId="185" fontId="50" fillId="6" borderId="2" xfId="0" applyNumberFormat="1" applyFont="1" applyFill="1" applyBorder="1" applyAlignment="1">
      <alignment horizontal="right" vertical="center"/>
    </xf>
    <xf numFmtId="185" fontId="50" fillId="6" borderId="78" xfId="0" applyNumberFormat="1" applyFont="1" applyFill="1" applyBorder="1" applyAlignment="1">
      <alignment horizontal="right" vertical="center"/>
    </xf>
    <xf numFmtId="176" fontId="55" fillId="6" borderId="24" xfId="0" applyNumberFormat="1" applyFont="1" applyFill="1" applyBorder="1" applyAlignment="1">
      <alignment horizontal="right" vertical="center"/>
    </xf>
    <xf numFmtId="0" fontId="49" fillId="6" borderId="40" xfId="0" applyFont="1" applyFill="1" applyBorder="1" applyAlignment="1">
      <alignment horizontal="left" vertical="center" wrapText="1"/>
    </xf>
    <xf numFmtId="0" fontId="54" fillId="6" borderId="1" xfId="0" applyFont="1" applyFill="1" applyBorder="1" applyAlignment="1">
      <alignment horizontal="left" vertical="center"/>
    </xf>
    <xf numFmtId="0" fontId="141" fillId="6" borderId="24" xfId="0" applyFont="1" applyFill="1" applyBorder="1">
      <alignment vertical="center"/>
    </xf>
    <xf numFmtId="0" fontId="50" fillId="7" borderId="1" xfId="0" applyFont="1" applyFill="1" applyBorder="1">
      <alignment vertical="center"/>
    </xf>
    <xf numFmtId="0" fontId="80" fillId="7" borderId="1" xfId="0" applyFont="1" applyFill="1" applyBorder="1">
      <alignment vertical="center"/>
    </xf>
    <xf numFmtId="0" fontId="50"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10" fillId="6" borderId="1" xfId="0" applyNumberFormat="1" applyFont="1" applyFill="1" applyBorder="1" applyAlignment="1">
      <alignment horizontal="left" vertical="center" wrapText="1"/>
    </xf>
    <xf numFmtId="185" fontId="110" fillId="6" borderId="9" xfId="0" applyNumberFormat="1" applyFont="1" applyFill="1" applyBorder="1" applyAlignment="1">
      <alignment horizontal="left" vertical="center" wrapText="1"/>
    </xf>
    <xf numFmtId="185" fontId="110" fillId="6" borderId="10" xfId="0" applyNumberFormat="1" applyFont="1" applyFill="1" applyBorder="1" applyAlignment="1">
      <alignment horizontal="left" vertical="center" wrapText="1"/>
    </xf>
    <xf numFmtId="185" fontId="110" fillId="6" borderId="1" xfId="0" applyNumberFormat="1" applyFont="1" applyFill="1" applyBorder="1" applyAlignment="1">
      <alignment horizontal="left" vertical="center" wrapText="1"/>
    </xf>
    <xf numFmtId="185" fontId="110" fillId="6" borderId="24" xfId="0" applyNumberFormat="1" applyFont="1" applyFill="1" applyBorder="1" applyAlignment="1">
      <alignment horizontal="left" vertical="center" wrapText="1"/>
    </xf>
    <xf numFmtId="185" fontId="110" fillId="6" borderId="13" xfId="0" applyNumberFormat="1" applyFont="1" applyFill="1" applyBorder="1" applyAlignment="1">
      <alignment horizontal="left" vertical="center" wrapText="1"/>
    </xf>
    <xf numFmtId="185" fontId="110"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10" fillId="6" borderId="10" xfId="0" applyNumberFormat="1" applyFont="1" applyFill="1" applyBorder="1" applyAlignment="1">
      <alignment horizontal="left" vertical="center"/>
    </xf>
    <xf numFmtId="192" fontId="110" fillId="6" borderId="24" xfId="0" applyNumberFormat="1" applyFont="1" applyFill="1" applyBorder="1" applyAlignment="1">
      <alignment horizontal="left" vertical="center"/>
    </xf>
    <xf numFmtId="192" fontId="110" fillId="6" borderId="49" xfId="0" applyNumberFormat="1" applyFont="1" applyFill="1" applyBorder="1" applyAlignment="1">
      <alignment horizontal="left" vertical="center"/>
    </xf>
    <xf numFmtId="192" fontId="110" fillId="6" borderId="76" xfId="0" applyNumberFormat="1" applyFont="1" applyFill="1" applyBorder="1" applyAlignment="1">
      <alignment horizontal="left" vertical="center"/>
    </xf>
    <xf numFmtId="192" fontId="110" fillId="6" borderId="67" xfId="0" applyNumberFormat="1" applyFont="1" applyFill="1" applyBorder="1" applyAlignment="1">
      <alignment horizontal="left" vertical="center"/>
    </xf>
    <xf numFmtId="176" fontId="110" fillId="6" borderId="3" xfId="0" applyNumberFormat="1" applyFont="1" applyFill="1" applyBorder="1" applyAlignment="1">
      <alignment horizontal="left" vertical="center" wrapText="1"/>
    </xf>
    <xf numFmtId="176" fontId="110" fillId="6" borderId="1" xfId="0" applyNumberFormat="1" applyFont="1" applyFill="1" applyBorder="1" applyAlignment="1">
      <alignment horizontal="left" vertical="center"/>
    </xf>
    <xf numFmtId="185" fontId="110" fillId="6" borderId="1" xfId="0" applyNumberFormat="1" applyFont="1" applyFill="1" applyBorder="1" applyAlignment="1">
      <alignment horizontal="left" vertical="center"/>
    </xf>
    <xf numFmtId="176" fontId="56" fillId="6" borderId="1" xfId="0" applyNumberFormat="1" applyFont="1" applyFill="1" applyBorder="1" applyAlignment="1">
      <alignment horizontal="right" vertical="center" wrapText="1"/>
    </xf>
    <xf numFmtId="176" fontId="56" fillId="6" borderId="1" xfId="0" applyNumberFormat="1" applyFont="1" applyFill="1" applyBorder="1" applyAlignment="1">
      <alignment horizontal="right"/>
    </xf>
    <xf numFmtId="185" fontId="75" fillId="6" borderId="1" xfId="0" applyNumberFormat="1" applyFont="1" applyFill="1" applyBorder="1" applyAlignment="1" applyProtection="1">
      <alignment horizontal="right" vertical="center"/>
      <protection locked="0"/>
    </xf>
    <xf numFmtId="9" fontId="75" fillId="5" borderId="1" xfId="0" applyNumberFormat="1" applyFont="1" applyFill="1" applyBorder="1" applyAlignment="1" applyProtection="1">
      <alignment horizontal="right" vertical="center"/>
      <protection locked="0"/>
    </xf>
    <xf numFmtId="185" fontId="56" fillId="6" borderId="24" xfId="1" applyNumberFormat="1" applyFont="1" applyFill="1" applyBorder="1" applyAlignment="1">
      <alignment horizontal="right"/>
    </xf>
    <xf numFmtId="176" fontId="56" fillId="0" borderId="1" xfId="1" applyNumberFormat="1" applyFont="1" applyBorder="1" applyAlignment="1" applyProtection="1">
      <alignment horizontal="right"/>
      <protection locked="0"/>
    </xf>
    <xf numFmtId="176" fontId="56" fillId="6" borderId="1" xfId="1" applyNumberFormat="1" applyFont="1" applyFill="1" applyBorder="1" applyAlignment="1">
      <alignment horizontal="right"/>
    </xf>
    <xf numFmtId="176" fontId="56" fillId="6" borderId="32" xfId="0" applyNumberFormat="1" applyFont="1" applyFill="1" applyBorder="1" applyAlignment="1">
      <alignment horizontal="right"/>
    </xf>
    <xf numFmtId="185" fontId="57" fillId="6" borderId="49" xfId="0" applyNumberFormat="1" applyFont="1" applyFill="1" applyBorder="1" applyAlignment="1">
      <alignment horizontal="right"/>
    </xf>
    <xf numFmtId="0" fontId="75" fillId="6" borderId="1" xfId="0" applyFont="1" applyFill="1" applyBorder="1" applyAlignment="1">
      <alignment horizontal="right" vertical="center"/>
    </xf>
    <xf numFmtId="176" fontId="102" fillId="0" borderId="1" xfId="0" applyNumberFormat="1" applyFont="1" applyBorder="1" applyAlignment="1" applyProtection="1">
      <alignment horizontal="right" vertical="center"/>
      <protection locked="0"/>
    </xf>
    <xf numFmtId="0" fontId="75" fillId="6" borderId="32" xfId="0" applyFont="1" applyFill="1" applyBorder="1" applyAlignment="1">
      <alignment horizontal="right" vertical="center"/>
    </xf>
    <xf numFmtId="0" fontId="102" fillId="6" borderId="11" xfId="0" applyFont="1" applyFill="1" applyBorder="1" applyAlignment="1">
      <alignment horizontal="left" vertical="center"/>
    </xf>
    <xf numFmtId="0" fontId="102" fillId="6" borderId="14" xfId="0" applyFont="1" applyFill="1" applyBorder="1" applyAlignment="1">
      <alignment horizontal="left" vertical="center"/>
    </xf>
    <xf numFmtId="0" fontId="102" fillId="6" borderId="41" xfId="0" applyFont="1" applyFill="1" applyBorder="1" applyAlignment="1">
      <alignment horizontal="left" vertical="center"/>
    </xf>
    <xf numFmtId="0" fontId="102" fillId="6" borderId="23" xfId="0" applyFont="1" applyFill="1" applyBorder="1" applyAlignment="1">
      <alignment horizontal="left" vertical="center"/>
    </xf>
    <xf numFmtId="0" fontId="75" fillId="5" borderId="23" xfId="0" applyFont="1" applyFill="1" applyBorder="1" applyAlignment="1" applyProtection="1">
      <alignment horizontal="left" vertical="center"/>
      <protection locked="0"/>
    </xf>
    <xf numFmtId="0" fontId="102" fillId="6" borderId="25" xfId="0" applyFont="1" applyFill="1" applyBorder="1" applyAlignment="1">
      <alignment horizontal="left" vertical="center"/>
    </xf>
    <xf numFmtId="0" fontId="102" fillId="6" borderId="24" xfId="0" applyFont="1" applyFill="1" applyBorder="1" applyAlignment="1">
      <alignment horizontal="right" vertical="center"/>
    </xf>
    <xf numFmtId="0" fontId="102" fillId="6" borderId="86" xfId="0" applyFont="1" applyFill="1" applyBorder="1" applyAlignment="1">
      <alignment horizontal="right" vertical="center"/>
    </xf>
    <xf numFmtId="176" fontId="102" fillId="0" borderId="86" xfId="0" applyNumberFormat="1" applyFont="1" applyBorder="1" applyAlignment="1" applyProtection="1">
      <alignment horizontal="right" vertical="center"/>
      <protection locked="0"/>
    </xf>
    <xf numFmtId="0" fontId="102" fillId="6" borderId="49" xfId="0" applyFont="1" applyFill="1" applyBorder="1" applyAlignment="1">
      <alignment horizontal="right" vertical="center"/>
    </xf>
    <xf numFmtId="176" fontId="102" fillId="0" borderId="96" xfId="0" applyNumberFormat="1" applyFont="1" applyBorder="1" applyAlignment="1" applyProtection="1">
      <alignment horizontal="right" vertical="center"/>
      <protection locked="0"/>
    </xf>
    <xf numFmtId="185" fontId="56" fillId="6" borderId="5" xfId="1" applyNumberFormat="1" applyFont="1" applyFill="1" applyBorder="1" applyAlignment="1">
      <alignment horizontal="right"/>
    </xf>
    <xf numFmtId="0" fontId="56" fillId="6" borderId="32" xfId="0" applyFont="1" applyFill="1" applyBorder="1" applyAlignment="1">
      <alignment horizontal="right"/>
    </xf>
    <xf numFmtId="185" fontId="56" fillId="6" borderId="1" xfId="0" applyNumberFormat="1" applyFont="1" applyFill="1" applyBorder="1" applyAlignment="1">
      <alignment horizontal="right" vertical="center" wrapText="1"/>
    </xf>
    <xf numFmtId="0" fontId="49" fillId="6" borderId="63"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7" fillId="2" borderId="51" xfId="0" applyFont="1" applyFill="1" applyBorder="1" applyAlignment="1" applyProtection="1">
      <alignment horizontal="left" vertical="center" wrapText="1"/>
      <protection locked="0"/>
    </xf>
    <xf numFmtId="0" fontId="69" fillId="6" borderId="14"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49" fillId="6" borderId="14" xfId="0" applyFont="1" applyFill="1" applyBorder="1" applyAlignment="1">
      <alignment horizontal="left" vertical="center" wrapText="1"/>
    </xf>
    <xf numFmtId="0" fontId="53" fillId="6" borderId="12" xfId="0" applyFont="1" applyFill="1" applyBorder="1" applyAlignment="1">
      <alignment horizontal="left" vertical="center" wrapText="1"/>
    </xf>
    <xf numFmtId="0" fontId="53" fillId="6" borderId="40" xfId="0" applyFont="1" applyFill="1" applyBorder="1" applyAlignment="1">
      <alignment horizontal="left" vertical="center" wrapText="1"/>
    </xf>
    <xf numFmtId="0" fontId="53" fillId="6" borderId="18" xfId="0" applyFont="1" applyFill="1" applyBorder="1" applyAlignment="1">
      <alignment horizontal="left" vertical="center" wrapText="1"/>
    </xf>
    <xf numFmtId="0" fontId="54" fillId="6" borderId="37" xfId="0" applyFont="1" applyFill="1" applyBorder="1" applyAlignment="1">
      <alignment horizontal="left" vertical="center" wrapText="1"/>
    </xf>
    <xf numFmtId="0" fontId="49" fillId="6" borderId="18" xfId="0" applyFont="1" applyFill="1" applyBorder="1" applyAlignment="1">
      <alignment horizontal="left" vertical="center" wrapText="1"/>
    </xf>
    <xf numFmtId="0" fontId="47" fillId="2" borderId="69" xfId="0" applyFont="1" applyFill="1" applyBorder="1" applyAlignment="1" applyProtection="1">
      <alignment horizontal="left" vertical="center" wrapText="1"/>
      <protection locked="0"/>
    </xf>
    <xf numFmtId="0" fontId="54" fillId="0" borderId="23" xfId="0" applyFont="1" applyBorder="1" applyAlignment="1" applyProtection="1">
      <alignment horizontal="left" vertical="center" wrapText="1"/>
      <protection locked="0"/>
    </xf>
    <xf numFmtId="0" fontId="54" fillId="6" borderId="18" xfId="0" applyFont="1" applyFill="1" applyBorder="1" applyAlignment="1">
      <alignment horizontal="left" vertical="center"/>
    </xf>
    <xf numFmtId="0" fontId="54" fillId="0" borderId="5" xfId="0" applyFont="1" applyBorder="1" applyAlignment="1" applyProtection="1">
      <alignment horizontal="left" vertical="center"/>
      <protection locked="0"/>
    </xf>
    <xf numFmtId="0" fontId="72" fillId="6" borderId="42" xfId="0" applyFont="1" applyFill="1" applyBorder="1" applyAlignment="1">
      <alignment horizontal="left" vertical="center" textRotation="255" wrapText="1"/>
    </xf>
    <xf numFmtId="0" fontId="52" fillId="0" borderId="33" xfId="0" applyFont="1" applyBorder="1" applyAlignment="1" applyProtection="1">
      <alignment horizontal="left" vertical="center"/>
      <protection locked="0"/>
    </xf>
    <xf numFmtId="0" fontId="54" fillId="0" borderId="25" xfId="0" applyFont="1" applyBorder="1" applyAlignment="1" applyProtection="1">
      <alignment horizontal="left" vertical="center" wrapText="1"/>
      <protection locked="0"/>
    </xf>
    <xf numFmtId="0" fontId="53" fillId="6" borderId="14" xfId="0" applyFont="1" applyFill="1" applyBorder="1" applyAlignment="1">
      <alignment horizontal="left" vertical="center" textRotation="255" wrapText="1"/>
    </xf>
    <xf numFmtId="0" fontId="54" fillId="0" borderId="6" xfId="0" applyFont="1" applyBorder="1" applyAlignment="1" applyProtection="1">
      <alignment horizontal="left" vertical="center" wrapText="1"/>
      <protection locked="0"/>
    </xf>
    <xf numFmtId="0" fontId="49" fillId="6" borderId="14" xfId="0" applyFont="1" applyFill="1" applyBorder="1" applyAlignment="1">
      <alignment horizontal="left" vertical="center" textRotation="255" wrapText="1"/>
    </xf>
    <xf numFmtId="9" fontId="47" fillId="2" borderId="37" xfId="0" applyNumberFormat="1" applyFont="1" applyFill="1" applyBorder="1" applyAlignment="1" applyProtection="1">
      <alignment horizontal="left" vertical="center" wrapText="1"/>
      <protection locked="0"/>
    </xf>
    <xf numFmtId="0" fontId="72" fillId="6" borderId="14" xfId="0" applyFont="1" applyFill="1" applyBorder="1" applyAlignment="1">
      <alignment horizontal="left" vertical="center" textRotation="255" wrapText="1"/>
    </xf>
    <xf numFmtId="0" fontId="52" fillId="0" borderId="38" xfId="0" applyFont="1" applyBorder="1" applyAlignment="1" applyProtection="1">
      <alignment horizontal="left" vertical="center" wrapText="1"/>
      <protection locked="0"/>
    </xf>
    <xf numFmtId="185" fontId="47" fillId="6" borderId="49"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0" fontId="54" fillId="0" borderId="1" xfId="0" applyFont="1" applyBorder="1" applyAlignment="1" applyProtection="1">
      <alignment horizontal="left" vertical="center" wrapText="1"/>
      <protection locked="0"/>
    </xf>
    <xf numFmtId="0" fontId="47" fillId="2" borderId="60" xfId="0"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protection locked="0"/>
    </xf>
    <xf numFmtId="0" fontId="54" fillId="0" borderId="3" xfId="0" applyFont="1" applyBorder="1" applyAlignment="1" applyProtection="1">
      <alignment horizontal="left" vertical="center" wrapText="1"/>
      <protection locked="0"/>
    </xf>
    <xf numFmtId="0" fontId="54" fillId="0" borderId="66" xfId="0" applyFont="1" applyBorder="1" applyAlignment="1" applyProtection="1">
      <alignment horizontal="left" vertical="center" wrapText="1"/>
      <protection locked="0"/>
    </xf>
    <xf numFmtId="183" fontId="47" fillId="0" borderId="26" xfId="0" applyNumberFormat="1"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188" fontId="65" fillId="6" borderId="36" xfId="0" applyNumberFormat="1" applyFont="1" applyFill="1" applyBorder="1" applyAlignment="1">
      <alignment horizontal="left" vertical="center"/>
    </xf>
    <xf numFmtId="188" fontId="65" fillId="6" borderId="0" xfId="0" applyNumberFormat="1" applyFont="1" applyFill="1" applyAlignment="1" applyProtection="1">
      <alignment horizontal="left" vertical="center"/>
      <protection locked="0"/>
    </xf>
    <xf numFmtId="0" fontId="47" fillId="6" borderId="3" xfId="0" applyFont="1" applyFill="1" applyBorder="1" applyAlignment="1">
      <alignment horizontal="left" vertical="center" wrapText="1"/>
    </xf>
    <xf numFmtId="0" fontId="64" fillId="6" borderId="3" xfId="0" applyFont="1" applyFill="1" applyBorder="1" applyAlignment="1">
      <alignment horizontal="left" vertical="center" wrapText="1"/>
    </xf>
    <xf numFmtId="188" fontId="54" fillId="6" borderId="1" xfId="0" applyNumberFormat="1" applyFont="1" applyFill="1" applyBorder="1" applyAlignment="1">
      <alignment horizontal="left" vertical="center" wrapText="1"/>
    </xf>
    <xf numFmtId="188" fontId="54" fillId="12" borderId="0" xfId="0" applyNumberFormat="1" applyFont="1" applyFill="1" applyAlignment="1" applyProtection="1">
      <alignment horizontal="left" vertical="center"/>
      <protection locked="0"/>
    </xf>
    <xf numFmtId="188" fontId="71" fillId="12" borderId="0" xfId="0" applyNumberFormat="1" applyFont="1" applyFill="1" applyAlignment="1" applyProtection="1">
      <alignment horizontal="left" vertical="center"/>
      <protection locked="0"/>
    </xf>
    <xf numFmtId="0" fontId="7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56" fillId="12" borderId="0" xfId="0" applyFont="1" applyFill="1" applyAlignment="1" applyProtection="1">
      <alignment horizontal="left"/>
      <protection locked="0"/>
    </xf>
    <xf numFmtId="188" fontId="54" fillId="6" borderId="0" xfId="0" applyNumberFormat="1" applyFont="1" applyFill="1" applyAlignment="1" applyProtection="1">
      <alignment horizontal="left" vertical="center"/>
      <protection locked="0"/>
    </xf>
    <xf numFmtId="14" fontId="54" fillId="6" borderId="0" xfId="0" applyNumberFormat="1" applyFont="1" applyFill="1" applyAlignment="1">
      <alignment horizontal="left" vertical="center"/>
    </xf>
    <xf numFmtId="188" fontId="54" fillId="6" borderId="0" xfId="0" applyNumberFormat="1" applyFont="1" applyFill="1" applyAlignment="1" applyProtection="1">
      <alignment horizontal="left"/>
      <protection locked="0"/>
    </xf>
    <xf numFmtId="0" fontId="47" fillId="6" borderId="30" xfId="0" applyFont="1" applyFill="1" applyBorder="1" applyAlignment="1">
      <alignment horizontal="left" vertical="center" wrapText="1"/>
    </xf>
    <xf numFmtId="0" fontId="47" fillId="0" borderId="74" xfId="0" applyFont="1" applyBorder="1" applyAlignment="1" applyProtection="1">
      <alignment horizontal="left" vertical="center" wrapText="1"/>
      <protection locked="0"/>
    </xf>
    <xf numFmtId="0" fontId="47" fillId="0" borderId="13" xfId="0" applyFont="1" applyBorder="1" applyAlignment="1" applyProtection="1">
      <alignment horizontal="left" vertical="center" wrapText="1"/>
      <protection locked="0"/>
    </xf>
    <xf numFmtId="0" fontId="54" fillId="0" borderId="78" xfId="0" applyFont="1" applyBorder="1" applyAlignment="1" applyProtection="1">
      <alignment horizontal="left" vertical="center" wrapText="1"/>
      <protection locked="0"/>
    </xf>
    <xf numFmtId="0" fontId="54" fillId="6" borderId="78"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52" fillId="0" borderId="78" xfId="0" applyFont="1" applyBorder="1" applyAlignment="1" applyProtection="1">
      <alignment horizontal="left" vertical="center" wrapText="1"/>
      <protection locked="0"/>
    </xf>
    <xf numFmtId="0" fontId="52" fillId="0" borderId="32"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4" fillId="0" borderId="32" xfId="0" applyFont="1" applyBorder="1" applyAlignment="1" applyProtection="1">
      <alignment horizontal="left" vertical="center" wrapText="1"/>
      <protection locked="0"/>
    </xf>
    <xf numFmtId="0" fontId="54" fillId="0" borderId="13" xfId="0" applyFont="1" applyBorder="1" applyAlignment="1" applyProtection="1">
      <alignment horizontal="left" vertical="center" wrapText="1"/>
      <protection locked="0"/>
    </xf>
    <xf numFmtId="0" fontId="54" fillId="6" borderId="9" xfId="0" applyFont="1" applyFill="1" applyBorder="1" applyAlignment="1">
      <alignment horizontal="left" vertical="center" wrapText="1"/>
    </xf>
    <xf numFmtId="188" fontId="54" fillId="0" borderId="0" xfId="0" applyNumberFormat="1" applyFont="1" applyAlignment="1" applyProtection="1">
      <alignment horizontal="left" vertical="center"/>
      <protection locked="0"/>
    </xf>
    <xf numFmtId="0" fontId="64" fillId="0" borderId="3" xfId="0" applyFont="1" applyBorder="1" applyAlignment="1" applyProtection="1">
      <alignment horizontal="right" vertical="center" wrapText="1"/>
      <protection locked="0"/>
    </xf>
    <xf numFmtId="0" fontId="64" fillId="6" borderId="3" xfId="0" applyFont="1" applyFill="1" applyBorder="1" applyAlignment="1">
      <alignment horizontal="right" vertical="center" wrapText="1"/>
    </xf>
    <xf numFmtId="0" fontId="64" fillId="6" borderId="3" xfId="0" applyFont="1" applyFill="1" applyBorder="1" applyAlignment="1" applyProtection="1">
      <alignment horizontal="right" vertical="center" wrapText="1"/>
      <protection locked="0"/>
    </xf>
    <xf numFmtId="0" fontId="74" fillId="6" borderId="3" xfId="0" applyFont="1" applyFill="1" applyBorder="1" applyAlignment="1">
      <alignment horizontal="right" vertical="center" wrapText="1"/>
    </xf>
    <xf numFmtId="0" fontId="73" fillId="6" borderId="20" xfId="0" applyFont="1" applyFill="1" applyBorder="1" applyAlignment="1">
      <alignment horizontal="right" vertical="center" wrapText="1"/>
    </xf>
    <xf numFmtId="0" fontId="73" fillId="6" borderId="21" xfId="0" applyFont="1" applyFill="1" applyBorder="1" applyAlignment="1">
      <alignment horizontal="right" vertical="center" wrapText="1"/>
    </xf>
    <xf numFmtId="185" fontId="53" fillId="6" borderId="47" xfId="0" applyNumberFormat="1" applyFont="1" applyFill="1" applyBorder="1" applyAlignment="1">
      <alignment horizontal="right" vertical="center" wrapText="1"/>
    </xf>
    <xf numFmtId="49" fontId="47" fillId="6" borderId="3" xfId="0" applyNumberFormat="1" applyFont="1" applyFill="1" applyBorder="1" applyAlignment="1">
      <alignment horizontal="right" vertical="center"/>
    </xf>
    <xf numFmtId="49" fontId="54"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176" fontId="65" fillId="0" borderId="32" xfId="0" applyNumberFormat="1" applyFont="1" applyBorder="1" applyAlignment="1" applyProtection="1">
      <alignment horizontal="right" vertical="center"/>
      <protection locked="0"/>
    </xf>
    <xf numFmtId="0" fontId="53" fillId="6" borderId="16" xfId="0" applyFont="1" applyFill="1" applyBorder="1" applyAlignment="1">
      <alignment horizontal="left" vertical="center" wrapText="1"/>
    </xf>
    <xf numFmtId="0" fontId="53" fillId="6" borderId="19" xfId="0" applyFont="1" applyFill="1" applyBorder="1" applyAlignment="1">
      <alignment horizontal="left" vertical="center" wrapText="1"/>
    </xf>
    <xf numFmtId="0" fontId="53" fillId="6" borderId="0" xfId="0" applyFont="1" applyFill="1" applyAlignment="1">
      <alignment horizontal="left" vertical="center" wrapText="1"/>
    </xf>
    <xf numFmtId="0" fontId="53" fillId="6" borderId="42" xfId="0" applyFont="1" applyFill="1" applyBorder="1" applyAlignment="1">
      <alignment horizontal="left" vertical="center" wrapText="1"/>
    </xf>
    <xf numFmtId="0" fontId="53" fillId="6" borderId="47" xfId="0" applyFont="1" applyFill="1" applyBorder="1" applyAlignment="1">
      <alignment horizontal="left" vertical="center" wrapText="1"/>
    </xf>
    <xf numFmtId="0" fontId="47" fillId="6" borderId="62" xfId="0" applyFont="1" applyFill="1" applyBorder="1" applyAlignment="1">
      <alignment horizontal="left" vertical="center" wrapText="1"/>
    </xf>
    <xf numFmtId="0" fontId="54" fillId="6" borderId="56" xfId="0" applyFont="1" applyFill="1" applyBorder="1" applyAlignment="1">
      <alignment horizontal="left" vertical="center"/>
    </xf>
    <xf numFmtId="0" fontId="47" fillId="6" borderId="61" xfId="0" applyFont="1" applyFill="1" applyBorder="1" applyAlignment="1">
      <alignment horizontal="left" vertical="center" wrapText="1"/>
    </xf>
    <xf numFmtId="0" fontId="47" fillId="6" borderId="8"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24" xfId="0" applyFont="1" applyFill="1" applyBorder="1" applyAlignment="1">
      <alignment horizontal="left" vertical="center" wrapText="1"/>
    </xf>
    <xf numFmtId="0" fontId="47" fillId="0" borderId="24" xfId="0" applyFont="1" applyBorder="1" applyAlignment="1" applyProtection="1">
      <alignment horizontal="left" vertical="center" wrapText="1"/>
      <protection locked="0"/>
    </xf>
    <xf numFmtId="0" fontId="54" fillId="0" borderId="24" xfId="0" applyFont="1" applyBorder="1" applyAlignment="1" applyProtection="1">
      <alignment horizontal="left" vertical="center"/>
      <protection locked="0"/>
    </xf>
    <xf numFmtId="0" fontId="101" fillId="0" borderId="49" xfId="0" applyFont="1" applyBorder="1" applyAlignment="1" applyProtection="1">
      <alignment horizontal="left" vertical="center"/>
      <protection locked="0"/>
    </xf>
    <xf numFmtId="0" fontId="54" fillId="6" borderId="40"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3" fillId="6" borderId="21" xfId="0" applyFont="1" applyFill="1" applyBorder="1" applyAlignment="1">
      <alignment horizontal="right" vertical="center" wrapText="1"/>
    </xf>
    <xf numFmtId="188" fontId="54" fillId="6" borderId="1" xfId="0" applyNumberFormat="1" applyFont="1" applyFill="1" applyBorder="1" applyAlignment="1">
      <alignment horizontal="right" vertical="center" wrapText="1"/>
    </xf>
    <xf numFmtId="0" fontId="50" fillId="6" borderId="1" xfId="0" applyFont="1" applyFill="1" applyBorder="1" applyAlignment="1">
      <alignment horizontal="right" vertical="center" wrapText="1"/>
    </xf>
    <xf numFmtId="176" fontId="63" fillId="0" borderId="1" xfId="0" applyNumberFormat="1" applyFont="1" applyBorder="1" applyAlignment="1" applyProtection="1">
      <alignment horizontal="right" vertical="center"/>
      <protection locked="0"/>
    </xf>
    <xf numFmtId="176" fontId="50" fillId="0" borderId="1" xfId="0" applyNumberFormat="1" applyFont="1" applyBorder="1" applyAlignment="1" applyProtection="1">
      <alignment horizontal="right" vertical="center"/>
      <protection locked="0"/>
    </xf>
    <xf numFmtId="0" fontId="105" fillId="2" borderId="1" xfId="0" applyFont="1" applyFill="1" applyBorder="1" applyAlignment="1" applyProtection="1">
      <alignment horizontal="left" vertical="center"/>
      <protection locked="0"/>
    </xf>
    <xf numFmtId="0" fontId="63" fillId="2" borderId="1" xfId="0" applyFont="1" applyFill="1" applyBorder="1" applyAlignment="1" applyProtection="1">
      <alignment horizontal="left" vertical="center"/>
      <protection locked="0"/>
    </xf>
    <xf numFmtId="176" fontId="50" fillId="6" borderId="32" xfId="0" applyNumberFormat="1" applyFont="1" applyFill="1" applyBorder="1" applyAlignment="1">
      <alignment horizontal="right" vertical="center"/>
    </xf>
    <xf numFmtId="0" fontId="48" fillId="6" borderId="1" xfId="0" applyFont="1" applyFill="1" applyBorder="1" applyAlignment="1">
      <alignment horizontal="right" vertical="center"/>
    </xf>
    <xf numFmtId="0" fontId="65" fillId="6" borderId="87" xfId="0" applyFont="1" applyFill="1" applyBorder="1" applyAlignment="1">
      <alignment horizontal="left" vertical="center"/>
    </xf>
    <xf numFmtId="0" fontId="65" fillId="6" borderId="0" xfId="0" applyFont="1" applyFill="1" applyAlignment="1">
      <alignment horizontal="left" vertical="center"/>
    </xf>
    <xf numFmtId="0" fontId="54" fillId="0" borderId="0" xfId="0" applyFont="1" applyAlignment="1" applyProtection="1">
      <alignment horizontal="left" vertical="center"/>
      <protection locked="0"/>
    </xf>
    <xf numFmtId="0" fontId="71" fillId="0" borderId="0" xfId="0" applyFont="1" applyAlignment="1" applyProtection="1">
      <alignment horizontal="left" vertical="center"/>
      <protection locked="0"/>
    </xf>
    <xf numFmtId="0" fontId="54" fillId="0" borderId="0" xfId="0" applyFont="1" applyAlignment="1" applyProtection="1">
      <alignment horizontal="left"/>
      <protection locked="0"/>
    </xf>
    <xf numFmtId="9" fontId="47" fillId="0" borderId="0" xfId="0" applyNumberFormat="1" applyFont="1" applyAlignment="1" applyProtection="1">
      <alignment horizontal="left" vertical="center" wrapText="1"/>
      <protection locked="0"/>
    </xf>
    <xf numFmtId="49" fontId="47" fillId="0" borderId="0" xfId="0" applyNumberFormat="1"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2" fillId="0" borderId="0" xfId="0" applyFont="1" applyAlignment="1" applyProtection="1">
      <alignment horizontal="left" vertical="center"/>
      <protection locked="0"/>
    </xf>
    <xf numFmtId="9" fontId="52" fillId="0" borderId="0" xfId="0" applyNumberFormat="1"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9" fontId="54" fillId="0" borderId="0" xfId="0" applyNumberFormat="1" applyFont="1" applyAlignment="1" applyProtection="1">
      <alignment horizontal="left" vertical="center" wrapText="1"/>
      <protection locked="0"/>
    </xf>
    <xf numFmtId="0" fontId="141" fillId="6" borderId="9" xfId="0" applyFont="1" applyFill="1" applyBorder="1" applyAlignment="1">
      <alignment horizontal="left" vertical="center" wrapText="1"/>
    </xf>
    <xf numFmtId="49" fontId="55" fillId="6" borderId="55" xfId="0" applyNumberFormat="1" applyFont="1" applyFill="1" applyBorder="1" applyProtection="1">
      <alignment vertical="center"/>
      <protection locked="0"/>
    </xf>
    <xf numFmtId="49" fontId="55" fillId="6" borderId="18" xfId="0" applyNumberFormat="1" applyFont="1" applyFill="1" applyBorder="1" applyProtection="1">
      <alignment vertical="center"/>
      <protection locked="0"/>
    </xf>
    <xf numFmtId="0" fontId="56" fillId="6" borderId="69" xfId="0" applyFont="1" applyFill="1" applyBorder="1" applyProtection="1">
      <alignment vertical="center"/>
      <protection locked="0"/>
    </xf>
    <xf numFmtId="0" fontId="83" fillId="5" borderId="26" xfId="0" applyFont="1" applyFill="1" applyBorder="1" applyProtection="1">
      <alignment vertical="center"/>
      <protection locked="0"/>
    </xf>
    <xf numFmtId="0" fontId="73" fillId="3" borderId="20" xfId="0" applyFont="1" applyFill="1" applyBorder="1" applyAlignment="1" applyProtection="1">
      <alignment horizontal="right" vertical="center" wrapText="1"/>
      <protection locked="0"/>
    </xf>
    <xf numFmtId="0" fontId="73" fillId="3" borderId="51" xfId="0" applyFont="1" applyFill="1" applyBorder="1" applyAlignment="1" applyProtection="1">
      <alignment horizontal="right" vertical="center" wrapText="1"/>
      <protection locked="0"/>
    </xf>
    <xf numFmtId="188" fontId="54" fillId="3" borderId="3" xfId="0" applyNumberFormat="1" applyFont="1" applyFill="1" applyBorder="1" applyAlignment="1" applyProtection="1">
      <alignment horizontal="right" vertical="center"/>
      <protection locked="0"/>
    </xf>
    <xf numFmtId="0" fontId="50" fillId="6" borderId="32" xfId="0" applyFont="1" applyFill="1" applyBorder="1" applyAlignment="1">
      <alignment horizontal="left" vertical="center" wrapText="1"/>
    </xf>
    <xf numFmtId="0" fontId="50" fillId="3" borderId="0" xfId="0" applyFont="1" applyFill="1" applyAlignment="1" applyProtection="1">
      <alignment horizontal="left" vertical="center"/>
      <protection locked="0"/>
    </xf>
    <xf numFmtId="185" fontId="50" fillId="3" borderId="0" xfId="0" applyNumberFormat="1" applyFont="1" applyFill="1" applyAlignment="1" applyProtection="1">
      <alignment horizontal="left" vertical="center"/>
      <protection locked="0"/>
    </xf>
    <xf numFmtId="0" fontId="148" fillId="6" borderId="6" xfId="0" applyFont="1" applyFill="1" applyBorder="1" applyAlignment="1">
      <alignment horizontal="left" vertical="center"/>
    </xf>
    <xf numFmtId="49" fontId="50" fillId="6" borderId="1" xfId="0" applyNumberFormat="1" applyFont="1" applyFill="1" applyBorder="1" applyAlignment="1">
      <alignment horizontal="center" vertical="center"/>
    </xf>
    <xf numFmtId="0" fontId="50" fillId="6" borderId="1" xfId="0" applyFont="1" applyFill="1" applyBorder="1" applyAlignment="1" applyProtection="1">
      <alignment horizontal="right" vertical="center"/>
      <protection locked="0"/>
    </xf>
    <xf numFmtId="0" fontId="216" fillId="6" borderId="0" xfId="0" applyFont="1" applyFill="1" applyAlignment="1" applyProtection="1">
      <alignment horizontal="left" vertical="center"/>
      <protection locked="0"/>
    </xf>
    <xf numFmtId="185" fontId="50" fillId="6" borderId="0" xfId="0" applyNumberFormat="1" applyFont="1" applyFill="1" applyAlignment="1" applyProtection="1">
      <alignment horizontal="left" vertical="center"/>
      <protection locked="0"/>
    </xf>
    <xf numFmtId="0" fontId="174" fillId="6" borderId="51" xfId="1" applyFont="1" applyFill="1" applyBorder="1">
      <alignment vertical="center"/>
    </xf>
    <xf numFmtId="49" fontId="97" fillId="6" borderId="1" xfId="1" applyNumberFormat="1" applyFont="1" applyFill="1" applyBorder="1" applyAlignment="1">
      <alignment horizontal="left" vertical="center"/>
    </xf>
    <xf numFmtId="49" fontId="97" fillId="22" borderId="1" xfId="1" applyNumberFormat="1" applyFont="1" applyFill="1" applyBorder="1" applyAlignment="1">
      <alignment horizontal="left" vertical="center"/>
    </xf>
    <xf numFmtId="49" fontId="125" fillId="22" borderId="1" xfId="1" applyNumberFormat="1" applyFont="1" applyFill="1" applyBorder="1" applyAlignment="1">
      <alignment horizontal="left" vertical="center"/>
    </xf>
    <xf numFmtId="49" fontId="22" fillId="22" borderId="1" xfId="1" applyNumberFormat="1" applyFont="1" applyFill="1" applyBorder="1" applyAlignment="1">
      <alignment horizontal="left" vertical="center"/>
    </xf>
    <xf numFmtId="49" fontId="56" fillId="6" borderId="23" xfId="1" applyNumberFormat="1" applyFont="1" applyFill="1" applyBorder="1" applyAlignment="1">
      <alignment horizontal="right" vertical="center"/>
    </xf>
    <xf numFmtId="0" fontId="57" fillId="6" borderId="1" xfId="0" applyFont="1" applyFill="1" applyBorder="1" applyProtection="1">
      <alignment vertical="center"/>
      <protection locked="0"/>
    </xf>
    <xf numFmtId="49" fontId="187" fillId="6" borderId="23" xfId="1" applyNumberFormat="1" applyFont="1" applyFill="1" applyBorder="1" applyAlignment="1">
      <alignment horizontal="center" vertical="center"/>
    </xf>
    <xf numFmtId="0" fontId="61" fillId="6" borderId="0" xfId="0" applyFont="1" applyFill="1" applyProtection="1">
      <alignment vertical="center"/>
      <protection locked="0"/>
    </xf>
    <xf numFmtId="176" fontId="49" fillId="6" borderId="1" xfId="0" applyNumberFormat="1" applyFont="1" applyFill="1" applyBorder="1" applyAlignment="1">
      <alignment horizontal="center" vertical="center"/>
    </xf>
    <xf numFmtId="176" fontId="49" fillId="6" borderId="1" xfId="1" applyNumberFormat="1" applyFont="1" applyFill="1" applyBorder="1" applyAlignment="1">
      <alignment horizontal="right" vertical="center"/>
    </xf>
    <xf numFmtId="0" fontId="131" fillId="6" borderId="1" xfId="0" applyFont="1" applyFill="1" applyBorder="1">
      <alignment vertical="center"/>
    </xf>
    <xf numFmtId="176" fontId="56" fillId="22" borderId="1" xfId="1" applyNumberFormat="1" applyFont="1" applyFill="1" applyBorder="1" applyAlignment="1">
      <alignment horizontal="right" vertical="center"/>
    </xf>
    <xf numFmtId="176" fontId="56" fillId="22" borderId="1" xfId="1" applyNumberFormat="1" applyFont="1" applyFill="1" applyBorder="1" applyAlignment="1">
      <alignment horizontal="left" vertical="center"/>
    </xf>
    <xf numFmtId="49" fontId="54" fillId="22" borderId="1" xfId="1" applyNumberFormat="1" applyFont="1" applyFill="1" applyBorder="1" applyAlignment="1">
      <alignment horizontal="left" vertical="center"/>
    </xf>
    <xf numFmtId="185"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177" fontId="54" fillId="6" borderId="1" xfId="1" applyNumberFormat="1" applyFont="1" applyFill="1" applyBorder="1" applyAlignment="1">
      <alignment horizontal="left" vertical="center"/>
    </xf>
    <xf numFmtId="0" fontId="54" fillId="6" borderId="1" xfId="1" applyFont="1" applyFill="1" applyBorder="1" applyAlignment="1">
      <alignment horizontal="left" vertical="center"/>
    </xf>
    <xf numFmtId="0" fontId="61" fillId="22" borderId="1" xfId="1" applyFont="1" applyFill="1" applyBorder="1" applyAlignment="1">
      <alignment horizontal="left" vertical="center"/>
    </xf>
    <xf numFmtId="0" fontId="61" fillId="6" borderId="1" xfId="1" applyFont="1" applyFill="1" applyBorder="1" applyAlignment="1">
      <alignment horizontal="left" vertical="center"/>
    </xf>
    <xf numFmtId="185" fontId="54" fillId="22" borderId="1" xfId="0" applyNumberFormat="1" applyFont="1" applyFill="1" applyBorder="1" applyAlignment="1">
      <alignment horizontal="right" vertical="center"/>
    </xf>
    <xf numFmtId="0" fontId="54" fillId="22" borderId="1" xfId="0" applyFont="1" applyFill="1" applyBorder="1" applyAlignment="1">
      <alignment horizontal="left" vertical="center"/>
    </xf>
    <xf numFmtId="192" fontId="54" fillId="6" borderId="1" xfId="0" applyNumberFormat="1" applyFont="1" applyFill="1" applyBorder="1" applyAlignment="1">
      <alignment horizontal="right" vertical="center"/>
    </xf>
    <xf numFmtId="192" fontId="54" fillId="22" borderId="1" xfId="0" applyNumberFormat="1" applyFont="1" applyFill="1" applyBorder="1" applyAlignment="1">
      <alignment horizontal="left" vertical="center"/>
    </xf>
    <xf numFmtId="184" fontId="56" fillId="22" borderId="1" xfId="0" applyNumberFormat="1" applyFont="1" applyFill="1" applyBorder="1" applyAlignment="1">
      <alignment horizontal="left" vertical="center"/>
    </xf>
    <xf numFmtId="0" fontId="56" fillId="22" borderId="1" xfId="0" applyFont="1" applyFill="1" applyBorder="1" applyAlignment="1">
      <alignment horizontal="left" vertical="center"/>
    </xf>
    <xf numFmtId="49" fontId="54"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lignment horizontal="left" vertical="center"/>
    </xf>
    <xf numFmtId="176" fontId="56" fillId="6" borderId="1" xfId="1" applyNumberFormat="1" applyFont="1" applyFill="1" applyBorder="1" applyAlignment="1">
      <alignment horizontal="right" vertical="center"/>
    </xf>
    <xf numFmtId="10" fontId="56" fillId="22" borderId="1" xfId="17" applyNumberFormat="1" applyFont="1" applyFill="1" applyBorder="1" applyAlignment="1" applyProtection="1">
      <alignment horizontal="right" vertical="center"/>
    </xf>
    <xf numFmtId="10" fontId="56" fillId="6" borderId="1" xfId="17" applyNumberFormat="1" applyFont="1" applyFill="1" applyBorder="1" applyAlignment="1" applyProtection="1">
      <alignment horizontal="right" vertical="center"/>
    </xf>
    <xf numFmtId="10" fontId="56" fillId="6" borderId="1" xfId="17" applyNumberFormat="1" applyFont="1" applyFill="1" applyBorder="1" applyAlignment="1" applyProtection="1">
      <alignment horizontal="right" vertical="center"/>
      <protection locked="0"/>
    </xf>
    <xf numFmtId="185" fontId="62" fillId="0" borderId="1" xfId="1" applyNumberFormat="1" applyFont="1" applyBorder="1" applyAlignment="1" applyProtection="1">
      <alignment horizontal="right" vertical="center"/>
      <protection locked="0"/>
    </xf>
    <xf numFmtId="185" fontId="57" fillId="0" borderId="1" xfId="1" applyNumberFormat="1" applyFont="1" applyBorder="1" applyAlignment="1" applyProtection="1">
      <alignment horizontal="right" vertical="center"/>
      <protection locked="0"/>
    </xf>
    <xf numFmtId="0" fontId="56" fillId="0" borderId="1" xfId="0" applyFont="1" applyBorder="1" applyProtection="1">
      <alignment vertical="center"/>
      <protection locked="0"/>
    </xf>
    <xf numFmtId="10" fontId="57" fillId="6" borderId="1" xfId="1" applyNumberFormat="1" applyFont="1" applyFill="1" applyBorder="1" applyAlignment="1">
      <alignment horizontal="right" vertical="center"/>
    </xf>
    <xf numFmtId="0" fontId="57" fillId="6" borderId="24" xfId="1" applyFont="1" applyFill="1" applyBorder="1" applyAlignment="1">
      <alignment horizontal="left" vertical="center"/>
    </xf>
    <xf numFmtId="10" fontId="53" fillId="6" borderId="1" xfId="1" applyNumberFormat="1" applyFont="1" applyFill="1" applyBorder="1" applyAlignment="1">
      <alignment horizontal="right" vertical="center"/>
    </xf>
    <xf numFmtId="49" fontId="60" fillId="6" borderId="1" xfId="1" applyNumberFormat="1" applyFont="1" applyFill="1" applyBorder="1">
      <alignment vertical="center"/>
    </xf>
    <xf numFmtId="49" fontId="83" fillId="6" borderId="1" xfId="1" applyNumberFormat="1" applyFont="1" applyFill="1" applyBorder="1" applyAlignment="1">
      <alignment horizontal="right" vertical="center"/>
    </xf>
    <xf numFmtId="49" fontId="62" fillId="6" borderId="1" xfId="1" applyNumberFormat="1" applyFont="1" applyFill="1" applyBorder="1" applyAlignment="1">
      <alignment horizontal="right" vertical="center"/>
    </xf>
    <xf numFmtId="49" fontId="57" fillId="6" borderId="1" xfId="1" applyNumberFormat="1" applyFont="1" applyFill="1" applyBorder="1" applyAlignment="1">
      <alignment horizontal="right" vertical="center"/>
    </xf>
    <xf numFmtId="9" fontId="57" fillId="6" borderId="1" xfId="1" applyNumberFormat="1" applyFont="1" applyFill="1" applyBorder="1" applyAlignment="1">
      <alignment horizontal="right" vertical="center"/>
    </xf>
    <xf numFmtId="49" fontId="57" fillId="6" borderId="1" xfId="1" applyNumberFormat="1" applyFont="1" applyFill="1" applyBorder="1">
      <alignment vertical="center"/>
    </xf>
    <xf numFmtId="177" fontId="57" fillId="0" borderId="1" xfId="1" applyNumberFormat="1" applyFont="1" applyBorder="1" applyAlignment="1" applyProtection="1">
      <alignment horizontal="center" vertical="center"/>
      <protection locked="0"/>
    </xf>
    <xf numFmtId="49" fontId="83" fillId="6" borderId="1" xfId="1" applyNumberFormat="1" applyFont="1" applyFill="1" applyBorder="1" applyAlignment="1">
      <alignment horizontal="left" vertical="center"/>
    </xf>
    <xf numFmtId="49" fontId="56" fillId="6" borderId="1" xfId="1" applyNumberFormat="1" applyFont="1" applyFill="1" applyBorder="1">
      <alignment vertical="center"/>
    </xf>
    <xf numFmtId="9" fontId="53" fillId="6" borderId="1" xfId="1" applyNumberFormat="1" applyFont="1" applyFill="1" applyBorder="1" applyAlignment="1">
      <alignment horizontal="right" vertical="center"/>
    </xf>
    <xf numFmtId="9" fontId="57" fillId="0" borderId="1" xfId="1" applyNumberFormat="1" applyFont="1" applyBorder="1" applyAlignment="1" applyProtection="1">
      <alignment horizontal="right" vertical="center"/>
      <protection locked="0"/>
    </xf>
    <xf numFmtId="9" fontId="60" fillId="6" borderId="1" xfId="0" applyNumberFormat="1" applyFont="1" applyFill="1" applyBorder="1" applyAlignment="1">
      <alignment horizontal="right" vertical="center"/>
    </xf>
    <xf numFmtId="49" fontId="138" fillId="6" borderId="6" xfId="1" applyNumberFormat="1" applyFont="1" applyFill="1" applyBorder="1" applyAlignment="1">
      <alignment horizontal="left" vertical="center"/>
    </xf>
    <xf numFmtId="49" fontId="138" fillId="6" borderId="9" xfId="1" applyNumberFormat="1" applyFont="1" applyFill="1" applyBorder="1" applyAlignment="1">
      <alignment horizontal="left" vertical="center"/>
    </xf>
    <xf numFmtId="0" fontId="138" fillId="6" borderId="9" xfId="1" applyFont="1" applyFill="1" applyBorder="1" applyAlignment="1">
      <alignment horizontal="left" vertical="center"/>
    </xf>
    <xf numFmtId="177" fontId="60" fillId="6" borderId="9" xfId="1" applyNumberFormat="1" applyFont="1" applyFill="1" applyBorder="1" applyAlignment="1">
      <alignment horizontal="left" vertical="center"/>
    </xf>
    <xf numFmtId="0" fontId="60" fillId="6" borderId="9" xfId="1" applyFont="1" applyFill="1" applyBorder="1" applyAlignment="1">
      <alignment horizontal="left" vertical="center"/>
    </xf>
    <xf numFmtId="0" fontId="138" fillId="6" borderId="10" xfId="1" applyFont="1" applyFill="1" applyBorder="1" applyAlignment="1">
      <alignment horizontal="left" vertical="center"/>
    </xf>
    <xf numFmtId="49" fontId="60" fillId="6" borderId="23" xfId="1" applyNumberFormat="1" applyFont="1" applyFill="1" applyBorder="1">
      <alignment vertical="center"/>
    </xf>
    <xf numFmtId="49" fontId="57" fillId="6" borderId="23" xfId="1" applyNumberFormat="1" applyFont="1" applyFill="1" applyBorder="1" applyAlignment="1">
      <alignment horizontal="center" vertical="center"/>
    </xf>
    <xf numFmtId="0" fontId="57" fillId="6" borderId="24" xfId="0" applyFont="1" applyFill="1" applyBorder="1" applyProtection="1">
      <alignment vertical="center"/>
      <protection locked="0"/>
    </xf>
    <xf numFmtId="0" fontId="56" fillId="6" borderId="24" xfId="0" applyFont="1" applyFill="1" applyBorder="1" applyProtection="1">
      <alignment vertical="center"/>
      <protection locked="0"/>
    </xf>
    <xf numFmtId="0" fontId="56" fillId="0" borderId="24" xfId="0" applyFont="1" applyBorder="1" applyAlignment="1" applyProtection="1">
      <alignment horizontal="left" vertical="center"/>
      <protection locked="0"/>
    </xf>
    <xf numFmtId="49" fontId="53" fillId="6" borderId="23" xfId="1" applyNumberFormat="1" applyFont="1" applyFill="1" applyBorder="1" applyAlignment="1">
      <alignment horizontal="center" vertical="center"/>
    </xf>
    <xf numFmtId="49" fontId="83" fillId="6" borderId="23" xfId="1" applyNumberFormat="1" applyFont="1" applyFill="1" applyBorder="1" applyAlignment="1">
      <alignment horizontal="center" vertical="center"/>
    </xf>
    <xf numFmtId="49" fontId="60" fillId="6" borderId="25" xfId="1" applyNumberFormat="1" applyFont="1" applyFill="1" applyBorder="1" applyAlignment="1">
      <alignment horizontal="left" vertical="center"/>
    </xf>
    <xf numFmtId="49" fontId="138" fillId="6" borderId="32" xfId="1" applyNumberFormat="1" applyFont="1" applyFill="1" applyBorder="1">
      <alignment vertical="center"/>
    </xf>
    <xf numFmtId="0" fontId="57" fillId="6" borderId="32" xfId="0" applyFont="1" applyFill="1" applyBorder="1" applyProtection="1">
      <alignment vertical="center"/>
      <protection locked="0"/>
    </xf>
    <xf numFmtId="0" fontId="57" fillId="0" borderId="1" xfId="1" applyFont="1" applyBorder="1" applyAlignment="1" applyProtection="1">
      <alignment horizontal="right" vertical="center"/>
      <protection locked="0"/>
    </xf>
    <xf numFmtId="10" fontId="50" fillId="0" borderId="1" xfId="1" applyNumberFormat="1" applyFont="1" applyBorder="1" applyAlignment="1" applyProtection="1">
      <alignment horizontal="right" vertical="center"/>
      <protection locked="0"/>
    </xf>
    <xf numFmtId="9" fontId="50" fillId="0" borderId="5" xfId="0"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6" borderId="5" xfId="0"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10" fontId="47" fillId="6" borderId="32" xfId="1" applyNumberFormat="1" applyFont="1" applyFill="1" applyBorder="1" applyAlignment="1">
      <alignment horizontal="right" vertical="center"/>
    </xf>
    <xf numFmtId="9" fontId="47" fillId="6" borderId="33" xfId="0" applyNumberFormat="1" applyFont="1" applyFill="1" applyBorder="1" applyAlignment="1">
      <alignment horizontal="right" vertical="center"/>
    </xf>
    <xf numFmtId="177" fontId="50" fillId="6" borderId="23" xfId="1" applyNumberFormat="1" applyFont="1" applyFill="1" applyBorder="1" applyAlignment="1">
      <alignment horizontal="right" vertical="center"/>
    </xf>
    <xf numFmtId="0" fontId="49" fillId="6" borderId="25" xfId="1" applyFont="1" applyFill="1" applyBorder="1" applyAlignment="1">
      <alignment horizontal="right" vertical="center"/>
    </xf>
    <xf numFmtId="179" fontId="54" fillId="6" borderId="1" xfId="1" applyNumberFormat="1" applyFont="1" applyFill="1" applyBorder="1" applyAlignment="1">
      <alignment horizontal="right" vertical="center"/>
    </xf>
    <xf numFmtId="186" fontId="54" fillId="6" borderId="1" xfId="1" applyNumberFormat="1" applyFont="1" applyFill="1" applyBorder="1" applyAlignment="1">
      <alignment horizontal="right" vertical="center"/>
    </xf>
    <xf numFmtId="181" fontId="102" fillId="0" borderId="1" xfId="0" applyNumberFormat="1" applyFont="1" applyBorder="1" applyAlignment="1" applyProtection="1">
      <alignment horizontal="right" vertical="center"/>
      <protection locked="0"/>
    </xf>
    <xf numFmtId="181" fontId="47" fillId="0" borderId="1" xfId="0" applyNumberFormat="1" applyFont="1" applyBorder="1" applyAlignment="1" applyProtection="1">
      <alignment horizontal="right" vertical="center"/>
      <protection locked="0"/>
    </xf>
    <xf numFmtId="181" fontId="52" fillId="6" borderId="1" xfId="0" applyNumberFormat="1" applyFont="1" applyFill="1" applyBorder="1" applyAlignment="1" applyProtection="1">
      <alignment horizontal="right" vertical="center"/>
      <protection locked="0"/>
    </xf>
    <xf numFmtId="0" fontId="49" fillId="6" borderId="32" xfId="1" applyFont="1" applyFill="1" applyBorder="1" applyAlignment="1">
      <alignment horizontal="right" vertical="center"/>
    </xf>
    <xf numFmtId="186" fontId="49" fillId="6" borderId="32" xfId="1" applyNumberFormat="1" applyFont="1" applyFill="1" applyBorder="1" applyAlignment="1">
      <alignment horizontal="right" vertical="center"/>
    </xf>
    <xf numFmtId="181" fontId="49" fillId="6" borderId="32" xfId="1" applyNumberFormat="1" applyFont="1" applyFill="1" applyBorder="1" applyAlignment="1">
      <alignment horizontal="right" vertical="center"/>
    </xf>
    <xf numFmtId="0" fontId="49" fillId="6" borderId="49" xfId="1" applyFont="1" applyFill="1" applyBorder="1" applyAlignment="1">
      <alignment horizontal="right" vertical="center"/>
    </xf>
    <xf numFmtId="181" fontId="50" fillId="0" borderId="24" xfId="0" applyNumberFormat="1" applyFont="1" applyBorder="1" applyAlignment="1" applyProtection="1">
      <alignment horizontal="right" vertical="center"/>
      <protection locked="0"/>
    </xf>
    <xf numFmtId="181" fontId="50" fillId="0" borderId="76" xfId="0" applyNumberFormat="1" applyFont="1" applyBorder="1" applyAlignment="1" applyProtection="1">
      <alignment horizontal="right" vertical="center"/>
      <protection locked="0"/>
    </xf>
    <xf numFmtId="181" fontId="50" fillId="0" borderId="8" xfId="0" applyNumberFormat="1" applyFont="1" applyBorder="1" applyAlignment="1" applyProtection="1">
      <alignment horizontal="right" vertical="center"/>
      <protection locked="0"/>
    </xf>
    <xf numFmtId="181" fontId="50" fillId="6" borderId="61" xfId="0" applyNumberFormat="1" applyFont="1" applyFill="1" applyBorder="1" applyAlignment="1">
      <alignment horizontal="right" vertical="center"/>
    </xf>
    <xf numFmtId="10" fontId="50" fillId="6" borderId="61" xfId="0" applyNumberFormat="1" applyFont="1" applyFill="1" applyBorder="1" applyAlignment="1">
      <alignment horizontal="right" vertical="center"/>
    </xf>
    <xf numFmtId="10" fontId="47" fillId="6" borderId="10" xfId="0" applyNumberFormat="1" applyFont="1" applyFill="1" applyBorder="1" applyAlignment="1">
      <alignment horizontal="right" vertical="center"/>
    </xf>
    <xf numFmtId="10" fontId="47" fillId="2" borderId="61" xfId="0" applyNumberFormat="1" applyFont="1" applyFill="1" applyBorder="1" applyAlignment="1" applyProtection="1">
      <alignment horizontal="right" vertical="center"/>
      <protection locked="0"/>
    </xf>
    <xf numFmtId="10" fontId="47" fillId="0" borderId="61" xfId="0" applyNumberFormat="1" applyFont="1" applyBorder="1" applyAlignment="1" applyProtection="1">
      <alignment horizontal="right" vertical="center"/>
      <protection locked="0"/>
    </xf>
    <xf numFmtId="10" fontId="47" fillId="0" borderId="49" xfId="0" applyNumberFormat="1" applyFont="1" applyBorder="1" applyAlignment="1" applyProtection="1">
      <alignment horizontal="right" vertical="center"/>
      <protection locked="0"/>
    </xf>
    <xf numFmtId="10" fontId="47" fillId="0" borderId="53" xfId="0" applyNumberFormat="1" applyFont="1" applyBorder="1" applyAlignment="1" applyProtection="1">
      <alignment horizontal="right" vertical="center"/>
      <protection locked="0"/>
    </xf>
    <xf numFmtId="178" fontId="47" fillId="6" borderId="62" xfId="0" applyNumberFormat="1" applyFont="1" applyFill="1" applyBorder="1" applyAlignment="1">
      <alignment horizontal="right" vertical="center"/>
    </xf>
    <xf numFmtId="0" fontId="47" fillId="2" borderId="24" xfId="0" applyFont="1" applyFill="1" applyBorder="1" applyAlignment="1" applyProtection="1">
      <alignment horizontal="right" vertical="center"/>
      <protection locked="0"/>
    </xf>
    <xf numFmtId="0" fontId="50" fillId="12" borderId="0" xfId="0" applyFont="1" applyFill="1" applyAlignment="1" applyProtection="1">
      <alignment horizontal="right" vertical="center"/>
      <protection locked="0"/>
    </xf>
    <xf numFmtId="0" fontId="50"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7" fillId="6" borderId="1" xfId="1" applyFont="1" applyFill="1" applyBorder="1" applyAlignment="1">
      <alignment horizontal="right" vertical="center" wrapText="1"/>
    </xf>
    <xf numFmtId="0" fontId="131" fillId="6" borderId="1" xfId="0" applyFont="1" applyFill="1" applyBorder="1" applyAlignment="1">
      <alignment horizontal="right" vertical="center" wrapText="1"/>
    </xf>
    <xf numFmtId="0" fontId="50" fillId="7" borderId="0" xfId="0" applyFont="1" applyFill="1" applyAlignment="1" applyProtection="1">
      <alignment horizontal="right" vertical="center"/>
      <protection locked="0"/>
    </xf>
    <xf numFmtId="0" fontId="134" fillId="5" borderId="0" xfId="0" applyFont="1" applyFill="1" applyProtection="1">
      <alignment vertical="center"/>
      <protection locked="0"/>
    </xf>
    <xf numFmtId="0" fontId="134" fillId="5" borderId="19" xfId="1" applyFont="1" applyFill="1" applyBorder="1" applyProtection="1">
      <alignment vertical="center"/>
      <protection locked="0"/>
    </xf>
    <xf numFmtId="0" fontId="134" fillId="5" borderId="0" xfId="1" applyFont="1" applyFill="1" applyProtection="1">
      <alignment vertical="center"/>
      <protection locked="0"/>
    </xf>
    <xf numFmtId="0" fontId="83" fillId="6" borderId="1" xfId="0" applyFont="1" applyFill="1" applyBorder="1">
      <alignment vertical="center"/>
    </xf>
    <xf numFmtId="0" fontId="22" fillId="6" borderId="23" xfId="0" applyFont="1" applyFill="1" applyBorder="1" applyAlignment="1">
      <alignment horizontal="right" vertical="center"/>
    </xf>
    <xf numFmtId="0" fontId="22" fillId="6" borderId="1" xfId="0" applyFont="1" applyFill="1" applyBorder="1" applyAlignment="1">
      <alignment horizontal="right" vertical="center"/>
    </xf>
    <xf numFmtId="49" fontId="60" fillId="6" borderId="23" xfId="0" applyNumberFormat="1" applyFont="1" applyFill="1" applyBorder="1" applyAlignment="1">
      <alignment horizontal="left" vertical="center"/>
    </xf>
    <xf numFmtId="185" fontId="56" fillId="0" borderId="1" xfId="0" applyNumberFormat="1" applyFont="1" applyBorder="1" applyAlignment="1" applyProtection="1">
      <alignment horizontal="right" vertical="center"/>
      <protection locked="0"/>
    </xf>
    <xf numFmtId="49" fontId="60" fillId="5" borderId="24" xfId="1" applyNumberFormat="1" applyFont="1" applyFill="1" applyBorder="1" applyProtection="1">
      <alignment vertical="center"/>
      <protection locked="0"/>
    </xf>
    <xf numFmtId="192" fontId="57" fillId="6" borderId="32" xfId="0" applyNumberFormat="1" applyFont="1" applyFill="1" applyBorder="1">
      <alignment vertical="center"/>
    </xf>
    <xf numFmtId="177" fontId="56" fillId="6" borderId="1" xfId="1" applyNumberFormat="1" applyFont="1" applyFill="1" applyBorder="1" applyAlignment="1" applyProtection="1">
      <alignment horizontal="center" vertical="center"/>
      <protection locked="0"/>
    </xf>
    <xf numFmtId="0" fontId="56" fillId="6" borderId="1" xfId="1" applyFont="1" applyFill="1" applyBorder="1" applyAlignment="1" applyProtection="1">
      <alignment horizontal="center" vertical="center"/>
      <protection locked="0"/>
    </xf>
    <xf numFmtId="179" fontId="56" fillId="6" borderId="1" xfId="1" applyNumberFormat="1" applyFont="1" applyFill="1" applyBorder="1" applyAlignment="1" applyProtection="1">
      <alignment horizontal="center" vertical="center"/>
      <protection locked="0"/>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7" fontId="57" fillId="6" borderId="1" xfId="1" applyNumberFormat="1" applyFont="1" applyFill="1" applyBorder="1" applyProtection="1">
      <alignment vertical="center"/>
      <protection locked="0"/>
    </xf>
    <xf numFmtId="177" fontId="57" fillId="6" borderId="1" xfId="1" applyNumberFormat="1" applyFont="1" applyFill="1" applyBorder="1" applyAlignment="1" applyProtection="1">
      <alignment horizontal="center" vertical="center"/>
      <protection locked="0"/>
    </xf>
    <xf numFmtId="177" fontId="60" fillId="6" borderId="1" xfId="1" applyNumberFormat="1" applyFont="1" applyFill="1" applyBorder="1" applyAlignment="1" applyProtection="1">
      <alignment horizontal="center" vertical="center"/>
      <protection locked="0"/>
    </xf>
    <xf numFmtId="10" fontId="56" fillId="0" borderId="24" xfId="1" applyNumberFormat="1" applyFont="1" applyBorder="1" applyAlignment="1" applyProtection="1">
      <alignment horizontal="left" vertical="center"/>
      <protection locked="0"/>
    </xf>
    <xf numFmtId="0" fontId="56"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6" fillId="6" borderId="24" xfId="1" applyFont="1" applyFill="1" applyBorder="1" applyAlignment="1" applyProtection="1">
      <alignment vertical="center" wrapText="1"/>
      <protection locked="0"/>
    </xf>
    <xf numFmtId="0" fontId="57" fillId="6" borderId="24" xfId="1" applyFont="1" applyFill="1" applyBorder="1" applyAlignment="1" applyProtection="1">
      <alignment horizontal="left" vertical="center"/>
      <protection locked="0"/>
    </xf>
    <xf numFmtId="10" fontId="61" fillId="0" borderId="24" xfId="1" applyNumberFormat="1" applyFont="1" applyBorder="1" applyAlignment="1" applyProtection="1">
      <alignment horizontal="left" vertical="center"/>
      <protection locked="0"/>
    </xf>
    <xf numFmtId="0" fontId="53" fillId="6" borderId="24" xfId="0" applyFont="1" applyFill="1" applyBorder="1" applyProtection="1">
      <alignment vertical="center"/>
      <protection locked="0"/>
    </xf>
    <xf numFmtId="0" fontId="57" fillId="6" borderId="24" xfId="0" applyFont="1" applyFill="1" applyBorder="1" applyAlignment="1" applyProtection="1">
      <alignment vertical="center" wrapText="1"/>
      <protection locked="0"/>
    </xf>
    <xf numFmtId="0" fontId="49" fillId="6" borderId="54" xfId="0" applyFont="1" applyFill="1" applyBorder="1">
      <alignment vertical="center"/>
    </xf>
    <xf numFmtId="0" fontId="49" fillId="6" borderId="5" xfId="0" applyFont="1" applyFill="1" applyBorder="1">
      <alignment vertical="center"/>
    </xf>
    <xf numFmtId="0" fontId="187" fillId="6" borderId="5" xfId="0" applyFont="1" applyFill="1" applyBorder="1" applyAlignment="1">
      <alignment horizontal="left" vertical="center"/>
    </xf>
    <xf numFmtId="0" fontId="187" fillId="6" borderId="5" xfId="1" applyFont="1" applyFill="1" applyBorder="1" applyAlignment="1">
      <alignment horizontal="left" vertical="center"/>
    </xf>
    <xf numFmtId="0" fontId="53" fillId="22" borderId="5" xfId="0" applyFont="1" applyFill="1" applyBorder="1" applyAlignment="1">
      <alignment horizontal="left" vertical="center"/>
    </xf>
    <xf numFmtId="0" fontId="50" fillId="6" borderId="54" xfId="0" applyFont="1" applyFill="1" applyBorder="1" applyProtection="1">
      <alignment vertical="center"/>
      <protection locked="0"/>
    </xf>
    <xf numFmtId="0" fontId="53" fillId="6" borderId="5" xfId="0" applyFont="1" applyFill="1" applyBorder="1" applyProtection="1">
      <alignment vertical="center"/>
      <protection locked="0"/>
    </xf>
    <xf numFmtId="0" fontId="47" fillId="6" borderId="54" xfId="0" applyFont="1" applyFill="1" applyBorder="1">
      <alignment vertical="center"/>
    </xf>
    <xf numFmtId="0" fontId="53" fillId="22" borderId="5" xfId="0" applyFont="1" applyFill="1" applyBorder="1" applyAlignment="1">
      <alignment horizontal="left" vertical="center" wrapText="1"/>
    </xf>
    <xf numFmtId="0" fontId="142" fillId="22" borderId="5" xfId="0" applyFont="1" applyFill="1" applyBorder="1" applyAlignment="1">
      <alignment horizontal="left" vertical="center"/>
    </xf>
    <xf numFmtId="0" fontId="57"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49" fillId="6" borderId="48" xfId="0" applyFont="1" applyFill="1" applyBorder="1">
      <alignment vertical="center"/>
    </xf>
    <xf numFmtId="49" fontId="54" fillId="22" borderId="23" xfId="1" applyNumberFormat="1" applyFont="1" applyFill="1" applyBorder="1" applyAlignment="1">
      <alignment horizontal="center" vertical="center"/>
    </xf>
    <xf numFmtId="49" fontId="54" fillId="22" borderId="23" xfId="1" applyNumberFormat="1" applyFont="1" applyFill="1" applyBorder="1" applyAlignment="1">
      <alignment horizontal="right" vertical="center"/>
    </xf>
    <xf numFmtId="0" fontId="50" fillId="6" borderId="48" xfId="0" applyFont="1" applyFill="1" applyBorder="1" applyAlignment="1">
      <alignment horizontal="left" vertical="center"/>
    </xf>
    <xf numFmtId="0" fontId="50" fillId="6" borderId="48" xfId="0" applyFont="1" applyFill="1" applyBorder="1" applyProtection="1">
      <alignment vertical="center"/>
      <protection locked="0"/>
    </xf>
    <xf numFmtId="0" fontId="47" fillId="6" borderId="48" xfId="0" applyFont="1" applyFill="1" applyBorder="1">
      <alignment vertical="center"/>
    </xf>
    <xf numFmtId="177" fontId="235" fillId="6" borderId="48" xfId="0" applyNumberFormat="1" applyFont="1" applyFill="1" applyBorder="1">
      <alignment vertical="center"/>
    </xf>
    <xf numFmtId="0" fontId="49" fillId="6" borderId="12" xfId="0" applyFont="1" applyFill="1" applyBorder="1" applyAlignment="1">
      <alignment horizontal="left" vertical="center"/>
    </xf>
    <xf numFmtId="0" fontId="49" fillId="6" borderId="74" xfId="0" applyFont="1" applyFill="1" applyBorder="1">
      <alignment vertical="center"/>
    </xf>
    <xf numFmtId="185" fontId="49" fillId="6" borderId="74" xfId="0" applyNumberFormat="1" applyFont="1" applyFill="1" applyBorder="1" applyAlignment="1">
      <alignment horizontal="right" vertical="center"/>
    </xf>
    <xf numFmtId="176" fontId="49" fillId="6" borderId="74" xfId="0" applyNumberFormat="1" applyFont="1" applyFill="1" applyBorder="1" applyAlignment="1">
      <alignment horizontal="right" vertical="center"/>
    </xf>
    <xf numFmtId="0" fontId="175" fillId="6" borderId="75" xfId="0" applyFont="1" applyFill="1" applyBorder="1">
      <alignment vertical="center"/>
    </xf>
    <xf numFmtId="0" fontId="49" fillId="6" borderId="47" xfId="0" applyFont="1" applyFill="1" applyBorder="1">
      <alignment vertical="center"/>
    </xf>
    <xf numFmtId="0" fontId="49" fillId="6" borderId="43" xfId="0" applyFont="1" applyFill="1" applyBorder="1">
      <alignment vertical="center"/>
    </xf>
    <xf numFmtId="0" fontId="50" fillId="6" borderId="42" xfId="0" applyFont="1" applyFill="1" applyBorder="1" applyProtection="1">
      <alignment vertical="center"/>
      <protection locked="0"/>
    </xf>
    <xf numFmtId="0" fontId="50" fillId="6" borderId="43" xfId="0" applyFont="1" applyFill="1" applyBorder="1" applyProtection="1">
      <alignment vertical="center"/>
      <protection locked="0"/>
    </xf>
    <xf numFmtId="0" fontId="50" fillId="6" borderId="74" xfId="0" applyFont="1" applyFill="1" applyBorder="1" applyProtection="1">
      <alignment vertical="center"/>
      <protection locked="0"/>
    </xf>
    <xf numFmtId="0" fontId="53" fillId="6" borderId="46" xfId="0" applyFont="1" applyFill="1" applyBorder="1">
      <alignment vertical="center"/>
    </xf>
    <xf numFmtId="0" fontId="48" fillId="6" borderId="33" xfId="1" applyFont="1" applyFill="1" applyBorder="1" applyAlignment="1">
      <alignment horizontal="right" vertical="center"/>
    </xf>
    <xf numFmtId="0" fontId="60" fillId="6" borderId="32" xfId="1" applyFont="1" applyFill="1" applyBorder="1">
      <alignment vertical="center"/>
    </xf>
    <xf numFmtId="0" fontId="60" fillId="6" borderId="74" xfId="1" applyFont="1" applyFill="1" applyBorder="1">
      <alignment vertical="center"/>
    </xf>
    <xf numFmtId="0" fontId="48" fillId="6" borderId="35" xfId="1" applyFont="1" applyFill="1" applyBorder="1">
      <alignment vertical="center"/>
    </xf>
    <xf numFmtId="0" fontId="48" fillId="6" borderId="1" xfId="1" applyFont="1" applyFill="1" applyBorder="1" applyAlignment="1">
      <alignment horizontal="right" vertical="center"/>
    </xf>
    <xf numFmtId="0" fontId="131" fillId="6" borderId="32" xfId="0" applyFont="1" applyFill="1" applyBorder="1">
      <alignment vertical="center"/>
    </xf>
    <xf numFmtId="0" fontId="47" fillId="5" borderId="1" xfId="0" applyFont="1" applyFill="1" applyBorder="1" applyProtection="1">
      <alignment vertical="center"/>
      <protection locked="0"/>
    </xf>
    <xf numFmtId="0" fontId="60" fillId="6" borderId="46" xfId="0" applyFont="1" applyFill="1" applyBorder="1">
      <alignment vertical="center"/>
    </xf>
    <xf numFmtId="185" fontId="60" fillId="6" borderId="33" xfId="0" applyNumberFormat="1" applyFont="1" applyFill="1" applyBorder="1" applyAlignment="1">
      <alignment horizontal="right" vertical="center"/>
    </xf>
    <xf numFmtId="185" fontId="60" fillId="6" borderId="5" xfId="0" applyNumberFormat="1" applyFont="1" applyFill="1" applyBorder="1" applyAlignment="1">
      <alignment horizontal="right" vertical="center"/>
    </xf>
    <xf numFmtId="0" fontId="60" fillId="6" borderId="66" xfId="1" applyFont="1" applyFill="1" applyBorder="1">
      <alignment vertical="center"/>
    </xf>
    <xf numFmtId="0" fontId="60" fillId="6" borderId="54" xfId="0" applyFont="1" applyFill="1" applyBorder="1" applyAlignment="1">
      <alignment vertical="center" wrapText="1"/>
    </xf>
    <xf numFmtId="0" fontId="60" fillId="6" borderId="3" xfId="0" applyFont="1" applyFill="1" applyBorder="1" applyAlignment="1">
      <alignment vertical="center" wrapText="1"/>
    </xf>
    <xf numFmtId="0" fontId="81" fillId="6" borderId="1" xfId="8" applyFont="1" applyFill="1" applyBorder="1" applyAlignment="1">
      <alignment vertical="center" wrapText="1"/>
    </xf>
    <xf numFmtId="0" fontId="60" fillId="6" borderId="1" xfId="0" applyFont="1" applyFill="1" applyBorder="1" applyAlignment="1">
      <alignment horizontal="right" vertical="center" wrapText="1"/>
    </xf>
    <xf numFmtId="0" fontId="81" fillId="6" borderId="1" xfId="8" applyFont="1" applyFill="1" applyBorder="1">
      <alignment vertical="center"/>
    </xf>
    <xf numFmtId="185" fontId="60" fillId="6" borderId="32" xfId="1" applyNumberFormat="1" applyFont="1" applyFill="1" applyBorder="1" applyAlignment="1">
      <alignment horizontal="right" vertical="center"/>
    </xf>
    <xf numFmtId="0" fontId="80" fillId="6" borderId="0" xfId="0" applyFont="1" applyFill="1" applyAlignment="1">
      <alignment horizontal="left" vertical="center"/>
    </xf>
    <xf numFmtId="10" fontId="50" fillId="6" borderId="0" xfId="0" applyNumberFormat="1" applyFont="1" applyFill="1" applyAlignment="1">
      <alignment horizontal="left" vertical="center"/>
    </xf>
    <xf numFmtId="10" fontId="50" fillId="6" borderId="32" xfId="0" applyNumberFormat="1" applyFont="1" applyFill="1" applyBorder="1" applyAlignment="1">
      <alignment horizontal="left" vertical="center"/>
    </xf>
    <xf numFmtId="0" fontId="80" fillId="5" borderId="3" xfId="0" applyFont="1" applyFill="1" applyBorder="1" applyAlignment="1" applyProtection="1">
      <alignment horizontal="left" vertical="center" wrapText="1"/>
      <protection locked="0"/>
    </xf>
    <xf numFmtId="0" fontId="80" fillId="6" borderId="0" xfId="0" applyFont="1" applyFill="1">
      <alignment vertical="center"/>
    </xf>
    <xf numFmtId="0" fontId="80" fillId="7" borderId="1" xfId="0" applyFont="1" applyFill="1" applyBorder="1" applyProtection="1">
      <alignment vertical="center"/>
      <protection locked="0"/>
    </xf>
    <xf numFmtId="0" fontId="50" fillId="7" borderId="1" xfId="0" applyFont="1" applyFill="1" applyBorder="1" applyProtection="1">
      <alignment vertical="center"/>
      <protection locked="0"/>
    </xf>
    <xf numFmtId="0" fontId="80"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6" fillId="0" borderId="1" xfId="0" applyNumberFormat="1" applyFont="1" applyBorder="1">
      <alignment vertical="center"/>
    </xf>
    <xf numFmtId="9" fontId="57" fillId="0" borderId="1" xfId="0" applyNumberFormat="1" applyFont="1" applyBorder="1" applyProtection="1">
      <alignment vertical="center"/>
      <protection locked="0"/>
    </xf>
    <xf numFmtId="0" fontId="22" fillId="6" borderId="24" xfId="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protection locked="0"/>
    </xf>
    <xf numFmtId="185" fontId="60" fillId="6" borderId="5" xfId="1" applyNumberFormat="1" applyFont="1" applyFill="1" applyBorder="1" applyAlignment="1">
      <alignment horizontal="left" vertical="center"/>
    </xf>
    <xf numFmtId="176" fontId="61" fillId="6" borderId="0" xfId="0" applyNumberFormat="1" applyFont="1" applyFill="1" applyAlignment="1">
      <alignment horizontal="center"/>
    </xf>
    <xf numFmtId="185" fontId="55" fillId="6" borderId="24" xfId="0" applyNumberFormat="1" applyFont="1" applyFill="1" applyBorder="1" applyAlignment="1">
      <alignment horizontal="right" vertical="center"/>
    </xf>
    <xf numFmtId="192" fontId="50" fillId="6" borderId="1" xfId="0" applyNumberFormat="1" applyFont="1" applyFill="1" applyBorder="1" applyAlignment="1">
      <alignment horizontal="right" vertical="center"/>
    </xf>
    <xf numFmtId="185" fontId="55" fillId="6" borderId="9" xfId="0" applyNumberFormat="1" applyFont="1" applyFill="1" applyBorder="1" applyAlignment="1">
      <alignment horizontal="right" vertical="center"/>
    </xf>
    <xf numFmtId="49" fontId="55" fillId="6" borderId="1" xfId="0" applyNumberFormat="1" applyFont="1" applyFill="1" applyBorder="1" applyAlignment="1">
      <alignment horizontal="right" vertical="center"/>
    </xf>
    <xf numFmtId="192" fontId="50" fillId="6" borderId="1" xfId="17" applyNumberFormat="1" applyFont="1" applyFill="1" applyBorder="1" applyAlignment="1" applyProtection="1">
      <alignment horizontal="right" vertical="center"/>
    </xf>
    <xf numFmtId="176" fontId="57" fillId="7" borderId="24" xfId="0" applyNumberFormat="1" applyFont="1" applyFill="1" applyBorder="1" applyAlignment="1" applyProtection="1">
      <alignment horizontal="right" vertical="center"/>
      <protection locked="0"/>
    </xf>
    <xf numFmtId="49" fontId="55" fillId="5" borderId="61" xfId="0" applyNumberFormat="1" applyFont="1" applyFill="1" applyBorder="1" applyAlignment="1" applyProtection="1">
      <alignment horizontal="left" vertical="center"/>
      <protection locked="0"/>
    </xf>
    <xf numFmtId="176" fontId="50" fillId="6" borderId="24" xfId="0" applyNumberFormat="1" applyFont="1" applyFill="1" applyBorder="1" applyAlignment="1">
      <alignment horizontal="right" vertical="center"/>
    </xf>
    <xf numFmtId="176" fontId="55"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pplyProtection="1">
      <alignment horizontal="right" vertical="center"/>
      <protection locked="0"/>
    </xf>
    <xf numFmtId="185" fontId="50" fillId="6" borderId="24" xfId="0" applyNumberFormat="1" applyFont="1" applyFill="1" applyBorder="1" applyAlignment="1">
      <alignment horizontal="right" vertical="center"/>
    </xf>
    <xf numFmtId="185" fontId="56" fillId="6" borderId="1" xfId="0" applyNumberFormat="1" applyFont="1" applyFill="1" applyBorder="1" applyAlignment="1"/>
    <xf numFmtId="0" fontId="66" fillId="7" borderId="0" xfId="0" applyFont="1" applyFill="1" applyAlignment="1" applyProtection="1">
      <alignment horizontal="right" vertical="center"/>
      <protection locked="0"/>
    </xf>
    <xf numFmtId="0" fontId="56" fillId="7" borderId="0" xfId="0" applyFont="1" applyFill="1" applyAlignment="1" applyProtection="1">
      <alignment horizontal="right" vertical="center"/>
      <protection locked="0"/>
    </xf>
    <xf numFmtId="0" fontId="51" fillId="7" borderId="0" xfId="0" applyFont="1" applyFill="1" applyAlignment="1" applyProtection="1">
      <alignment horizontal="right" vertical="center"/>
      <protection locked="0"/>
    </xf>
    <xf numFmtId="0" fontId="56" fillId="6" borderId="0" xfId="0" applyFont="1" applyFill="1" applyAlignment="1" applyProtection="1">
      <alignment horizontal="right" vertical="center"/>
      <protection locked="0"/>
    </xf>
    <xf numFmtId="176" fontId="102" fillId="6" borderId="43" xfId="0" applyNumberFormat="1" applyFont="1" applyFill="1" applyBorder="1" applyAlignment="1">
      <alignment horizontal="right" vertical="center" wrapText="1"/>
    </xf>
    <xf numFmtId="10" fontId="102" fillId="6" borderId="43" xfId="0" applyNumberFormat="1" applyFont="1" applyFill="1" applyBorder="1" applyAlignment="1">
      <alignment horizontal="right" vertical="center" wrapText="1"/>
    </xf>
    <xf numFmtId="0" fontId="56" fillId="6" borderId="0" xfId="0" applyFont="1" applyFill="1" applyAlignment="1">
      <alignment horizontal="right" vertical="center"/>
    </xf>
    <xf numFmtId="192" fontId="102" fillId="6" borderId="43" xfId="0" applyNumberFormat="1" applyFont="1" applyFill="1" applyBorder="1" applyAlignment="1">
      <alignment horizontal="right" vertical="center" wrapText="1"/>
    </xf>
    <xf numFmtId="185" fontId="102" fillId="6" borderId="43" xfId="0" applyNumberFormat="1" applyFont="1" applyFill="1" applyBorder="1" applyAlignment="1">
      <alignment horizontal="right" vertical="center" wrapText="1"/>
    </xf>
    <xf numFmtId="181" fontId="55" fillId="6" borderId="59" xfId="0" applyNumberFormat="1" applyFont="1" applyFill="1" applyBorder="1" applyAlignment="1">
      <alignment horizontal="right" vertical="center"/>
    </xf>
    <xf numFmtId="181" fontId="55" fillId="5" borderId="59" xfId="0" applyNumberFormat="1" applyFont="1" applyFill="1" applyBorder="1" applyAlignment="1" applyProtection="1">
      <alignment horizontal="right" vertical="center"/>
      <protection locked="0"/>
    </xf>
    <xf numFmtId="181" fontId="50" fillId="6" borderId="48" xfId="0" applyNumberFormat="1" applyFont="1" applyFill="1" applyBorder="1" applyAlignment="1">
      <alignment horizontal="right" vertical="center"/>
    </xf>
    <xf numFmtId="181" fontId="55" fillId="6" borderId="90" xfId="0" applyNumberFormat="1" applyFont="1" applyFill="1" applyBorder="1" applyAlignment="1">
      <alignment horizontal="right" vertical="center"/>
    </xf>
    <xf numFmtId="176" fontId="50" fillId="6" borderId="48" xfId="0" applyNumberFormat="1" applyFont="1" applyFill="1" applyBorder="1" applyAlignment="1">
      <alignment horizontal="right" vertical="center"/>
    </xf>
    <xf numFmtId="176" fontId="55" fillId="6" borderId="48" xfId="0" applyNumberFormat="1" applyFont="1" applyFill="1" applyBorder="1" applyAlignment="1">
      <alignment horizontal="right" vertical="center"/>
    </xf>
    <xf numFmtId="185" fontId="55" fillId="6" borderId="48" xfId="0" applyNumberFormat="1" applyFont="1" applyFill="1" applyBorder="1" applyAlignment="1">
      <alignment horizontal="right" vertical="center"/>
    </xf>
    <xf numFmtId="176" fontId="55" fillId="6" borderId="1" xfId="4" applyNumberFormat="1" applyFont="1" applyFill="1" applyBorder="1" applyAlignment="1">
      <alignment horizontal="right" vertical="center"/>
    </xf>
    <xf numFmtId="176" fontId="55" fillId="6" borderId="13" xfId="4" applyNumberFormat="1" applyFont="1" applyFill="1" applyBorder="1" applyAlignment="1">
      <alignment horizontal="right" vertical="center"/>
    </xf>
    <xf numFmtId="176" fontId="50" fillId="0" borderId="32" xfId="4" applyNumberFormat="1" applyFont="1" applyBorder="1" applyAlignment="1" applyProtection="1">
      <alignment horizontal="left" vertical="center"/>
      <protection locked="0"/>
    </xf>
    <xf numFmtId="185" fontId="57" fillId="0" borderId="34" xfId="4" applyNumberFormat="1" applyFont="1" applyBorder="1" applyAlignment="1" applyProtection="1">
      <alignment horizontal="left" vertical="center"/>
      <protection locked="0"/>
    </xf>
    <xf numFmtId="185" fontId="57" fillId="6" borderId="4" xfId="4" applyNumberFormat="1" applyFont="1" applyFill="1" applyBorder="1" applyAlignment="1">
      <alignment horizontal="right" vertical="center"/>
    </xf>
    <xf numFmtId="185" fontId="57" fillId="6" borderId="1" xfId="4" applyNumberFormat="1" applyFont="1" applyFill="1" applyBorder="1" applyAlignment="1">
      <alignment horizontal="right" vertical="center"/>
    </xf>
    <xf numFmtId="9" fontId="57" fillId="0" borderId="1" xfId="4" applyNumberFormat="1" applyFont="1" applyBorder="1" applyAlignment="1" applyProtection="1">
      <alignment horizontal="right" vertical="center"/>
      <protection locked="0"/>
    </xf>
    <xf numFmtId="181" fontId="57" fillId="6" borderId="1" xfId="4" applyNumberFormat="1" applyFont="1" applyFill="1" applyBorder="1" applyAlignment="1">
      <alignment horizontal="right" vertical="center"/>
    </xf>
    <xf numFmtId="185" fontId="56" fillId="6" borderId="1" xfId="4" applyNumberFormat="1" applyFont="1" applyFill="1" applyBorder="1" applyAlignment="1">
      <alignment horizontal="right" vertical="center"/>
    </xf>
    <xf numFmtId="181" fontId="56" fillId="6" borderId="1" xfId="4" applyNumberFormat="1" applyFont="1" applyFill="1" applyBorder="1" applyAlignment="1">
      <alignment horizontal="right" vertical="center"/>
    </xf>
    <xf numFmtId="176" fontId="56" fillId="0" borderId="1" xfId="4" applyNumberFormat="1" applyFont="1" applyBorder="1" applyAlignment="1" applyProtection="1">
      <alignment horizontal="right" vertical="center"/>
      <protection locked="0"/>
    </xf>
    <xf numFmtId="177" fontId="56" fillId="0" borderId="1" xfId="4" applyNumberFormat="1" applyFont="1" applyBorder="1" applyAlignment="1" applyProtection="1">
      <alignment horizontal="right" vertical="center"/>
      <protection locked="0"/>
    </xf>
    <xf numFmtId="185" fontId="56" fillId="0" borderId="1" xfId="4" applyNumberFormat="1" applyFont="1" applyBorder="1" applyAlignment="1" applyProtection="1">
      <alignment horizontal="right" vertical="center"/>
      <protection locked="0"/>
    </xf>
    <xf numFmtId="181" fontId="56" fillId="0" borderId="1" xfId="4" applyNumberFormat="1" applyFont="1" applyBorder="1" applyAlignment="1" applyProtection="1">
      <alignment horizontal="right" vertical="center"/>
      <protection locked="0"/>
    </xf>
    <xf numFmtId="185" fontId="57" fillId="6" borderId="32" xfId="4" applyNumberFormat="1" applyFont="1" applyFill="1" applyBorder="1" applyAlignment="1">
      <alignment horizontal="right" vertical="center"/>
    </xf>
    <xf numFmtId="181" fontId="57" fillId="0" borderId="32" xfId="4" applyNumberFormat="1" applyFont="1" applyBorder="1" applyAlignment="1" applyProtection="1">
      <alignment horizontal="right" vertical="center"/>
      <protection locked="0"/>
    </xf>
    <xf numFmtId="185" fontId="57" fillId="6" borderId="60" xfId="4" applyNumberFormat="1" applyFont="1" applyFill="1" applyBorder="1" applyAlignment="1">
      <alignment horizontal="right" vertical="center"/>
    </xf>
    <xf numFmtId="181" fontId="57" fillId="0" borderId="60" xfId="4" applyNumberFormat="1" applyFont="1" applyBorder="1" applyAlignment="1" applyProtection="1">
      <alignment horizontal="right" vertical="center"/>
      <protection locked="0"/>
    </xf>
    <xf numFmtId="185" fontId="56" fillId="6" borderId="158" xfId="4" applyNumberFormat="1" applyFont="1" applyFill="1" applyBorder="1" applyAlignment="1">
      <alignment horizontal="right" vertical="center"/>
    </xf>
    <xf numFmtId="185" fontId="56" fillId="6" borderId="3" xfId="4" applyNumberFormat="1" applyFont="1" applyFill="1" applyBorder="1" applyAlignment="1">
      <alignment horizontal="right" vertical="center"/>
    </xf>
    <xf numFmtId="0" fontId="56" fillId="6" borderId="158" xfId="4" applyFont="1" applyFill="1" applyBorder="1" applyAlignment="1">
      <alignment horizontal="right" vertical="center"/>
    </xf>
    <xf numFmtId="0" fontId="56" fillId="6" borderId="3" xfId="4" applyFont="1" applyFill="1" applyBorder="1" applyAlignment="1">
      <alignment horizontal="right" vertical="center"/>
    </xf>
    <xf numFmtId="10" fontId="56" fillId="0" borderId="5" xfId="4" applyNumberFormat="1" applyFont="1" applyBorder="1" applyAlignment="1" applyProtection="1">
      <alignment horizontal="right" vertical="center"/>
      <protection locked="0"/>
    </xf>
    <xf numFmtId="10" fontId="56" fillId="0" borderId="158" xfId="4" applyNumberFormat="1" applyFont="1" applyBorder="1" applyAlignment="1" applyProtection="1">
      <alignment horizontal="right" vertical="center"/>
      <protection locked="0"/>
    </xf>
    <xf numFmtId="10" fontId="56" fillId="0" borderId="3" xfId="4" applyNumberFormat="1" applyFont="1" applyBorder="1" applyAlignment="1" applyProtection="1">
      <alignment horizontal="right" vertical="center"/>
      <protection locked="0"/>
    </xf>
    <xf numFmtId="176" fontId="56" fillId="0" borderId="33" xfId="4" applyNumberFormat="1" applyFont="1" applyBorder="1" applyAlignment="1" applyProtection="1">
      <alignment horizontal="right" vertical="center"/>
      <protection locked="0"/>
    </xf>
    <xf numFmtId="176" fontId="56" fillId="0" borderId="159" xfId="4" applyNumberFormat="1" applyFont="1" applyBorder="1" applyAlignment="1" applyProtection="1">
      <alignment horizontal="right" vertical="center"/>
      <protection locked="0"/>
    </xf>
    <xf numFmtId="176" fontId="56" fillId="0" borderId="66" xfId="4" applyNumberFormat="1" applyFont="1" applyBorder="1" applyAlignment="1" applyProtection="1">
      <alignment horizontal="right" vertical="center"/>
      <protection locked="0"/>
    </xf>
    <xf numFmtId="185" fontId="56" fillId="6" borderId="1" xfId="4" applyNumberFormat="1" applyFont="1" applyFill="1" applyBorder="1" applyAlignment="1">
      <alignment horizontal="right"/>
    </xf>
    <xf numFmtId="0" fontId="56" fillId="6" borderId="1" xfId="4" applyFont="1" applyFill="1" applyBorder="1" applyAlignment="1">
      <alignment horizontal="right"/>
    </xf>
    <xf numFmtId="185" fontId="56" fillId="6" borderId="32" xfId="4" applyNumberFormat="1" applyFont="1" applyFill="1" applyBorder="1" applyAlignment="1">
      <alignment horizontal="right" vertical="center"/>
    </xf>
    <xf numFmtId="0" fontId="56" fillId="6" borderId="32" xfId="4" applyFont="1" applyFill="1" applyBorder="1" applyAlignment="1">
      <alignment horizontal="right"/>
    </xf>
    <xf numFmtId="185" fontId="56" fillId="0" borderId="158" xfId="4" applyNumberFormat="1" applyFont="1" applyBorder="1" applyAlignment="1" applyProtection="1">
      <alignment horizontal="right" vertical="center"/>
      <protection locked="0"/>
    </xf>
    <xf numFmtId="185" fontId="56" fillId="0" borderId="3" xfId="4" applyNumberFormat="1" applyFont="1" applyBorder="1" applyAlignment="1" applyProtection="1">
      <alignment horizontal="right" vertical="center"/>
      <protection locked="0"/>
    </xf>
    <xf numFmtId="176" fontId="102" fillId="0" borderId="1" xfId="4" applyNumberFormat="1" applyFont="1" applyBorder="1" applyAlignment="1" applyProtection="1">
      <alignment horizontal="left" vertical="center"/>
      <protection locked="0"/>
    </xf>
    <xf numFmtId="176" fontId="56" fillId="0" borderId="24" xfId="4" applyNumberFormat="1" applyFont="1" applyBorder="1" applyAlignment="1" applyProtection="1">
      <alignment horizontal="left" vertical="center"/>
      <protection locked="0"/>
    </xf>
    <xf numFmtId="176" fontId="105" fillId="6" borderId="24" xfId="4" applyNumberFormat="1" applyFont="1" applyFill="1" applyBorder="1" applyAlignment="1" applyProtection="1">
      <alignment horizontal="left" vertical="center"/>
      <protection locked="0"/>
    </xf>
    <xf numFmtId="176" fontId="105" fillId="0" borderId="1" xfId="4" applyNumberFormat="1" applyFont="1" applyBorder="1" applyAlignment="1" applyProtection="1">
      <alignment horizontal="left" vertical="center"/>
      <protection locked="0"/>
    </xf>
    <xf numFmtId="176" fontId="138" fillId="0" borderId="76" xfId="4" applyNumberFormat="1" applyFont="1" applyBorder="1" applyAlignment="1" applyProtection="1">
      <alignment horizontal="left" vertical="center"/>
      <protection locked="0"/>
    </xf>
    <xf numFmtId="176" fontId="39" fillId="0" borderId="74" xfId="4" applyNumberFormat="1" applyBorder="1" applyAlignment="1" applyProtection="1">
      <alignment horizontal="left" vertical="center"/>
      <protection locked="0"/>
    </xf>
    <xf numFmtId="176" fontId="102" fillId="0" borderId="1" xfId="1" applyNumberFormat="1" applyFont="1" applyBorder="1" applyAlignment="1" applyProtection="1">
      <alignment horizontal="left" vertical="center"/>
      <protection locked="0" hidden="1"/>
    </xf>
    <xf numFmtId="176" fontId="102" fillId="0" borderId="24" xfId="1" applyNumberFormat="1" applyFont="1" applyBorder="1" applyAlignment="1" applyProtection="1">
      <alignment horizontal="left" vertical="center"/>
      <protection locked="0" hidden="1"/>
    </xf>
    <xf numFmtId="176" fontId="56" fillId="6" borderId="1" xfId="4" applyNumberFormat="1" applyFont="1" applyFill="1" applyBorder="1" applyAlignment="1" applyProtection="1">
      <alignment horizontal="left" vertical="center"/>
      <protection locked="0"/>
    </xf>
    <xf numFmtId="176" fontId="56" fillId="0" borderId="13" xfId="4" applyNumberFormat="1" applyFont="1" applyBorder="1" applyAlignment="1" applyProtection="1">
      <alignment horizontal="left" vertical="center"/>
      <protection locked="0"/>
    </xf>
    <xf numFmtId="176" fontId="56" fillId="0" borderId="61" xfId="4" applyNumberFormat="1" applyFont="1" applyBorder="1" applyAlignment="1" applyProtection="1">
      <alignment horizontal="left" vertical="center"/>
      <protection locked="0"/>
    </xf>
    <xf numFmtId="176" fontId="56" fillId="6" borderId="13" xfId="4" applyNumberFormat="1" applyFont="1" applyFill="1" applyBorder="1" applyAlignment="1" applyProtection="1">
      <alignment horizontal="left" vertical="center"/>
      <protection locked="0"/>
    </xf>
    <xf numFmtId="176" fontId="56" fillId="0" borderId="5" xfId="4" applyNumberFormat="1" applyFont="1" applyBorder="1" applyAlignment="1" applyProtection="1">
      <alignment vertical="center"/>
      <protection locked="0"/>
    </xf>
    <xf numFmtId="176" fontId="57" fillId="6" borderId="1" xfId="4" applyNumberFormat="1" applyFont="1" applyFill="1" applyBorder="1" applyAlignment="1" applyProtection="1">
      <alignment horizontal="left" vertical="center"/>
      <protection locked="0"/>
    </xf>
    <xf numFmtId="49" fontId="121" fillId="0" borderId="1" xfId="5" applyNumberFormat="1" applyFont="1" applyBorder="1" applyAlignment="1">
      <alignment horizontal="left" vertical="center"/>
    </xf>
    <xf numFmtId="185" fontId="98" fillId="6" borderId="0" xfId="0" applyNumberFormat="1" applyFont="1" applyFill="1" applyAlignment="1">
      <alignment horizontal="center" vertical="center"/>
    </xf>
    <xf numFmtId="0" fontId="245" fillId="6" borderId="16" xfId="0" applyFont="1" applyFill="1" applyBorder="1" applyAlignment="1" applyProtection="1">
      <alignment horizontal="left" vertical="center"/>
      <protection locked="0"/>
    </xf>
    <xf numFmtId="0" fontId="245" fillId="6" borderId="19" xfId="0" applyFont="1" applyFill="1" applyBorder="1" applyAlignment="1" applyProtection="1">
      <alignment horizontal="left" vertical="center"/>
      <protection locked="0"/>
    </xf>
    <xf numFmtId="0" fontId="98" fillId="6" borderId="24" xfId="0" applyFont="1" applyFill="1" applyBorder="1" applyAlignment="1">
      <alignment horizontal="left" vertical="center"/>
    </xf>
    <xf numFmtId="0" fontId="245" fillId="6" borderId="25" xfId="0" applyFont="1" applyFill="1" applyBorder="1" applyAlignment="1">
      <alignment horizontal="left" vertical="center"/>
    </xf>
    <xf numFmtId="0" fontId="245" fillId="6" borderId="6" xfId="0" applyFont="1" applyFill="1" applyBorder="1" applyAlignment="1" applyProtection="1">
      <alignment horizontal="left" vertical="center"/>
      <protection locked="0"/>
    </xf>
    <xf numFmtId="0" fontId="245" fillId="6" borderId="9" xfId="0" applyFont="1" applyFill="1" applyBorder="1" applyAlignment="1" applyProtection="1">
      <alignment horizontal="left" vertical="center"/>
      <protection locked="0"/>
    </xf>
    <xf numFmtId="0" fontId="245"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5" fillId="6" borderId="11" xfId="0" applyFont="1" applyFill="1" applyBorder="1" applyAlignment="1">
      <alignment horizontal="left" vertical="center"/>
    </xf>
    <xf numFmtId="0" fontId="245" fillId="0" borderId="19" xfId="0" applyFont="1" applyBorder="1" applyAlignment="1" applyProtection="1">
      <alignment horizontal="right" vertical="center"/>
      <protection locked="0"/>
    </xf>
    <xf numFmtId="194" fontId="245" fillId="0" borderId="19" xfId="0" applyNumberFormat="1" applyFont="1" applyBorder="1" applyAlignment="1" applyProtection="1">
      <alignment horizontal="right" vertical="center"/>
      <protection locked="0"/>
    </xf>
    <xf numFmtId="0" fontId="245"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11" fillId="6" borderId="18" xfId="0" applyFont="1" applyFill="1" applyBorder="1" applyAlignment="1">
      <alignment horizontal="left" vertical="center"/>
    </xf>
    <xf numFmtId="0" fontId="0" fillId="6" borderId="56" xfId="0" applyFill="1" applyBorder="1" applyAlignment="1">
      <alignment horizontal="left" vertical="center"/>
    </xf>
    <xf numFmtId="0" fontId="245"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5" fillId="0" borderId="1" xfId="0" applyNumberFormat="1" applyFont="1" applyBorder="1" applyAlignment="1" applyProtection="1">
      <alignment horizontal="right" vertical="center"/>
      <protection locked="0"/>
    </xf>
    <xf numFmtId="185" fontId="245" fillId="0" borderId="1" xfId="0" applyNumberFormat="1" applyFont="1" applyBorder="1" applyAlignment="1" applyProtection="1">
      <alignment horizontal="right" vertical="center"/>
      <protection locked="0"/>
    </xf>
    <xf numFmtId="10" fontId="245" fillId="0" borderId="1" xfId="0" applyNumberFormat="1" applyFont="1" applyBorder="1" applyAlignment="1" applyProtection="1">
      <alignment horizontal="right" vertical="center"/>
      <protection locked="0"/>
    </xf>
    <xf numFmtId="194" fontId="245" fillId="6" borderId="1" xfId="0" applyNumberFormat="1" applyFont="1" applyFill="1" applyBorder="1" applyAlignment="1">
      <alignment horizontal="right" vertical="center"/>
    </xf>
    <xf numFmtId="176" fontId="245" fillId="6" borderId="24" xfId="0" applyNumberFormat="1" applyFont="1" applyFill="1" applyBorder="1" applyAlignment="1">
      <alignment horizontal="right" vertical="center"/>
    </xf>
    <xf numFmtId="176" fontId="206" fillId="6" borderId="47" xfId="0" applyNumberFormat="1" applyFont="1" applyFill="1" applyBorder="1" applyAlignment="1">
      <alignment horizontal="right" vertical="center"/>
    </xf>
    <xf numFmtId="0" fontId="159" fillId="6" borderId="5" xfId="0" applyFont="1" applyFill="1" applyBorder="1">
      <alignment vertical="center"/>
    </xf>
    <xf numFmtId="0" fontId="50" fillId="6" borderId="35" xfId="0" applyFont="1" applyFill="1" applyBorder="1" applyAlignment="1">
      <alignment horizontal="left" vertical="center"/>
    </xf>
    <xf numFmtId="0" fontId="187" fillId="6" borderId="24" xfId="0" applyFont="1" applyFill="1" applyBorder="1">
      <alignment vertical="center"/>
    </xf>
    <xf numFmtId="0" fontId="60" fillId="5" borderId="49" xfId="0" applyFont="1" applyFill="1" applyBorder="1">
      <alignment vertical="center"/>
    </xf>
    <xf numFmtId="10" fontId="80" fillId="5" borderId="48" xfId="0" applyNumberFormat="1" applyFont="1" applyFill="1" applyBorder="1" applyAlignment="1" applyProtection="1">
      <alignment horizontal="left" vertical="center" wrapText="1"/>
      <protection locked="0"/>
    </xf>
    <xf numFmtId="9" fontId="101" fillId="6" borderId="0" xfId="0" applyNumberFormat="1" applyFont="1" applyFill="1">
      <alignment vertical="center"/>
    </xf>
    <xf numFmtId="10" fontId="50" fillId="6" borderId="2" xfId="0" applyNumberFormat="1" applyFont="1" applyFill="1" applyBorder="1" applyAlignment="1">
      <alignment horizontal="left" vertical="center"/>
    </xf>
    <xf numFmtId="0" fontId="50" fillId="6" borderId="11"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0" fontId="102" fillId="6" borderId="3" xfId="0" applyFont="1" applyFill="1" applyBorder="1" applyAlignment="1">
      <alignment horizontal="left" vertical="center" wrapText="1"/>
    </xf>
    <xf numFmtId="9" fontId="56" fillId="6" borderId="1" xfId="0" applyNumberFormat="1" applyFont="1" applyFill="1" applyBorder="1" applyAlignment="1">
      <alignment horizontal="right" vertical="center" wrapText="1"/>
    </xf>
    <xf numFmtId="0" fontId="56" fillId="6" borderId="1" xfId="0" applyFont="1" applyFill="1" applyBorder="1" applyAlignment="1">
      <alignment horizontal="right" vertical="center" wrapText="1"/>
    </xf>
    <xf numFmtId="0" fontId="47" fillId="6" borderId="3" xfId="0" applyFont="1" applyFill="1" applyBorder="1" applyAlignment="1">
      <alignment horizontal="right" vertical="center"/>
    </xf>
    <xf numFmtId="0" fontId="101" fillId="2" borderId="13" xfId="0" applyFont="1" applyFill="1" applyBorder="1" applyAlignment="1" applyProtection="1">
      <alignment horizontal="left" vertical="center"/>
      <protection locked="0"/>
    </xf>
    <xf numFmtId="9" fontId="47" fillId="6" borderId="0" xfId="0" applyNumberFormat="1" applyFont="1" applyFill="1" applyAlignment="1">
      <alignment horizontal="right" vertical="center"/>
    </xf>
    <xf numFmtId="10" fontId="56" fillId="6" borderId="1" xfId="0" applyNumberFormat="1" applyFont="1" applyFill="1" applyBorder="1" applyAlignment="1">
      <alignment horizontal="right" vertical="center" wrapText="1"/>
    </xf>
    <xf numFmtId="10" fontId="55" fillId="6" borderId="5" xfId="0" applyNumberFormat="1" applyFont="1" applyFill="1" applyBorder="1" applyAlignment="1">
      <alignment horizontal="right" vertical="center" wrapText="1"/>
    </xf>
    <xf numFmtId="0" fontId="56" fillId="6" borderId="32" xfId="0" applyFont="1" applyFill="1" applyBorder="1" applyAlignment="1">
      <alignment horizontal="right" vertical="center" wrapText="1"/>
    </xf>
    <xf numFmtId="0" fontId="56" fillId="6" borderId="5" xfId="0" applyFont="1" applyFill="1" applyBorder="1" applyAlignment="1">
      <alignment horizontal="right" vertical="center" wrapText="1"/>
    </xf>
    <xf numFmtId="10" fontId="55" fillId="5" borderId="5" xfId="0" applyNumberFormat="1" applyFont="1" applyFill="1" applyBorder="1" applyAlignment="1" applyProtection="1">
      <alignment horizontal="right" vertical="center" wrapText="1"/>
      <protection locked="0"/>
    </xf>
    <xf numFmtId="0" fontId="80" fillId="6" borderId="2" xfId="0" applyFont="1" applyFill="1" applyBorder="1" applyAlignment="1">
      <alignment horizontal="left" vertical="center" wrapText="1"/>
    </xf>
    <xf numFmtId="0" fontId="83" fillId="6" borderId="10" xfId="0" applyFont="1" applyFill="1" applyBorder="1" applyAlignment="1">
      <alignment horizontal="left" vertical="center" wrapText="1"/>
    </xf>
    <xf numFmtId="0" fontId="57" fillId="6" borderId="8" xfId="0" applyFont="1" applyFill="1" applyBorder="1" applyAlignment="1">
      <alignment horizontal="left" vertical="center" wrapText="1"/>
    </xf>
    <xf numFmtId="0" fontId="56" fillId="6" borderId="24" xfId="0" applyFont="1" applyFill="1" applyBorder="1" applyAlignment="1">
      <alignment horizontal="right" vertical="center" wrapText="1"/>
    </xf>
    <xf numFmtId="10" fontId="56" fillId="6" borderId="49" xfId="0" applyNumberFormat="1" applyFont="1" applyFill="1" applyBorder="1" applyAlignment="1">
      <alignment horizontal="right" vertical="center" wrapText="1"/>
    </xf>
    <xf numFmtId="0" fontId="55" fillId="6" borderId="31" xfId="0" applyFont="1" applyFill="1" applyBorder="1">
      <alignment vertical="center"/>
    </xf>
    <xf numFmtId="0" fontId="82"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1"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83" fillId="6" borderId="51" xfId="0" applyFont="1" applyFill="1" applyBorder="1" applyAlignment="1">
      <alignment vertical="center" wrapText="1"/>
    </xf>
    <xf numFmtId="0" fontId="83" fillId="6" borderId="30" xfId="0" applyFont="1" applyFill="1" applyBorder="1" applyAlignment="1">
      <alignment vertical="center" wrapText="1"/>
    </xf>
    <xf numFmtId="10" fontId="109" fillId="6" borderId="1" xfId="0" applyNumberFormat="1" applyFont="1" applyFill="1" applyBorder="1" applyAlignment="1">
      <alignment horizontal="right" vertical="center"/>
    </xf>
    <xf numFmtId="9" fontId="109" fillId="6" borderId="1" xfId="0" applyNumberFormat="1" applyFont="1" applyFill="1" applyBorder="1" applyAlignment="1">
      <alignment horizontal="right" vertical="center"/>
    </xf>
    <xf numFmtId="9" fontId="109" fillId="6" borderId="13" xfId="0" applyNumberFormat="1" applyFont="1" applyFill="1" applyBorder="1" applyAlignment="1">
      <alignment horizontal="right" vertical="center"/>
    </xf>
    <xf numFmtId="49" fontId="50" fillId="6" borderId="25" xfId="0" applyNumberFormat="1" applyFont="1" applyFill="1" applyBorder="1" applyAlignment="1">
      <alignment horizontal="left" vertical="center" wrapText="1"/>
    </xf>
    <xf numFmtId="0" fontId="82" fillId="6" borderId="51" xfId="0" applyFont="1" applyFill="1" applyBorder="1" applyAlignment="1">
      <alignment vertical="center" wrapText="1"/>
    </xf>
    <xf numFmtId="0" fontId="82" fillId="6" borderId="9" xfId="0" applyFont="1" applyFill="1" applyBorder="1" applyAlignment="1">
      <alignment vertical="center" wrapText="1"/>
    </xf>
    <xf numFmtId="0" fontId="82" fillId="6" borderId="9" xfId="0" applyFont="1" applyFill="1" applyBorder="1" applyAlignment="1">
      <alignment horizontal="left" vertical="center"/>
    </xf>
    <xf numFmtId="0" fontId="82" fillId="6" borderId="10" xfId="0" applyFont="1" applyFill="1" applyBorder="1" applyAlignment="1">
      <alignment horizontal="left" vertical="center"/>
    </xf>
    <xf numFmtId="9" fontId="50" fillId="6" borderId="24" xfId="0" applyNumberFormat="1" applyFont="1" applyFill="1" applyBorder="1">
      <alignment vertical="center"/>
    </xf>
    <xf numFmtId="0" fontId="80" fillId="6" borderId="1" xfId="0" applyFont="1" applyFill="1" applyBorder="1" applyAlignment="1">
      <alignment horizontal="right" vertical="center" wrapText="1"/>
    </xf>
    <xf numFmtId="0" fontId="50" fillId="6" borderId="32" xfId="0" applyFont="1" applyFill="1" applyBorder="1" applyAlignment="1">
      <alignment horizontal="right" vertical="center" wrapText="1"/>
    </xf>
    <xf numFmtId="9" fontId="50" fillId="6" borderId="49" xfId="0" applyNumberFormat="1" applyFont="1" applyFill="1" applyBorder="1">
      <alignment vertical="center"/>
    </xf>
    <xf numFmtId="0" fontId="83" fillId="6" borderId="24" xfId="4" applyFont="1" applyFill="1" applyBorder="1" applyAlignment="1">
      <alignment vertical="center"/>
    </xf>
    <xf numFmtId="0" fontId="83" fillId="6" borderId="49" xfId="4" applyFont="1" applyFill="1" applyBorder="1" applyAlignment="1">
      <alignment vertical="center"/>
    </xf>
    <xf numFmtId="176" fontId="6" fillId="0" borderId="0" xfId="4" applyNumberFormat="1" applyFont="1" applyAlignment="1" applyProtection="1">
      <alignment horizontal="right"/>
      <protection locked="0"/>
    </xf>
    <xf numFmtId="0" fontId="57" fillId="5" borderId="24" xfId="4" applyFont="1" applyFill="1" applyBorder="1" applyAlignment="1" applyProtection="1">
      <alignment horizontal="left" vertical="center"/>
      <protection locked="0"/>
    </xf>
    <xf numFmtId="10" fontId="57" fillId="0" borderId="0" xfId="4" applyNumberFormat="1" applyFont="1" applyAlignment="1" applyProtection="1">
      <alignment vertical="center"/>
      <protection locked="0"/>
    </xf>
    <xf numFmtId="0" fontId="57" fillId="6" borderId="64" xfId="4" applyFont="1" applyFill="1" applyBorder="1" applyAlignment="1" applyProtection="1">
      <alignment vertical="center"/>
      <protection locked="0"/>
    </xf>
    <xf numFmtId="9" fontId="6" fillId="0" borderId="0" xfId="4" applyNumberFormat="1" applyFont="1" applyAlignment="1">
      <alignment horizontal="right"/>
    </xf>
    <xf numFmtId="0" fontId="241" fillId="0" borderId="0" xfId="4" applyFont="1" applyAlignment="1">
      <alignment horizontal="right"/>
    </xf>
    <xf numFmtId="176" fontId="241" fillId="0" borderId="0" xfId="4" applyNumberFormat="1" applyFont="1" applyAlignment="1">
      <alignment horizontal="right" vertical="center"/>
    </xf>
    <xf numFmtId="0" fontId="6" fillId="0" borderId="0" xfId="4" applyFont="1" applyAlignment="1">
      <alignment horizontal="right"/>
    </xf>
    <xf numFmtId="0" fontId="53" fillId="6" borderId="16" xfId="4" applyFont="1" applyFill="1" applyBorder="1" applyAlignment="1">
      <alignment horizontal="left"/>
    </xf>
    <xf numFmtId="0" fontId="22" fillId="6" borderId="9" xfId="4" applyFont="1" applyFill="1" applyBorder="1" applyAlignment="1">
      <alignment horizontal="left"/>
    </xf>
    <xf numFmtId="0" fontId="57"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1" fillId="6" borderId="23" xfId="4" applyNumberFormat="1" applyFont="1" applyFill="1" applyBorder="1" applyAlignment="1">
      <alignment horizontal="center"/>
    </xf>
    <xf numFmtId="0" fontId="241"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6" fillId="6" borderId="9" xfId="4" applyFont="1" applyFill="1" applyBorder="1" applyAlignment="1">
      <alignment horizontal="left"/>
    </xf>
    <xf numFmtId="0" fontId="57" fillId="6" borderId="1" xfId="4" applyFont="1" applyFill="1" applyBorder="1" applyAlignment="1">
      <alignment horizontal="left"/>
    </xf>
    <xf numFmtId="0" fontId="286" fillId="6" borderId="24" xfId="4" applyFont="1" applyFill="1" applyBorder="1" applyAlignment="1">
      <alignment horizontal="left"/>
    </xf>
    <xf numFmtId="0" fontId="241" fillId="6" borderId="1" xfId="4" applyFont="1" applyFill="1" applyBorder="1" applyAlignment="1">
      <alignment horizontal="left"/>
    </xf>
    <xf numFmtId="9" fontId="241" fillId="6" borderId="24" xfId="4" applyNumberFormat="1" applyFont="1" applyFill="1" applyBorder="1" applyAlignment="1">
      <alignment horizontal="left"/>
    </xf>
    <xf numFmtId="0" fontId="6" fillId="6" borderId="1" xfId="4" applyFont="1" applyFill="1" applyBorder="1" applyAlignment="1">
      <alignment horizontal="left"/>
    </xf>
    <xf numFmtId="0" fontId="241"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1" fillId="6" borderId="1" xfId="4" applyFont="1" applyFill="1" applyBorder="1"/>
    <xf numFmtId="0" fontId="288" fillId="6" borderId="1" xfId="4" applyFont="1" applyFill="1" applyBorder="1"/>
    <xf numFmtId="0" fontId="288" fillId="6" borderId="32" xfId="4" applyFont="1" applyFill="1" applyBorder="1"/>
    <xf numFmtId="0" fontId="286" fillId="6" borderId="1" xfId="4" applyFont="1" applyFill="1" applyBorder="1" applyAlignment="1">
      <alignment horizontal="right"/>
    </xf>
    <xf numFmtId="0" fontId="286" fillId="6" borderId="23" xfId="4" applyFont="1" applyFill="1" applyBorder="1" applyAlignment="1">
      <alignment horizontal="left"/>
    </xf>
    <xf numFmtId="49" fontId="241" fillId="6" borderId="23" xfId="4" applyNumberFormat="1" applyFont="1" applyFill="1" applyBorder="1" applyAlignment="1">
      <alignment horizontal="right"/>
    </xf>
    <xf numFmtId="49" fontId="241" fillId="6" borderId="25" xfId="4" applyNumberFormat="1" applyFont="1" applyFill="1" applyBorder="1" applyAlignment="1">
      <alignment horizontal="right"/>
    </xf>
    <xf numFmtId="0" fontId="50" fillId="5" borderId="24" xfId="0" applyFont="1" applyFill="1" applyBorder="1" applyAlignment="1" applyProtection="1">
      <alignment horizontal="left" vertical="center"/>
      <protection locked="0"/>
    </xf>
    <xf numFmtId="10" fontId="47" fillId="12" borderId="0" xfId="0" applyNumberFormat="1" applyFont="1" applyFill="1" applyProtection="1">
      <alignment vertical="center"/>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Border="1" applyAlignment="1" applyProtection="1">
      <alignment horizontal="left" vertical="center" wrapText="1"/>
      <protection locked="0"/>
    </xf>
    <xf numFmtId="0" fontId="162" fillId="12" borderId="1" xfId="12" applyFont="1" applyFill="1" applyBorder="1" applyAlignment="1" applyProtection="1">
      <alignment horizontal="left" vertical="center" wrapText="1"/>
      <protection locked="0"/>
    </xf>
    <xf numFmtId="0" fontId="161" fillId="12" borderId="1" xfId="12" applyFill="1" applyBorder="1" applyAlignment="1" applyProtection="1">
      <alignment horizontal="left"/>
      <protection locked="0"/>
    </xf>
    <xf numFmtId="0" fontId="47" fillId="6" borderId="2" xfId="0" applyFont="1" applyFill="1" applyBorder="1" applyAlignment="1">
      <alignment horizontal="right" vertical="center"/>
    </xf>
    <xf numFmtId="0" fontId="47" fillId="6" borderId="13" xfId="0" applyFont="1" applyFill="1" applyBorder="1" applyAlignment="1">
      <alignment horizontal="right" vertical="center"/>
    </xf>
    <xf numFmtId="0" fontId="101" fillId="6" borderId="9" xfId="0" applyFont="1" applyFill="1" applyBorder="1" applyAlignment="1">
      <alignment horizontal="right" vertical="center"/>
    </xf>
    <xf numFmtId="0" fontId="101" fillId="6" borderId="10" xfId="0" applyFont="1" applyFill="1" applyBorder="1" applyAlignment="1">
      <alignment horizontal="right" vertical="center"/>
    </xf>
    <xf numFmtId="0" fontId="101" fillId="6" borderId="1" xfId="0" applyFont="1" applyFill="1" applyBorder="1" applyAlignment="1">
      <alignment horizontal="right" vertical="center"/>
    </xf>
    <xf numFmtId="0" fontId="101" fillId="6" borderId="24"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7" fillId="6" borderId="28" xfId="0" applyFont="1" applyFill="1" applyBorder="1" applyAlignment="1">
      <alignment horizontal="right" vertical="center"/>
    </xf>
    <xf numFmtId="0" fontId="47" fillId="6" borderId="5" xfId="0" applyFont="1" applyFill="1" applyBorder="1" applyAlignment="1">
      <alignment horizontal="right" vertical="center"/>
    </xf>
    <xf numFmtId="0" fontId="50" fillId="6" borderId="47" xfId="0" applyFont="1" applyFill="1" applyBorder="1" applyAlignment="1" applyProtection="1">
      <alignment horizontal="right" vertical="center"/>
      <protection locked="0"/>
    </xf>
    <xf numFmtId="0" fontId="47" fillId="6" borderId="21"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48" xfId="0" applyFont="1" applyFill="1" applyBorder="1" applyAlignment="1">
      <alignment horizontal="center" vertical="center"/>
    </xf>
    <xf numFmtId="0" fontId="103" fillId="0" borderId="1" xfId="0" applyFont="1" applyBorder="1" applyAlignment="1" applyProtection="1">
      <alignment horizontal="right" vertical="center"/>
      <protection locked="0"/>
    </xf>
    <xf numFmtId="0" fontId="103" fillId="0" borderId="24" xfId="0" applyFont="1" applyBorder="1" applyAlignment="1" applyProtection="1">
      <alignment horizontal="right" vertical="center"/>
      <protection locked="0"/>
    </xf>
    <xf numFmtId="0" fontId="47" fillId="6" borderId="29" xfId="0" applyFont="1" applyFill="1" applyBorder="1" applyAlignment="1">
      <alignment horizontal="right" vertical="center"/>
    </xf>
    <xf numFmtId="0" fontId="49" fillId="6" borderId="4" xfId="0" applyFont="1" applyFill="1" applyBorder="1" applyAlignment="1">
      <alignment horizontal="right" vertical="center"/>
    </xf>
    <xf numFmtId="0" fontId="49" fillId="6" borderId="33" xfId="0" applyFont="1" applyFill="1" applyBorder="1" applyAlignment="1">
      <alignment horizontal="right" vertical="center"/>
    </xf>
    <xf numFmtId="0" fontId="50" fillId="0" borderId="24" xfId="0" applyFont="1" applyBorder="1" applyAlignment="1" applyProtection="1">
      <alignment horizontal="right" vertical="center"/>
      <protection locked="0"/>
    </xf>
    <xf numFmtId="0" fontId="50" fillId="0" borderId="49" xfId="0" applyFont="1" applyBorder="1" applyAlignment="1" applyProtection="1">
      <alignment horizontal="right" vertical="center"/>
      <protection locked="0"/>
    </xf>
    <xf numFmtId="0" fontId="49" fillId="0" borderId="10"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50" fillId="0" borderId="23" xfId="0" applyFont="1" applyBorder="1" applyAlignment="1" applyProtection="1">
      <alignment horizontal="right" vertical="center"/>
      <protection locked="0"/>
    </xf>
    <xf numFmtId="0" fontId="50" fillId="0" borderId="1" xfId="0" applyFont="1" applyBorder="1" applyAlignment="1" applyProtection="1">
      <alignment horizontal="right" vertical="center"/>
      <protection locked="0"/>
    </xf>
    <xf numFmtId="0" fontId="50" fillId="0" borderId="25" xfId="0" applyFont="1" applyBorder="1" applyAlignment="1" applyProtection="1">
      <alignment horizontal="right" vertical="center"/>
      <protection locked="0"/>
    </xf>
    <xf numFmtId="0" fontId="50" fillId="0" borderId="32" xfId="0" applyFont="1" applyBorder="1" applyAlignment="1" applyProtection="1">
      <alignment horizontal="right" vertical="center"/>
      <protection locked="0"/>
    </xf>
    <xf numFmtId="0" fontId="50" fillId="6" borderId="5" xfId="0" applyFont="1" applyFill="1" applyBorder="1" applyAlignment="1">
      <alignment horizontal="right" vertical="center"/>
    </xf>
    <xf numFmtId="0" fontId="50" fillId="6" borderId="46" xfId="0" applyFont="1" applyFill="1" applyBorder="1" applyAlignment="1">
      <alignment horizontal="right" vertical="center"/>
    </xf>
    <xf numFmtId="0" fontId="50" fillId="6" borderId="58" xfId="0" applyFont="1" applyFill="1" applyBorder="1" applyAlignment="1">
      <alignment horizontal="right" vertical="center"/>
    </xf>
    <xf numFmtId="0" fontId="50" fillId="6" borderId="33" xfId="0" applyFont="1" applyFill="1" applyBorder="1" applyAlignment="1">
      <alignment horizontal="right" vertical="center"/>
    </xf>
    <xf numFmtId="0" fontId="109" fillId="6" borderId="1" xfId="0" applyFont="1" applyFill="1" applyBorder="1" applyAlignment="1">
      <alignment horizontal="right" vertical="center" wrapText="1"/>
    </xf>
    <xf numFmtId="0" fontId="109" fillId="6" borderId="13" xfId="0" applyFont="1" applyFill="1" applyBorder="1" applyAlignment="1">
      <alignment horizontal="right" vertical="center" wrapText="1"/>
    </xf>
    <xf numFmtId="0" fontId="109" fillId="6" borderId="36" xfId="0" applyFont="1" applyFill="1" applyBorder="1" applyAlignment="1">
      <alignment horizontal="left" vertical="center" wrapText="1"/>
    </xf>
    <xf numFmtId="0" fontId="56" fillId="6" borderId="2" xfId="0" applyFont="1" applyFill="1" applyBorder="1" applyAlignment="1">
      <alignment horizontal="right" vertical="center" wrapText="1"/>
    </xf>
    <xf numFmtId="0" fontId="56" fillId="0" borderId="1" xfId="0" applyFont="1" applyBorder="1" applyAlignment="1" applyProtection="1">
      <alignment horizontal="right" vertical="center" wrapText="1"/>
      <protection locked="0"/>
    </xf>
    <xf numFmtId="0" fontId="57" fillId="6" borderId="1" xfId="0" applyFont="1" applyFill="1" applyBorder="1" applyAlignment="1">
      <alignment horizontal="right" vertical="center" wrapText="1"/>
    </xf>
    <xf numFmtId="0" fontId="55" fillId="6" borderId="32" xfId="0" applyFont="1" applyFill="1" applyBorder="1" applyAlignment="1">
      <alignment horizontal="right" vertical="center" wrapText="1"/>
    </xf>
    <xf numFmtId="0" fontId="56" fillId="0" borderId="24" xfId="0" applyFont="1" applyBorder="1" applyAlignment="1" applyProtection="1">
      <alignment horizontal="left" vertical="center" wrapText="1"/>
      <protection locked="0"/>
    </xf>
    <xf numFmtId="0" fontId="101" fillId="0" borderId="23" xfId="0" applyFont="1" applyBorder="1" applyProtection="1">
      <alignment vertical="center"/>
      <protection locked="0"/>
    </xf>
    <xf numFmtId="0" fontId="107" fillId="6" borderId="1" xfId="0" applyFont="1" applyFill="1" applyBorder="1" applyAlignment="1">
      <alignment horizontal="right" vertical="center" wrapText="1"/>
    </xf>
    <xf numFmtId="0" fontId="107" fillId="6" borderId="24"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61" xfId="0" applyFont="1" applyFill="1" applyBorder="1" applyAlignment="1">
      <alignment horizontal="right" vertical="center" wrapText="1"/>
    </xf>
    <xf numFmtId="0" fontId="49" fillId="6" borderId="24" xfId="0" applyFont="1" applyFill="1" applyBorder="1" applyAlignment="1">
      <alignment horizontal="right" vertical="center"/>
    </xf>
    <xf numFmtId="0" fontId="47" fillId="18" borderId="24" xfId="0" applyFont="1" applyFill="1" applyBorder="1" applyAlignment="1">
      <alignment horizontal="right" vertical="center"/>
    </xf>
    <xf numFmtId="0" fontId="47" fillId="6" borderId="24" xfId="0" applyFont="1" applyFill="1" applyBorder="1" applyAlignment="1">
      <alignment horizontal="right" vertical="center"/>
    </xf>
    <xf numFmtId="0" fontId="50" fillId="7" borderId="0" xfId="0" applyFont="1" applyFill="1" applyAlignment="1">
      <alignment horizontal="right" vertical="center"/>
    </xf>
    <xf numFmtId="0" fontId="50" fillId="7" borderId="1" xfId="0" applyFont="1" applyFill="1" applyBorder="1" applyAlignment="1">
      <alignment horizontal="right" vertical="center"/>
    </xf>
    <xf numFmtId="0" fontId="166" fillId="6" borderId="1" xfId="0" applyFont="1" applyFill="1" applyBorder="1" applyAlignment="1">
      <alignment horizontal="right" vertical="center" wrapText="1"/>
    </xf>
    <xf numFmtId="0" fontId="60" fillId="6" borderId="1" xfId="1" applyFont="1" applyFill="1" applyBorder="1" applyAlignment="1">
      <alignment horizontal="right" vertical="center"/>
    </xf>
    <xf numFmtId="185" fontId="56" fillId="0" borderId="24" xfId="4" applyNumberFormat="1" applyFont="1" applyBorder="1" applyAlignment="1" applyProtection="1">
      <alignment horizontal="left" vertical="center"/>
      <protection locked="0"/>
    </xf>
    <xf numFmtId="185" fontId="56" fillId="0" borderId="1" xfId="4" applyNumberFormat="1" applyFont="1" applyBorder="1" applyAlignment="1" applyProtection="1">
      <alignment horizontal="left" vertical="center"/>
      <protection locked="0"/>
    </xf>
    <xf numFmtId="185" fontId="102" fillId="0" borderId="1" xfId="4" applyNumberFormat="1" applyFont="1" applyBorder="1" applyAlignment="1" applyProtection="1">
      <alignment horizontal="left" vertical="center"/>
      <protection locked="0"/>
    </xf>
    <xf numFmtId="185" fontId="102" fillId="0" borderId="24" xfId="4" applyNumberFormat="1" applyFont="1" applyBorder="1" applyAlignment="1" applyProtection="1">
      <alignment horizontal="left" vertical="center"/>
      <protection locked="0"/>
    </xf>
    <xf numFmtId="185" fontId="105" fillId="6" borderId="24" xfId="4" applyNumberFormat="1" applyFont="1" applyFill="1" applyBorder="1" applyAlignment="1" applyProtection="1">
      <alignment horizontal="left" vertical="center"/>
      <protection locked="0"/>
    </xf>
    <xf numFmtId="185" fontId="57" fillId="6" borderId="24" xfId="4" applyNumberFormat="1" applyFont="1" applyFill="1" applyBorder="1" applyAlignment="1" applyProtection="1">
      <alignment horizontal="left" vertical="center"/>
      <protection locked="0"/>
    </xf>
    <xf numFmtId="0" fontId="50" fillId="0" borderId="23"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102" fillId="6" borderId="98" xfId="0" applyFont="1" applyFill="1" applyBorder="1" applyAlignment="1">
      <alignment horizontal="center" vertical="center" wrapText="1"/>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protection locked="0"/>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63" fillId="0" borderId="1" xfId="0" applyFont="1" applyBorder="1" applyAlignment="1" applyProtection="1">
      <alignment horizontal="right" vertical="center"/>
      <protection locked="0"/>
    </xf>
    <xf numFmtId="0" fontId="63" fillId="6" borderId="1" xfId="0" applyFont="1" applyFill="1" applyBorder="1" applyAlignment="1">
      <alignment horizontal="right" vertical="center"/>
    </xf>
    <xf numFmtId="0" fontId="60" fillId="6" borderId="2" xfId="0" applyFont="1" applyFill="1" applyBorder="1" applyAlignment="1">
      <alignment horizontal="right" vertical="center"/>
    </xf>
    <xf numFmtId="0" fontId="61" fillId="6" borderId="0" xfId="0" applyFont="1" applyFill="1" applyAlignment="1" applyProtection="1">
      <alignment horizontal="right" vertical="center"/>
      <protection locked="0"/>
    </xf>
    <xf numFmtId="0" fontId="60" fillId="6" borderId="83" xfId="0" applyFont="1" applyFill="1" applyBorder="1" applyAlignment="1">
      <alignment horizontal="right" vertical="center"/>
    </xf>
    <xf numFmtId="0" fontId="47" fillId="6" borderId="34" xfId="0" applyFont="1" applyFill="1" applyBorder="1" applyAlignment="1">
      <alignment horizontal="right" vertical="center" wrapText="1"/>
    </xf>
    <xf numFmtId="0" fontId="47" fillId="6" borderId="2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54" fillId="6" borderId="33"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8"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54" fillId="6" borderId="61" xfId="0" applyFont="1" applyFill="1" applyBorder="1" applyAlignment="1">
      <alignment horizontal="right" vertical="center" wrapText="1"/>
    </xf>
    <xf numFmtId="0" fontId="54" fillId="6" borderId="24" xfId="0" applyFont="1" applyFill="1" applyBorder="1" applyAlignment="1">
      <alignment horizontal="right" vertical="center" wrapText="1"/>
    </xf>
    <xf numFmtId="0" fontId="47" fillId="6" borderId="8" xfId="0" applyFont="1" applyFill="1" applyBorder="1" applyAlignment="1">
      <alignment horizontal="right" vertical="center" wrapText="1"/>
    </xf>
    <xf numFmtId="0" fontId="54" fillId="6" borderId="49" xfId="0" applyFont="1" applyFill="1" applyBorder="1" applyAlignment="1">
      <alignment horizontal="right" vertical="center" wrapText="1"/>
    </xf>
    <xf numFmtId="0" fontId="54" fillId="6" borderId="5" xfId="0" applyFont="1" applyFill="1" applyBorder="1" applyAlignment="1">
      <alignment horizontal="right" vertical="center" wrapText="1"/>
    </xf>
    <xf numFmtId="0" fontId="47" fillId="6" borderId="67" xfId="0" applyFont="1" applyFill="1" applyBorder="1" applyAlignment="1">
      <alignment horizontal="right" vertical="center" wrapText="1"/>
    </xf>
    <xf numFmtId="0" fontId="47" fillId="6" borderId="10" xfId="0" applyFont="1" applyFill="1" applyBorder="1" applyAlignment="1">
      <alignment horizontal="right" vertical="center" wrapText="1"/>
    </xf>
    <xf numFmtId="0" fontId="47" fillId="6" borderId="24" xfId="0" applyFont="1" applyFill="1" applyBorder="1" applyAlignment="1">
      <alignment horizontal="right" vertical="center" wrapText="1"/>
    </xf>
    <xf numFmtId="0" fontId="54" fillId="6" borderId="10" xfId="0" applyFont="1" applyFill="1" applyBorder="1" applyAlignment="1">
      <alignment horizontal="right" vertical="center" wrapText="1"/>
    </xf>
    <xf numFmtId="0" fontId="53" fillId="6" borderId="38" xfId="0" applyFont="1" applyFill="1" applyBorder="1" applyAlignment="1">
      <alignment horizontal="right" vertical="center" wrapText="1"/>
    </xf>
    <xf numFmtId="0" fontId="53" fillId="6" borderId="47" xfId="0" applyFont="1" applyFill="1" applyBorder="1" applyAlignment="1" applyProtection="1">
      <alignment horizontal="right" vertical="center" wrapText="1"/>
      <protection locked="0"/>
    </xf>
    <xf numFmtId="0" fontId="54" fillId="6" borderId="5" xfId="0" applyFont="1" applyFill="1" applyBorder="1" applyAlignment="1">
      <alignment horizontal="right" vertical="center"/>
    </xf>
    <xf numFmtId="0" fontId="52" fillId="6" borderId="5" xfId="0" applyFont="1" applyFill="1" applyBorder="1" applyAlignment="1">
      <alignment horizontal="right" vertical="center"/>
    </xf>
    <xf numFmtId="0" fontId="61" fillId="0" borderId="0" xfId="0" applyFont="1" applyAlignment="1" applyProtection="1">
      <alignment horizontal="right" vertical="center"/>
      <protection locked="0"/>
    </xf>
    <xf numFmtId="0" fontId="60" fillId="6" borderId="0" xfId="0" applyFont="1" applyFill="1" applyAlignment="1">
      <alignment horizontal="right" vertical="center"/>
    </xf>
    <xf numFmtId="0" fontId="54" fillId="6" borderId="29" xfId="0" applyFont="1" applyFill="1" applyBorder="1" applyAlignment="1">
      <alignment horizontal="right" vertical="center" wrapText="1"/>
    </xf>
    <xf numFmtId="0" fontId="54" fillId="6" borderId="4" xfId="0" applyFont="1" applyFill="1" applyBorder="1" applyAlignment="1">
      <alignment horizontal="right" vertical="center" wrapText="1"/>
    </xf>
    <xf numFmtId="0" fontId="54" fillId="6" borderId="58" xfId="0" applyFont="1" applyFill="1" applyBorder="1" applyAlignment="1">
      <alignment horizontal="right" vertical="center" wrapText="1"/>
    </xf>
    <xf numFmtId="0" fontId="54" fillId="6" borderId="46" xfId="0" applyFont="1" applyFill="1" applyBorder="1" applyAlignment="1">
      <alignment horizontal="right" vertical="center" wrapText="1"/>
    </xf>
    <xf numFmtId="0" fontId="47" fillId="6" borderId="4" xfId="0" applyFont="1" applyFill="1" applyBorder="1" applyAlignment="1">
      <alignment horizontal="right" vertical="center" wrapText="1"/>
    </xf>
    <xf numFmtId="0" fontId="53" fillId="6" borderId="52" xfId="0" applyFont="1" applyFill="1" applyBorder="1" applyAlignment="1">
      <alignment horizontal="right" vertical="center" wrapText="1"/>
    </xf>
    <xf numFmtId="0" fontId="53" fillId="6" borderId="47" xfId="0" applyFont="1" applyFill="1" applyBorder="1" applyAlignment="1">
      <alignment horizontal="right" vertical="center" wrapText="1"/>
    </xf>
    <xf numFmtId="0" fontId="60" fillId="6" borderId="0" xfId="0" applyFont="1" applyFill="1">
      <alignment vertical="center"/>
    </xf>
    <xf numFmtId="0" fontId="47" fillId="6" borderId="34" xfId="0" applyFont="1" applyFill="1" applyBorder="1" applyAlignment="1">
      <alignment horizontal="center" vertical="center" wrapText="1"/>
    </xf>
    <xf numFmtId="0" fontId="54" fillId="6" borderId="4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54" fillId="6" borderId="24"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47" fillId="6" borderId="67"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46" xfId="0" applyFont="1" applyFill="1" applyBorder="1" applyAlignment="1">
      <alignment horizontal="center" vertical="center" wrapText="1"/>
    </xf>
    <xf numFmtId="49" fontId="47" fillId="6" borderId="5" xfId="0" applyNumberFormat="1" applyFont="1" applyFill="1" applyBorder="1" applyAlignment="1">
      <alignment horizontal="right" vertical="center"/>
    </xf>
    <xf numFmtId="49" fontId="54"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0" fontId="54" fillId="6" borderId="3" xfId="0" applyFont="1" applyFill="1" applyBorder="1" applyAlignment="1">
      <alignment horizontal="right" vertical="center"/>
    </xf>
    <xf numFmtId="0" fontId="52" fillId="6" borderId="3" xfId="0" applyFont="1" applyFill="1" applyBorder="1" applyAlignment="1">
      <alignment horizontal="right" vertical="center"/>
    </xf>
    <xf numFmtId="0" fontId="47" fillId="6" borderId="75" xfId="0" applyFont="1" applyFill="1" applyBorder="1" applyAlignment="1">
      <alignment horizontal="center" vertical="center" wrapText="1"/>
    </xf>
    <xf numFmtId="0" fontId="47" fillId="6" borderId="76" xfId="0" applyFont="1" applyFill="1" applyBorder="1" applyAlignment="1">
      <alignment horizontal="center" vertical="center" wrapText="1"/>
    </xf>
    <xf numFmtId="49" fontId="47" fillId="6" borderId="5" xfId="0" applyNumberFormat="1" applyFont="1" applyFill="1" applyBorder="1" applyAlignment="1">
      <alignment horizontal="center" vertical="center"/>
    </xf>
    <xf numFmtId="49" fontId="54"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0" fontId="47" fillId="6" borderId="3" xfId="0" applyFont="1" applyFill="1" applyBorder="1" applyAlignment="1">
      <alignment horizontal="center" vertical="center"/>
    </xf>
    <xf numFmtId="0" fontId="54"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4" fillId="6" borderId="28" xfId="0" applyFont="1" applyFill="1" applyBorder="1" applyAlignment="1">
      <alignment horizontal="center" vertical="center" wrapText="1"/>
    </xf>
    <xf numFmtId="0" fontId="56" fillId="6" borderId="1" xfId="1" applyFont="1" applyFill="1" applyBorder="1" applyAlignment="1">
      <alignment horizontal="right"/>
    </xf>
    <xf numFmtId="0" fontId="47" fillId="0" borderId="1" xfId="0" applyFont="1" applyBorder="1" applyAlignment="1" applyProtection="1">
      <alignment horizontal="left" vertical="center" wrapText="1"/>
      <protection locked="0"/>
    </xf>
    <xf numFmtId="0" fontId="47" fillId="0" borderId="48" xfId="0" applyFont="1" applyBorder="1" applyAlignment="1" applyProtection="1">
      <alignment horizontal="center" vertical="center" wrapText="1"/>
      <protection locked="0"/>
    </xf>
    <xf numFmtId="0" fontId="47" fillId="6" borderId="2"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50" fillId="6" borderId="10" xfId="0" applyFont="1" applyFill="1" applyBorder="1" applyAlignment="1">
      <alignment horizontal="center" vertical="center" wrapText="1"/>
    </xf>
    <xf numFmtId="0" fontId="50" fillId="6" borderId="23" xfId="0" applyFont="1" applyFill="1" applyBorder="1" applyAlignment="1">
      <alignment horizontal="center" vertical="center" wrapText="1"/>
    </xf>
    <xf numFmtId="0" fontId="50" fillId="6" borderId="24" xfId="0" applyFont="1" applyFill="1" applyBorder="1" applyAlignment="1">
      <alignment horizontal="center" vertical="center" wrapText="1"/>
    </xf>
    <xf numFmtId="0" fontId="47" fillId="6" borderId="1" xfId="0" applyFont="1" applyFill="1" applyBorder="1" applyAlignment="1">
      <alignment horizontal="right" vertical="center"/>
    </xf>
    <xf numFmtId="0" fontId="50" fillId="0" borderId="3" xfId="0" applyFont="1" applyBorder="1" applyAlignment="1" applyProtection="1">
      <alignment horizontal="right" vertical="center"/>
      <protection locked="0"/>
    </xf>
    <xf numFmtId="0" fontId="47" fillId="6" borderId="23" xfId="0" applyFont="1" applyFill="1" applyBorder="1" applyAlignment="1">
      <alignment horizontal="right" vertical="center"/>
    </xf>
    <xf numFmtId="0" fontId="47" fillId="0" borderId="22" xfId="0" applyFont="1" applyBorder="1" applyAlignment="1" applyProtection="1">
      <alignment horizontal="right" vertical="center"/>
      <protection locked="0"/>
    </xf>
    <xf numFmtId="0" fontId="47" fillId="0" borderId="61" xfId="0" applyFont="1" applyBorder="1" applyAlignment="1" applyProtection="1">
      <alignment horizontal="right" vertical="center"/>
      <protection locked="0"/>
    </xf>
    <xf numFmtId="0" fontId="47" fillId="6" borderId="11" xfId="0" applyFont="1" applyFill="1" applyBorder="1" applyAlignment="1">
      <alignment horizontal="right" vertical="center"/>
    </xf>
    <xf numFmtId="0" fontId="49" fillId="6" borderId="25" xfId="0" applyFont="1" applyFill="1" applyBorder="1" applyAlignment="1">
      <alignment horizontal="right" vertical="center"/>
    </xf>
    <xf numFmtId="0" fontId="49" fillId="6" borderId="76" xfId="0" applyFont="1" applyFill="1" applyBorder="1" applyAlignment="1">
      <alignment horizontal="right" vertical="center"/>
    </xf>
    <xf numFmtId="0" fontId="47" fillId="6" borderId="48" xfId="0" applyFont="1" applyFill="1" applyBorder="1" applyAlignment="1">
      <alignment horizontal="right" vertical="center"/>
    </xf>
    <xf numFmtId="0" fontId="47" fillId="6" borderId="22" xfId="0" applyFont="1" applyFill="1" applyBorder="1" applyAlignment="1">
      <alignment horizontal="right" vertical="center"/>
    </xf>
    <xf numFmtId="0" fontId="47" fillId="6" borderId="61" xfId="0" applyFont="1" applyFill="1" applyBorder="1" applyAlignment="1">
      <alignment horizontal="right" vertical="center"/>
    </xf>
    <xf numFmtId="0" fontId="49" fillId="6" borderId="66" xfId="0" applyFont="1" applyFill="1" applyBorder="1" applyAlignment="1">
      <alignment horizontal="right" vertical="center"/>
    </xf>
    <xf numFmtId="0" fontId="49" fillId="6" borderId="32" xfId="0" applyFont="1" applyFill="1" applyBorder="1" applyAlignment="1">
      <alignment horizontal="right" vertical="center"/>
    </xf>
    <xf numFmtId="0" fontId="49" fillId="6" borderId="49" xfId="0" applyFont="1" applyFill="1" applyBorder="1" applyAlignment="1">
      <alignment horizontal="right" vertical="center"/>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11" xfId="0" applyFont="1" applyBorder="1" applyAlignment="1" applyProtection="1">
      <alignment horizontal="right" vertical="center"/>
      <protection locked="0"/>
    </xf>
    <xf numFmtId="0" fontId="47" fillId="0" borderId="13" xfId="0" applyFont="1" applyBorder="1" applyAlignment="1" applyProtection="1">
      <alignment horizontal="right" vertical="center"/>
      <protection locked="0"/>
    </xf>
    <xf numFmtId="0" fontId="49" fillId="6" borderId="1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50" fillId="6" borderId="23" xfId="1" applyFont="1" applyFill="1" applyBorder="1" applyAlignment="1">
      <alignment horizontal="right" vertical="center"/>
    </xf>
    <xf numFmtId="0" fontId="50" fillId="0" borderId="1" xfId="1" applyFont="1" applyBorder="1" applyAlignment="1" applyProtection="1">
      <alignment horizontal="right" vertical="center"/>
      <protection locked="0"/>
    </xf>
    <xf numFmtId="0" fontId="47" fillId="6" borderId="1"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7" fillId="6" borderId="25" xfId="0" applyFont="1" applyFill="1" applyBorder="1" applyAlignment="1">
      <alignment horizontal="right" vertical="center"/>
    </xf>
    <xf numFmtId="0" fontId="47" fillId="6" borderId="32" xfId="1" applyFont="1" applyFill="1" applyBorder="1" applyAlignment="1">
      <alignment horizontal="right" vertical="center"/>
    </xf>
    <xf numFmtId="0" fontId="54" fillId="0" borderId="10" xfId="1" applyFont="1" applyBorder="1" applyAlignment="1">
      <alignment horizontal="right" vertical="center"/>
    </xf>
    <xf numFmtId="0" fontId="47" fillId="0" borderId="24" xfId="1" applyFont="1" applyBorder="1" applyAlignment="1" applyProtection="1">
      <alignment horizontal="right" vertical="center"/>
      <protection locked="0"/>
    </xf>
    <xf numFmtId="0" fontId="54" fillId="6" borderId="24" xfId="1" applyFont="1" applyFill="1" applyBorder="1" applyAlignment="1">
      <alignment horizontal="right" vertical="center"/>
    </xf>
    <xf numFmtId="0" fontId="54" fillId="6" borderId="49" xfId="1" applyFont="1" applyFill="1" applyBorder="1" applyAlignment="1">
      <alignment horizontal="right" vertical="center"/>
    </xf>
    <xf numFmtId="0" fontId="56" fillId="0" borderId="10" xfId="1" applyFont="1" applyBorder="1" applyAlignment="1" applyProtection="1">
      <alignment horizontal="right" vertical="center"/>
      <protection locked="0"/>
    </xf>
    <xf numFmtId="0" fontId="56" fillId="0" borderId="24" xfId="1" applyFont="1" applyBorder="1" applyAlignment="1" applyProtection="1">
      <alignment horizontal="right" vertical="center"/>
      <protection locked="0"/>
    </xf>
    <xf numFmtId="0" fontId="56" fillId="0" borderId="49" xfId="1" applyFont="1" applyBorder="1" applyAlignment="1" applyProtection="1">
      <alignment horizontal="right" vertical="center"/>
      <protection locked="0"/>
    </xf>
    <xf numFmtId="0" fontId="56" fillId="0" borderId="8" xfId="1" applyFont="1" applyBorder="1" applyAlignment="1" applyProtection="1">
      <alignment horizontal="right" vertical="center"/>
      <protection locked="0"/>
    </xf>
    <xf numFmtId="0" fontId="56" fillId="0" borderId="61" xfId="1"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6" borderId="24" xfId="1" applyFont="1" applyFill="1" applyBorder="1" applyAlignment="1">
      <alignment horizontal="right" vertical="center"/>
    </xf>
    <xf numFmtId="0" fontId="47" fillId="6" borderId="25" xfId="1" applyFont="1" applyFill="1" applyBorder="1" applyAlignment="1">
      <alignment horizontal="right" vertical="center"/>
    </xf>
    <xf numFmtId="0" fontId="47" fillId="6" borderId="66" xfId="1" applyFont="1" applyFill="1" applyBorder="1" applyAlignment="1">
      <alignment horizontal="right" vertical="center"/>
    </xf>
    <xf numFmtId="0" fontId="47" fillId="6" borderId="68" xfId="1" applyFont="1" applyFill="1" applyBorder="1" applyAlignment="1">
      <alignment horizontal="right" vertical="center"/>
    </xf>
    <xf numFmtId="0" fontId="47" fillId="0" borderId="23" xfId="0" applyFont="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47" fillId="0" borderId="23" xfId="0" applyFont="1" applyBorder="1" applyProtection="1">
      <alignment vertical="center"/>
      <protection locked="0"/>
    </xf>
    <xf numFmtId="0" fontId="47" fillId="6" borderId="23" xfId="0" applyFont="1" applyFill="1" applyBorder="1">
      <alignment vertical="center"/>
    </xf>
    <xf numFmtId="0" fontId="47" fillId="6" borderId="25" xfId="0" applyFont="1" applyFill="1" applyBorder="1">
      <alignment vertical="center"/>
    </xf>
    <xf numFmtId="0" fontId="47" fillId="0" borderId="3" xfId="0" applyFont="1" applyBorder="1" applyProtection="1">
      <alignment vertical="center"/>
      <protection locked="0"/>
    </xf>
    <xf numFmtId="0" fontId="47" fillId="0" borderId="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49" fontId="55" fillId="20" borderId="25" xfId="0" applyNumberFormat="1" applyFont="1" applyFill="1" applyBorder="1" applyAlignment="1">
      <alignment horizontal="left" vertical="center"/>
    </xf>
    <xf numFmtId="0" fontId="178" fillId="20" borderId="32" xfId="0" applyFont="1" applyFill="1" applyBorder="1" applyProtection="1">
      <alignment vertical="center"/>
      <protection locked="0"/>
    </xf>
    <xf numFmtId="185" fontId="105" fillId="20" borderId="32" xfId="0" applyNumberFormat="1" applyFont="1" applyFill="1" applyBorder="1" applyAlignment="1">
      <alignment horizontal="right" vertical="center"/>
    </xf>
    <xf numFmtId="49" fontId="55" fillId="20" borderId="23" xfId="0" applyNumberFormat="1" applyFont="1" applyFill="1" applyBorder="1">
      <alignment vertical="center"/>
    </xf>
    <xf numFmtId="0" fontId="141" fillId="20" borderId="1" xfId="0" applyFont="1" applyFill="1" applyBorder="1" applyAlignment="1">
      <alignment vertical="center" wrapText="1"/>
    </xf>
    <xf numFmtId="0" fontId="55" fillId="20" borderId="32" xfId="0" applyFont="1" applyFill="1" applyBorder="1" applyAlignment="1">
      <alignment horizontal="left" vertical="center"/>
    </xf>
    <xf numFmtId="181" fontId="50" fillId="6" borderId="48" xfId="0" applyNumberFormat="1" applyFont="1" applyFill="1" applyBorder="1" applyAlignment="1">
      <alignment horizontal="right" vertical="center" wrapText="1"/>
    </xf>
    <xf numFmtId="185" fontId="55" fillId="20" borderId="1" xfId="0" applyNumberFormat="1" applyFont="1" applyFill="1" applyBorder="1" applyAlignment="1">
      <alignment horizontal="right" vertical="center"/>
    </xf>
    <xf numFmtId="185" fontId="55" fillId="20" borderId="32" xfId="0" applyNumberFormat="1" applyFont="1" applyFill="1" applyBorder="1" applyAlignment="1">
      <alignment horizontal="right" vertical="center"/>
    </xf>
    <xf numFmtId="185" fontId="105" fillId="20" borderId="32" xfId="0" applyNumberFormat="1" applyFont="1" applyFill="1" applyBorder="1" applyAlignment="1" applyProtection="1">
      <alignment horizontal="right" vertical="center"/>
      <protection locked="0"/>
    </xf>
    <xf numFmtId="176" fontId="54" fillId="6" borderId="6" xfId="1" applyNumberFormat="1" applyFont="1" applyFill="1" applyBorder="1" applyAlignment="1">
      <alignment vertical="center" wrapText="1"/>
    </xf>
    <xf numFmtId="0" fontId="131" fillId="6" borderId="23" xfId="0" applyFont="1" applyFill="1" applyBorder="1" applyAlignment="1">
      <alignment vertical="center" wrapText="1"/>
    </xf>
    <xf numFmtId="0" fontId="131" fillId="6" borderId="12" xfId="0" applyFont="1" applyFill="1" applyBorder="1" applyAlignment="1">
      <alignment vertical="center" wrapText="1"/>
    </xf>
    <xf numFmtId="0" fontId="131" fillId="6" borderId="6" xfId="0" applyFont="1" applyFill="1" applyBorder="1" applyAlignment="1">
      <alignment vertical="center" wrapText="1"/>
    </xf>
    <xf numFmtId="9" fontId="127" fillId="6" borderId="67" xfId="0" applyNumberFormat="1" applyFont="1" applyFill="1" applyBorder="1" applyProtection="1">
      <alignment vertical="center"/>
      <protection locked="0"/>
    </xf>
    <xf numFmtId="0" fontId="57" fillId="5" borderId="68" xfId="0" applyFont="1" applyFill="1" applyBorder="1" applyAlignment="1" applyProtection="1">
      <alignment horizontal="left" vertical="center" wrapText="1"/>
      <protection locked="0"/>
    </xf>
    <xf numFmtId="0" fontId="138" fillId="6" borderId="26" xfId="0" applyFont="1" applyFill="1" applyBorder="1" applyProtection="1">
      <alignment vertical="center"/>
      <protection locked="0"/>
    </xf>
    <xf numFmtId="9" fontId="231" fillId="6" borderId="67" xfId="0" applyNumberFormat="1" applyFont="1" applyFill="1" applyBorder="1" applyProtection="1">
      <alignment vertical="center"/>
      <protection locked="0"/>
    </xf>
    <xf numFmtId="0" fontId="57" fillId="5" borderId="68" xfId="0" applyFont="1" applyFill="1" applyBorder="1" applyAlignment="1" applyProtection="1">
      <alignment horizontal="right" vertical="center" wrapText="1"/>
      <protection locked="0"/>
    </xf>
    <xf numFmtId="0" fontId="141" fillId="6" borderId="58" xfId="0" applyFont="1" applyFill="1" applyBorder="1">
      <alignment vertical="center"/>
    </xf>
    <xf numFmtId="49" fontId="50" fillId="6" borderId="18" xfId="0" applyNumberFormat="1" applyFont="1" applyFill="1" applyBorder="1" applyAlignment="1" applyProtection="1">
      <alignment horizontal="right" vertical="center"/>
      <protection locked="0"/>
    </xf>
    <xf numFmtId="185" fontId="55" fillId="6" borderId="2" xfId="0" applyNumberFormat="1" applyFont="1" applyFill="1" applyBorder="1" applyAlignment="1" applyProtection="1">
      <alignment horizontal="right" vertical="center"/>
      <protection locked="0"/>
    </xf>
    <xf numFmtId="185" fontId="55" fillId="6" borderId="2" xfId="0" applyNumberFormat="1" applyFont="1" applyFill="1" applyBorder="1" applyAlignment="1">
      <alignment horizontal="right" vertical="center"/>
    </xf>
    <xf numFmtId="192" fontId="55" fillId="0" borderId="78" xfId="0" applyNumberFormat="1" applyFont="1" applyBorder="1" applyAlignment="1" applyProtection="1">
      <alignment horizontal="right" vertical="center"/>
      <protection locked="0"/>
    </xf>
    <xf numFmtId="176" fontId="50" fillId="6" borderId="22" xfId="0" applyNumberFormat="1" applyFont="1" applyFill="1" applyBorder="1" applyAlignment="1">
      <alignment horizontal="right" vertical="center"/>
    </xf>
    <xf numFmtId="176" fontId="50" fillId="6" borderId="46" xfId="0" applyNumberFormat="1" applyFont="1" applyFill="1" applyBorder="1" applyAlignment="1">
      <alignment horizontal="right" vertical="center"/>
    </xf>
    <xf numFmtId="176" fontId="50" fillId="6" borderId="1" xfId="0" applyNumberFormat="1" applyFont="1" applyFill="1" applyBorder="1" applyAlignment="1" applyProtection="1">
      <alignment horizontal="right" vertical="center"/>
      <protection locked="0"/>
    </xf>
    <xf numFmtId="0" fontId="50" fillId="6" borderId="7" xfId="0" applyFont="1" applyFill="1" applyBorder="1" applyProtection="1">
      <alignment vertical="center"/>
      <protection locked="0"/>
    </xf>
    <xf numFmtId="49" fontId="50" fillId="6" borderId="11" xfId="0" applyNumberFormat="1" applyFont="1" applyFill="1" applyBorder="1">
      <alignment vertical="center"/>
    </xf>
    <xf numFmtId="176" fontId="50" fillId="6" borderId="13" xfId="0" applyNumberFormat="1" applyFont="1" applyFill="1" applyBorder="1">
      <alignment vertical="center"/>
    </xf>
    <xf numFmtId="176" fontId="50" fillId="6" borderId="2" xfId="0" applyNumberFormat="1" applyFont="1" applyFill="1" applyBorder="1">
      <alignment vertical="center"/>
    </xf>
    <xf numFmtId="0" fontId="50" fillId="6" borderId="13" xfId="0" applyFont="1" applyFill="1" applyBorder="1" applyAlignment="1" applyProtection="1">
      <alignment vertical="center" wrapText="1"/>
      <protection locked="0"/>
    </xf>
    <xf numFmtId="0" fontId="50" fillId="6" borderId="2" xfId="0" applyFont="1" applyFill="1" applyBorder="1" applyAlignment="1" applyProtection="1">
      <alignment vertical="center" wrapText="1"/>
      <protection locked="0"/>
    </xf>
    <xf numFmtId="49" fontId="50" fillId="6" borderId="55" xfId="0" applyNumberFormat="1" applyFont="1" applyFill="1" applyBorder="1" applyAlignment="1" applyProtection="1">
      <alignment horizontal="center" vertical="center"/>
      <protection locked="0"/>
    </xf>
    <xf numFmtId="49" fontId="50" fillId="6" borderId="41" xfId="0" applyNumberFormat="1" applyFont="1" applyFill="1" applyBorder="1" applyAlignment="1" applyProtection="1">
      <alignment horizontal="center" vertical="center"/>
      <protection locked="0"/>
    </xf>
    <xf numFmtId="49" fontId="50" fillId="6" borderId="91" xfId="0" applyNumberFormat="1" applyFont="1" applyFill="1" applyBorder="1" applyAlignment="1">
      <alignment horizontal="center" vertical="center"/>
    </xf>
    <xf numFmtId="49" fontId="50" fillId="6" borderId="14" xfId="0" applyNumberFormat="1" applyFont="1" applyFill="1" applyBorder="1" applyAlignment="1">
      <alignment horizontal="right" vertical="center"/>
    </xf>
    <xf numFmtId="49" fontId="50" fillId="6" borderId="11" xfId="0" applyNumberFormat="1" applyFont="1" applyFill="1" applyBorder="1" applyAlignment="1">
      <alignment horizontal="center" vertical="center"/>
    </xf>
    <xf numFmtId="49" fontId="50" fillId="6" borderId="14" xfId="0" applyNumberFormat="1" applyFont="1" applyFill="1" applyBorder="1" applyAlignment="1">
      <alignment horizontal="center" vertical="center"/>
    </xf>
    <xf numFmtId="49" fontId="50" fillId="6" borderId="41" xfId="0" applyNumberFormat="1" applyFont="1" applyFill="1" applyBorder="1" applyAlignment="1">
      <alignment horizontal="center" vertical="center"/>
    </xf>
    <xf numFmtId="49" fontId="50" fillId="6" borderId="11" xfId="0" applyNumberFormat="1" applyFont="1" applyFill="1" applyBorder="1" applyAlignment="1" applyProtection="1">
      <alignment horizontal="right" vertical="center"/>
      <protection locked="0"/>
    </xf>
    <xf numFmtId="49" fontId="50" fillId="6" borderId="41" xfId="0" applyNumberFormat="1" applyFont="1" applyFill="1" applyBorder="1" applyProtection="1">
      <alignment vertical="center"/>
      <protection locked="0"/>
    </xf>
    <xf numFmtId="49" fontId="50" fillId="6" borderId="23" xfId="0" applyNumberFormat="1" applyFont="1" applyFill="1" applyBorder="1" applyAlignment="1" applyProtection="1">
      <alignment horizontal="right" vertical="center"/>
      <protection locked="0"/>
    </xf>
    <xf numFmtId="49" fontId="50" fillId="6" borderId="11" xfId="0" applyNumberFormat="1" applyFont="1" applyFill="1" applyBorder="1" applyAlignment="1" applyProtection="1">
      <alignment horizontal="center" vertical="center"/>
      <protection locked="0"/>
    </xf>
    <xf numFmtId="0" fontId="22" fillId="6" borderId="0" xfId="0" applyFont="1" applyFill="1" applyProtection="1">
      <alignment vertical="center"/>
      <protection locked="0"/>
    </xf>
    <xf numFmtId="185" fontId="56" fillId="6" borderId="24" xfId="0" applyNumberFormat="1" applyFont="1" applyFill="1" applyBorder="1" applyAlignment="1">
      <alignment horizontal="right" vertical="center"/>
    </xf>
    <xf numFmtId="185" fontId="57" fillId="6" borderId="24" xfId="0" applyNumberFormat="1" applyFont="1" applyFill="1" applyBorder="1" applyAlignment="1">
      <alignment horizontal="right" vertical="center"/>
    </xf>
    <xf numFmtId="185" fontId="57" fillId="6" borderId="16" xfId="0" applyNumberFormat="1" applyFont="1" applyFill="1" applyBorder="1" applyAlignment="1">
      <alignment horizontal="right" vertical="center"/>
    </xf>
    <xf numFmtId="185" fontId="50" fillId="6" borderId="13" xfId="0" applyNumberFormat="1" applyFont="1" applyFill="1" applyBorder="1">
      <alignment vertical="center"/>
    </xf>
    <xf numFmtId="185" fontId="50" fillId="6" borderId="2" xfId="0" applyNumberFormat="1" applyFont="1" applyFill="1" applyBorder="1">
      <alignment vertical="center"/>
    </xf>
    <xf numFmtId="9" fontId="108" fillId="6" borderId="65" xfId="17" applyFont="1" applyFill="1" applyBorder="1" applyAlignment="1" applyProtection="1">
      <alignment horizontal="right" vertical="center"/>
    </xf>
    <xf numFmtId="181" fontId="47" fillId="6" borderId="8" xfId="17" applyNumberFormat="1" applyFont="1" applyFill="1" applyBorder="1" applyAlignment="1" applyProtection="1">
      <alignment horizontal="right" vertical="center"/>
    </xf>
    <xf numFmtId="181" fontId="47" fillId="6" borderId="49" xfId="17" applyNumberFormat="1" applyFont="1" applyFill="1" applyBorder="1" applyAlignment="1" applyProtection="1">
      <alignment horizontal="right" vertical="center"/>
    </xf>
    <xf numFmtId="10" fontId="57" fillId="6" borderId="1" xfId="17" applyNumberFormat="1" applyFont="1" applyFill="1" applyBorder="1" applyAlignment="1" applyProtection="1">
      <alignment horizontal="right" vertical="center" wrapText="1"/>
    </xf>
    <xf numFmtId="185" fontId="56" fillId="7" borderId="24" xfId="0" applyNumberFormat="1" applyFont="1" applyFill="1" applyBorder="1" applyAlignment="1" applyProtection="1">
      <alignment horizontal="right" vertical="center"/>
      <protection locked="0"/>
    </xf>
    <xf numFmtId="185" fontId="102" fillId="6" borderId="24" xfId="0" applyNumberFormat="1" applyFont="1" applyFill="1" applyBorder="1" applyAlignment="1">
      <alignment horizontal="right"/>
    </xf>
    <xf numFmtId="176" fontId="56" fillId="6" borderId="24" xfId="0" applyNumberFormat="1" applyFont="1" applyFill="1" applyBorder="1" applyAlignment="1">
      <alignment horizontal="right" vertical="center"/>
    </xf>
    <xf numFmtId="10" fontId="56" fillId="0" borderId="49" xfId="0" applyNumberFormat="1" applyFont="1" applyBorder="1" applyAlignment="1" applyProtection="1">
      <alignment horizontal="right" vertical="center"/>
      <protection locked="0"/>
    </xf>
    <xf numFmtId="176" fontId="56" fillId="6" borderId="84" xfId="0" applyNumberFormat="1" applyFont="1" applyFill="1" applyBorder="1" applyAlignment="1">
      <alignment horizontal="right" vertical="center"/>
    </xf>
    <xf numFmtId="0" fontId="116" fillId="6" borderId="47" xfId="0" applyFont="1" applyFill="1" applyBorder="1" applyAlignment="1">
      <alignment horizontal="right" vertical="center" wrapText="1"/>
    </xf>
    <xf numFmtId="181" fontId="56" fillId="6" borderId="9" xfId="0" applyNumberFormat="1" applyFont="1" applyFill="1" applyBorder="1" applyAlignment="1">
      <alignment horizontal="right" vertical="center"/>
    </xf>
    <xf numFmtId="0" fontId="56" fillId="5" borderId="0" xfId="0" applyFont="1" applyFill="1" applyAlignment="1" applyProtection="1">
      <alignment horizontal="right" vertical="center"/>
      <protection locked="0"/>
    </xf>
    <xf numFmtId="176" fontId="56" fillId="6" borderId="5" xfId="0" applyNumberFormat="1" applyFont="1" applyFill="1" applyBorder="1" applyAlignment="1">
      <alignment horizontal="right" vertical="center"/>
    </xf>
    <xf numFmtId="181" fontId="56" fillId="6" borderId="5" xfId="0" applyNumberFormat="1" applyFont="1" applyFill="1" applyBorder="1" applyAlignment="1">
      <alignment horizontal="right" vertical="center"/>
    </xf>
    <xf numFmtId="185" fontId="56" fillId="6" borderId="5" xfId="0" applyNumberFormat="1" applyFont="1" applyFill="1" applyBorder="1" applyAlignment="1">
      <alignment horizontal="right" vertical="center"/>
    </xf>
    <xf numFmtId="185" fontId="56" fillId="6" borderId="49" xfId="0" applyNumberFormat="1" applyFont="1" applyFill="1" applyBorder="1" applyAlignment="1">
      <alignment horizontal="right" vertical="center"/>
    </xf>
    <xf numFmtId="185" fontId="105" fillId="6" borderId="82" xfId="0" applyNumberFormat="1" applyFont="1" applyFill="1" applyBorder="1" applyAlignment="1">
      <alignment horizontal="right" vertical="center"/>
    </xf>
    <xf numFmtId="185" fontId="56" fillId="6" borderId="10" xfId="0" applyNumberFormat="1" applyFont="1" applyFill="1" applyBorder="1" applyAlignment="1">
      <alignment horizontal="right" vertical="center"/>
    </xf>
    <xf numFmtId="185" fontId="56" fillId="0" borderId="24" xfId="0" applyNumberFormat="1" applyFont="1" applyBorder="1" applyAlignment="1" applyProtection="1">
      <alignment horizontal="right" vertical="center"/>
      <protection locked="0"/>
    </xf>
    <xf numFmtId="192" fontId="56" fillId="6" borderId="24" xfId="0" applyNumberFormat="1" applyFont="1" applyFill="1" applyBorder="1" applyAlignment="1">
      <alignment horizontal="right" vertical="center"/>
    </xf>
    <xf numFmtId="181" fontId="55" fillId="6" borderId="48" xfId="0" applyNumberFormat="1" applyFont="1" applyFill="1" applyBorder="1" applyAlignment="1">
      <alignment horizontal="right" vertical="center"/>
    </xf>
    <xf numFmtId="185" fontId="56" fillId="0" borderId="49" xfId="0" applyNumberFormat="1" applyFont="1" applyBorder="1" applyAlignment="1" applyProtection="1">
      <alignment horizontal="right" vertical="center"/>
      <protection locked="0"/>
    </xf>
    <xf numFmtId="176" fontId="102" fillId="6" borderId="24" xfId="0" applyNumberFormat="1" applyFont="1" applyFill="1" applyBorder="1" applyAlignment="1">
      <alignment horizontal="right"/>
    </xf>
    <xf numFmtId="181" fontId="47" fillId="6" borderId="49" xfId="0" applyNumberFormat="1" applyFont="1" applyFill="1" applyBorder="1" applyAlignment="1">
      <alignment horizontal="right" vertical="center"/>
    </xf>
    <xf numFmtId="181" fontId="47" fillId="6" borderId="62" xfId="0" applyNumberFormat="1" applyFont="1" applyFill="1" applyBorder="1" applyAlignment="1">
      <alignment horizontal="right" vertical="center"/>
    </xf>
    <xf numFmtId="181" fontId="47" fillId="6" borderId="61" xfId="0" applyNumberFormat="1" applyFont="1" applyFill="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81" fontId="50" fillId="0" borderId="10" xfId="17" applyNumberFormat="1" applyFont="1" applyFill="1" applyBorder="1" applyAlignment="1" applyProtection="1">
      <alignment horizontal="right" vertical="center"/>
      <protection locked="0"/>
    </xf>
    <xf numFmtId="181" fontId="50" fillId="0" borderId="24" xfId="17" applyNumberFormat="1" applyFont="1" applyFill="1" applyBorder="1" applyAlignment="1" applyProtection="1">
      <alignment horizontal="right" vertical="center"/>
      <protection locked="0"/>
    </xf>
    <xf numFmtId="185" fontId="56" fillId="0" borderId="24" xfId="1" applyNumberFormat="1" applyFont="1" applyBorder="1" applyAlignment="1" applyProtection="1">
      <alignment horizontal="right" vertical="center"/>
      <protection locked="0"/>
    </xf>
    <xf numFmtId="0" fontId="22" fillId="6" borderId="24" xfId="0" applyFont="1" applyFill="1" applyBorder="1">
      <alignment vertical="center"/>
    </xf>
    <xf numFmtId="185" fontId="55" fillId="6" borderId="13" xfId="0" applyNumberFormat="1" applyFont="1" applyFill="1" applyBorder="1" applyAlignment="1">
      <alignment horizontal="right" vertical="center"/>
    </xf>
    <xf numFmtId="0" fontId="82" fillId="6" borderId="13" xfId="0" applyFont="1" applyFill="1" applyBorder="1" applyAlignment="1">
      <alignment vertical="center" wrapText="1"/>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16" fillId="12" borderId="37" xfId="0" applyFont="1" applyFill="1" applyBorder="1">
      <alignment vertical="center"/>
    </xf>
    <xf numFmtId="0" fontId="50" fillId="12" borderId="54" xfId="0" applyFont="1" applyFill="1" applyBorder="1">
      <alignment vertical="center"/>
    </xf>
    <xf numFmtId="0" fontId="132" fillId="12" borderId="37" xfId="0" applyFont="1" applyFill="1" applyBorder="1">
      <alignment vertical="center"/>
    </xf>
    <xf numFmtId="179" fontId="47" fillId="12" borderId="54" xfId="0" applyNumberFormat="1" applyFont="1" applyFill="1" applyBorder="1" applyAlignment="1" applyProtection="1">
      <alignment horizontal="center" vertical="center"/>
      <protection locked="0"/>
    </xf>
    <xf numFmtId="0" fontId="47" fillId="12" borderId="54" xfId="0" applyFont="1" applyFill="1" applyBorder="1" applyAlignment="1" applyProtection="1">
      <alignment horizontal="center" vertical="center"/>
      <protection locked="0"/>
    </xf>
    <xf numFmtId="179" fontId="116" fillId="12" borderId="54" xfId="0" applyNumberFormat="1" applyFont="1" applyFill="1" applyBorder="1" applyProtection="1">
      <alignment vertical="center"/>
      <protection locked="0"/>
    </xf>
    <xf numFmtId="0" fontId="82" fillId="6" borderId="1" xfId="0" applyFont="1" applyFill="1" applyBorder="1">
      <alignment vertical="center"/>
    </xf>
    <xf numFmtId="49" fontId="55" fillId="6" borderId="37" xfId="0" applyNumberFormat="1" applyFont="1" applyFill="1" applyBorder="1" applyAlignment="1">
      <alignment horizontal="left" vertical="center"/>
    </xf>
    <xf numFmtId="0" fontId="55" fillId="6" borderId="23" xfId="0" applyFont="1" applyFill="1" applyBorder="1" applyAlignment="1">
      <alignment horizontal="left" vertical="center"/>
    </xf>
    <xf numFmtId="0" fontId="80" fillId="6" borderId="13" xfId="0" applyFont="1" applyFill="1" applyBorder="1" applyAlignment="1">
      <alignment horizontal="left" vertical="center"/>
    </xf>
    <xf numFmtId="0" fontId="50" fillId="6" borderId="2" xfId="0" applyFont="1" applyFill="1" applyBorder="1" applyAlignment="1">
      <alignment vertical="center" wrapText="1"/>
    </xf>
    <xf numFmtId="0" fontId="82" fillId="6" borderId="25" xfId="0" applyFont="1" applyFill="1" applyBorder="1" applyAlignment="1">
      <alignment horizontal="left" vertical="center"/>
    </xf>
    <xf numFmtId="185" fontId="55" fillId="6" borderId="13" xfId="0" applyNumberFormat="1" applyFont="1" applyFill="1" applyBorder="1">
      <alignment vertical="center"/>
    </xf>
    <xf numFmtId="185" fontId="55" fillId="6" borderId="15" xfId="0" applyNumberFormat="1" applyFont="1" applyFill="1" applyBorder="1">
      <alignment vertical="center"/>
    </xf>
    <xf numFmtId="185" fontId="55" fillId="6" borderId="2" xfId="0" applyNumberFormat="1" applyFont="1" applyFill="1" applyBorder="1">
      <alignment vertical="center"/>
    </xf>
    <xf numFmtId="0" fontId="230" fillId="6" borderId="23" xfId="0" applyFont="1" applyFill="1" applyBorder="1" applyAlignment="1">
      <alignment horizontal="left" vertical="center"/>
    </xf>
    <xf numFmtId="176" fontId="271" fillId="6" borderId="1" xfId="0" applyNumberFormat="1" applyFont="1" applyFill="1" applyBorder="1" applyAlignment="1">
      <alignment horizontal="right" vertical="center"/>
    </xf>
    <xf numFmtId="181" fontId="206" fillId="6" borderId="86" xfId="17" applyNumberFormat="1" applyFont="1" applyFill="1" applyBorder="1" applyAlignment="1" applyProtection="1">
      <alignment horizontal="left" vertical="center"/>
    </xf>
    <xf numFmtId="0" fontId="206" fillId="6" borderId="1" xfId="0" applyFont="1" applyFill="1" applyBorder="1" applyAlignment="1">
      <alignment horizontal="right" vertical="center"/>
    </xf>
    <xf numFmtId="185" fontId="271" fillId="7" borderId="1" xfId="0" applyNumberFormat="1" applyFont="1" applyFill="1" applyBorder="1" applyAlignment="1" applyProtection="1">
      <alignment horizontal="right" vertical="center"/>
      <protection locked="0"/>
    </xf>
    <xf numFmtId="176" fontId="206" fillId="6" borderId="0" xfId="0" applyNumberFormat="1" applyFont="1" applyFill="1" applyAlignment="1" applyProtection="1">
      <alignment horizontal="right" vertical="center"/>
      <protection locked="0"/>
    </xf>
    <xf numFmtId="185" fontId="206" fillId="6" borderId="1" xfId="0" applyNumberFormat="1" applyFont="1" applyFill="1" applyBorder="1" applyAlignment="1">
      <alignment horizontal="right" vertical="center"/>
    </xf>
    <xf numFmtId="0" fontId="98" fillId="0" borderId="0" xfId="0" applyFont="1" applyAlignment="1" applyProtection="1">
      <alignment horizontal="left" vertical="center"/>
      <protection locked="0"/>
    </xf>
    <xf numFmtId="185" fontId="102" fillId="6" borderId="5" xfId="0" applyNumberFormat="1" applyFont="1" applyFill="1" applyBorder="1" applyAlignment="1">
      <alignment horizontal="right" vertical="center"/>
    </xf>
    <xf numFmtId="181" fontId="273" fillId="6" borderId="5" xfId="17" applyNumberFormat="1" applyFont="1" applyFill="1" applyBorder="1" applyAlignment="1" applyProtection="1">
      <alignment horizontal="right" vertical="center"/>
    </xf>
    <xf numFmtId="0" fontId="98" fillId="0" borderId="54" xfId="0" applyFont="1" applyBorder="1" applyAlignment="1" applyProtection="1">
      <alignment horizontal="left" vertical="center"/>
      <protection locked="0"/>
    </xf>
    <xf numFmtId="0" fontId="98" fillId="0" borderId="51" xfId="0" applyFont="1" applyBorder="1" applyAlignment="1" applyProtection="1">
      <alignment horizontal="left" vertical="center"/>
      <protection locked="0"/>
    </xf>
    <xf numFmtId="0" fontId="98" fillId="0" borderId="20" xfId="0" applyFont="1" applyBorder="1" applyAlignment="1" applyProtection="1">
      <alignment horizontal="left" vertical="center"/>
      <protection locked="0"/>
    </xf>
    <xf numFmtId="0" fontId="98" fillId="0" borderId="21" xfId="0" applyFont="1" applyBorder="1" applyAlignment="1" applyProtection="1">
      <alignment horizontal="left" vertical="center"/>
      <protection locked="0"/>
    </xf>
    <xf numFmtId="0" fontId="98" fillId="0" borderId="37" xfId="0" applyFont="1" applyBorder="1" applyAlignment="1" applyProtection="1">
      <alignment horizontal="left" vertical="center"/>
      <protection locked="0"/>
    </xf>
    <xf numFmtId="0" fontId="98" fillId="0" borderId="38" xfId="0" applyFont="1" applyBorder="1" applyAlignment="1" applyProtection="1">
      <alignment horizontal="left" vertical="center"/>
      <protection locked="0"/>
    </xf>
    <xf numFmtId="0" fontId="98" fillId="0" borderId="52" xfId="0" applyFont="1" applyBorder="1" applyAlignment="1" applyProtection="1">
      <alignment horizontal="left" vertical="center"/>
      <protection locked="0"/>
    </xf>
    <xf numFmtId="0" fontId="98"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271" fillId="6" borderId="1" xfId="0" applyFont="1" applyFill="1" applyBorder="1" applyAlignment="1">
      <alignment horizontal="right" vertical="center"/>
    </xf>
    <xf numFmtId="181" fontId="101" fillId="0" borderId="0" xfId="17" applyNumberFormat="1" applyFont="1" applyFill="1" applyAlignment="1" applyProtection="1">
      <alignment horizontal="left" vertical="center"/>
      <protection locked="0"/>
    </xf>
    <xf numFmtId="0" fontId="268" fillId="12" borderId="37" xfId="0" applyFont="1" applyFill="1" applyBorder="1">
      <alignment vertical="center"/>
    </xf>
    <xf numFmtId="0" fontId="290" fillId="12" borderId="37" xfId="0" applyFont="1" applyFill="1" applyBorder="1">
      <alignment vertical="center"/>
    </xf>
    <xf numFmtId="0" fontId="286" fillId="6" borderId="24" xfId="4" applyFont="1" applyFill="1" applyBorder="1"/>
    <xf numFmtId="9" fontId="241" fillId="6" borderId="24" xfId="4" applyNumberFormat="1" applyFont="1" applyFill="1" applyBorder="1"/>
    <xf numFmtId="9" fontId="288" fillId="6" borderId="24" xfId="4" applyNumberFormat="1" applyFont="1" applyFill="1" applyBorder="1" applyAlignment="1">
      <alignment horizontal="right"/>
    </xf>
    <xf numFmtId="0" fontId="241" fillId="6" borderId="24" xfId="4" applyFont="1" applyFill="1" applyBorder="1" applyAlignment="1">
      <alignment horizontal="right"/>
    </xf>
    <xf numFmtId="9" fontId="288" fillId="6" borderId="49" xfId="4" applyNumberFormat="1" applyFont="1" applyFill="1" applyBorder="1" applyAlignment="1">
      <alignment horizontal="right"/>
    </xf>
    <xf numFmtId="185" fontId="56" fillId="6" borderId="9" xfId="4" applyNumberFormat="1" applyFont="1" applyFill="1" applyBorder="1" applyAlignment="1" applyProtection="1">
      <alignment horizontal="right"/>
      <protection locked="0"/>
    </xf>
    <xf numFmtId="9" fontId="56" fillId="0" borderId="10" xfId="17" applyFont="1" applyFill="1" applyBorder="1" applyAlignment="1" applyProtection="1">
      <alignment horizontal="right"/>
      <protection locked="0"/>
    </xf>
    <xf numFmtId="0" fontId="269" fillId="12" borderId="37" xfId="0" applyFont="1" applyFill="1" applyBorder="1" applyAlignment="1">
      <alignment horizontal="left" vertical="center"/>
    </xf>
    <xf numFmtId="0" fontId="116" fillId="12" borderId="37" xfId="0" applyFont="1" applyFill="1" applyBorder="1" applyAlignment="1">
      <alignment horizontal="left" vertical="center"/>
    </xf>
    <xf numFmtId="179" fontId="50" fillId="12" borderId="54" xfId="0" applyNumberFormat="1" applyFont="1" applyFill="1" applyBorder="1" applyProtection="1">
      <alignment vertical="center"/>
      <protection locked="0"/>
    </xf>
    <xf numFmtId="0" fontId="50" fillId="12" borderId="54" xfId="0" applyFont="1" applyFill="1" applyBorder="1" applyProtection="1">
      <alignment vertical="center"/>
      <protection locked="0"/>
    </xf>
    <xf numFmtId="0" fontId="132" fillId="12" borderId="37" xfId="0" applyFont="1" applyFill="1" applyBorder="1" applyAlignment="1">
      <alignment horizontal="left" vertical="center"/>
    </xf>
    <xf numFmtId="0" fontId="292" fillId="12" borderId="0" xfId="0" applyFont="1" applyFill="1">
      <alignment vertical="center"/>
    </xf>
    <xf numFmtId="0" fontId="132" fillId="12" borderId="37" xfId="0" applyFont="1" applyFill="1" applyBorder="1" applyAlignment="1" applyProtection="1">
      <alignment horizontal="left" vertical="center"/>
      <protection locked="0"/>
    </xf>
    <xf numFmtId="0" fontId="112" fillId="6" borderId="173" xfId="0" applyFont="1" applyFill="1" applyBorder="1" applyAlignment="1">
      <alignment horizontal="left" vertical="center"/>
    </xf>
    <xf numFmtId="0" fontId="101"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5"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5"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5" fillId="6" borderId="24" xfId="0" applyNumberFormat="1" applyFont="1" applyFill="1" applyBorder="1" applyAlignment="1">
      <alignment horizontal="right" vertical="center"/>
    </xf>
    <xf numFmtId="185" fontId="245" fillId="6" borderId="24" xfId="0" applyNumberFormat="1" applyFont="1" applyFill="1" applyBorder="1" applyAlignment="1">
      <alignment horizontal="right" vertical="center"/>
    </xf>
    <xf numFmtId="0" fontId="102" fillId="6" borderId="1" xfId="0" applyFont="1" applyFill="1" applyBorder="1" applyProtection="1">
      <alignment vertical="center"/>
      <protection locked="0"/>
    </xf>
    <xf numFmtId="0" fontId="125" fillId="6" borderId="1" xfId="0" applyFont="1" applyFill="1" applyBorder="1" applyProtection="1">
      <alignment vertical="center"/>
      <protection locked="0"/>
    </xf>
    <xf numFmtId="0" fontId="102" fillId="6" borderId="0" xfId="0" applyFont="1" applyFill="1" applyProtection="1">
      <alignment vertical="center"/>
      <protection locked="0"/>
    </xf>
    <xf numFmtId="0" fontId="82" fillId="6" borderId="1" xfId="0" applyFont="1" applyFill="1" applyBorder="1" applyAlignment="1">
      <alignment vertical="center" wrapText="1"/>
    </xf>
    <xf numFmtId="181" fontId="56" fillId="0" borderId="0" xfId="17" applyNumberFormat="1" applyFont="1" applyFill="1" applyAlignment="1" applyProtection="1">
      <alignment horizontal="right" vertical="center"/>
      <protection locked="0"/>
    </xf>
    <xf numFmtId="49" fontId="53" fillId="22" borderId="24" xfId="1" applyNumberFormat="1" applyFont="1" applyFill="1" applyBorder="1" applyAlignment="1">
      <alignment horizontal="left" vertical="center"/>
    </xf>
    <xf numFmtId="0" fontId="60" fillId="22" borderId="24" xfId="1" applyFont="1" applyFill="1" applyBorder="1" applyAlignment="1">
      <alignment horizontal="left" vertical="center"/>
    </xf>
    <xf numFmtId="0" fontId="60" fillId="6" borderId="24" xfId="1" applyFont="1" applyFill="1" applyBorder="1" applyAlignment="1">
      <alignment horizontal="left" vertical="center"/>
    </xf>
    <xf numFmtId="0" fontId="53" fillId="6" borderId="56" xfId="0" applyFont="1" applyFill="1" applyBorder="1" applyProtection="1">
      <alignment vertical="center"/>
      <protection locked="0"/>
    </xf>
    <xf numFmtId="185" fontId="53" fillId="6" borderId="0" xfId="0" applyNumberFormat="1" applyFont="1" applyFill="1" applyAlignment="1" applyProtection="1">
      <alignment horizontal="right" vertical="center"/>
      <protection locked="0"/>
    </xf>
    <xf numFmtId="49" fontId="53" fillId="6" borderId="25" xfId="1" applyNumberFormat="1" applyFont="1" applyFill="1" applyBorder="1" applyAlignment="1">
      <alignment horizontal="left" vertical="center"/>
    </xf>
    <xf numFmtId="49" fontId="187" fillId="6" borderId="32" xfId="0" applyNumberFormat="1" applyFont="1" applyFill="1" applyBorder="1" applyAlignment="1" applyProtection="1">
      <alignment horizontal="left" vertical="center"/>
      <protection locked="0"/>
    </xf>
    <xf numFmtId="185" fontId="53" fillId="6" borderId="32" xfId="0" applyNumberFormat="1" applyFont="1" applyFill="1" applyBorder="1" applyAlignment="1" applyProtection="1">
      <alignment horizontal="right" vertical="center"/>
      <protection locked="0"/>
    </xf>
    <xf numFmtId="0" fontId="53" fillId="6" borderId="32" xfId="0" applyFont="1" applyFill="1" applyBorder="1" applyAlignment="1" applyProtection="1">
      <alignment horizontal="left" vertical="center"/>
      <protection locked="0"/>
    </xf>
    <xf numFmtId="10" fontId="53" fillId="6" borderId="32" xfId="0" applyNumberFormat="1" applyFont="1" applyFill="1" applyBorder="1" applyAlignment="1" applyProtection="1">
      <alignment horizontal="left" vertical="center"/>
      <protection locked="0"/>
    </xf>
    <xf numFmtId="0" fontId="53" fillId="6" borderId="49" xfId="0" applyFont="1" applyFill="1" applyBorder="1" applyAlignment="1" applyProtection="1">
      <alignment horizontal="left" vertical="center"/>
      <protection locked="0"/>
    </xf>
    <xf numFmtId="49" fontId="55" fillId="6" borderId="40" xfId="0" applyNumberFormat="1" applyFont="1" applyFill="1" applyBorder="1" applyAlignment="1">
      <alignment horizontal="left" vertical="center"/>
    </xf>
    <xf numFmtId="0" fontId="55" fillId="6" borderId="17" xfId="0" applyFont="1" applyFill="1" applyBorder="1" applyAlignment="1">
      <alignment horizontal="left" vertical="center"/>
    </xf>
    <xf numFmtId="0" fontId="82" fillId="6" borderId="17" xfId="0" applyFont="1" applyFill="1" applyBorder="1" applyAlignment="1">
      <alignment horizontal="left" vertical="center"/>
    </xf>
    <xf numFmtId="0" fontId="55" fillId="6" borderId="29" xfId="0" applyFont="1" applyFill="1" applyBorder="1" applyAlignment="1">
      <alignment horizontal="left" vertical="center"/>
    </xf>
    <xf numFmtId="0" fontId="55" fillId="6" borderId="31" xfId="0" applyFont="1" applyFill="1" applyBorder="1" applyAlignment="1">
      <alignment horizontal="center" vertical="center"/>
    </xf>
    <xf numFmtId="0" fontId="55" fillId="6" borderId="28" xfId="0" applyFont="1" applyFill="1" applyBorder="1" applyAlignment="1">
      <alignment horizontal="left" vertical="center"/>
    </xf>
    <xf numFmtId="0" fontId="55" fillId="6" borderId="21" xfId="0" applyFont="1" applyFill="1" applyBorder="1" applyAlignment="1">
      <alignment horizontal="center" vertical="center"/>
    </xf>
    <xf numFmtId="0" fontId="57" fillId="7" borderId="0" xfId="0" applyFont="1" applyFill="1" applyProtection="1">
      <alignment vertical="center"/>
      <protection locked="0"/>
    </xf>
    <xf numFmtId="0" fontId="57" fillId="6" borderId="13" xfId="0" applyFont="1" applyFill="1" applyBorder="1">
      <alignment vertical="center"/>
    </xf>
    <xf numFmtId="0" fontId="55" fillId="6" borderId="4" xfId="0" applyFont="1" applyFill="1" applyBorder="1" applyAlignment="1">
      <alignment horizontal="right" vertical="center"/>
    </xf>
    <xf numFmtId="0" fontId="55" fillId="6" borderId="71" xfId="0" applyFont="1" applyFill="1" applyBorder="1" applyAlignment="1">
      <alignment horizontal="center" vertical="center"/>
    </xf>
    <xf numFmtId="0" fontId="55" fillId="6" borderId="4" xfId="0" applyFont="1" applyFill="1" applyBorder="1" applyAlignment="1">
      <alignment horizontal="left" vertical="center"/>
    </xf>
    <xf numFmtId="0" fontId="55" fillId="6" borderId="60" xfId="0" applyFont="1" applyFill="1" applyBorder="1" applyAlignment="1">
      <alignment horizontal="center" vertical="center"/>
    </xf>
    <xf numFmtId="0" fontId="55" fillId="6" borderId="5" xfId="0" applyFont="1" applyFill="1" applyBorder="1" applyAlignment="1">
      <alignment horizontal="left" vertical="center" wrapText="1"/>
    </xf>
    <xf numFmtId="0" fontId="55" fillId="6" borderId="71" xfId="0" applyFont="1" applyFill="1" applyBorder="1" applyAlignment="1">
      <alignment horizontal="right" vertical="center"/>
    </xf>
    <xf numFmtId="0" fontId="55" fillId="6" borderId="4" xfId="0" applyFont="1" applyFill="1" applyBorder="1" applyAlignment="1">
      <alignment horizontal="left" vertical="center" wrapText="1"/>
    </xf>
    <xf numFmtId="0" fontId="55" fillId="6" borderId="60" xfId="0" applyFont="1" applyFill="1" applyBorder="1" applyAlignment="1">
      <alignment horizontal="center" vertical="center" wrapText="1"/>
    </xf>
    <xf numFmtId="0" fontId="55" fillId="6" borderId="71" xfId="0" applyFont="1" applyFill="1" applyBorder="1" applyAlignment="1">
      <alignment horizontal="center" vertical="center" wrapText="1"/>
    </xf>
    <xf numFmtId="0" fontId="55" fillId="6" borderId="71" xfId="0" applyFont="1" applyFill="1" applyBorder="1" applyAlignment="1">
      <alignment horizontal="right" vertical="center" wrapText="1"/>
    </xf>
    <xf numFmtId="0" fontId="55" fillId="6" borderId="13" xfId="0" applyFont="1" applyFill="1" applyBorder="1" applyAlignment="1">
      <alignment horizontal="left" vertical="center" wrapText="1"/>
    </xf>
    <xf numFmtId="0" fontId="55" fillId="6" borderId="13" xfId="0" applyFont="1" applyFill="1" applyBorder="1" applyAlignment="1">
      <alignment horizontal="left" vertical="center"/>
    </xf>
    <xf numFmtId="0" fontId="55" fillId="6" borderId="15" xfId="0" applyFont="1" applyFill="1" applyBorder="1" applyAlignment="1">
      <alignment horizontal="left" vertical="center" wrapText="1"/>
    </xf>
    <xf numFmtId="0" fontId="57" fillId="5" borderId="33" xfId="0" applyFont="1" applyFill="1" applyBorder="1" applyProtection="1">
      <alignment vertical="center"/>
      <protection locked="0"/>
    </xf>
    <xf numFmtId="0" fontId="139" fillId="6" borderId="1" xfId="0" applyFont="1" applyFill="1" applyBorder="1">
      <alignment vertical="center"/>
    </xf>
    <xf numFmtId="0" fontId="55" fillId="20" borderId="32" xfId="0" applyFont="1" applyFill="1" applyBorder="1">
      <alignment vertical="center"/>
    </xf>
    <xf numFmtId="0" fontId="105" fillId="20" borderId="47" xfId="0" applyFont="1" applyFill="1" applyBorder="1">
      <alignment vertical="center"/>
    </xf>
    <xf numFmtId="0" fontId="63" fillId="20" borderId="32" xfId="0" applyFont="1" applyFill="1" applyBorder="1">
      <alignment vertical="center"/>
    </xf>
    <xf numFmtId="0" fontId="63" fillId="20" borderId="49" xfId="0" applyFont="1" applyFill="1" applyBorder="1">
      <alignment vertical="center"/>
    </xf>
    <xf numFmtId="49" fontId="55" fillId="6" borderId="6" xfId="0" applyNumberFormat="1" applyFont="1" applyFill="1" applyBorder="1" applyAlignment="1" applyProtection="1">
      <alignment horizontal="left" vertical="center"/>
      <protection locked="0"/>
    </xf>
    <xf numFmtId="0" fontId="55" fillId="6" borderId="17" xfId="0" applyFont="1" applyFill="1" applyBorder="1" applyAlignment="1" applyProtection="1">
      <alignment horizontal="left" vertical="center"/>
      <protection locked="0"/>
    </xf>
    <xf numFmtId="0" fontId="55" fillId="6" borderId="29" xfId="0" applyFont="1" applyFill="1" applyBorder="1" applyAlignment="1" applyProtection="1">
      <alignment horizontal="left" vertical="center"/>
      <protection locked="0"/>
    </xf>
    <xf numFmtId="185" fontId="55" fillId="6" borderId="5" xfId="0" applyNumberFormat="1" applyFont="1" applyFill="1" applyBorder="1" applyAlignment="1">
      <alignment horizontal="right" vertical="center"/>
    </xf>
    <xf numFmtId="0" fontId="55" fillId="6" borderId="5" xfId="0" applyFont="1" applyFill="1" applyBorder="1" applyAlignment="1" applyProtection="1">
      <alignment horizontal="right" vertical="center"/>
      <protection locked="0"/>
    </xf>
    <xf numFmtId="0" fontId="55" fillId="6" borderId="54" xfId="0" applyFont="1" applyFill="1" applyBorder="1" applyAlignment="1" applyProtection="1">
      <alignment horizontal="center" vertical="center" wrapText="1"/>
      <protection locked="0"/>
    </xf>
    <xf numFmtId="0" fontId="55" fillId="6" borderId="48" xfId="0" applyFont="1" applyFill="1" applyBorder="1" applyAlignment="1" applyProtection="1">
      <alignment horizontal="right" vertical="center" wrapText="1"/>
      <protection locked="0"/>
    </xf>
    <xf numFmtId="0" fontId="55" fillId="6" borderId="22" xfId="0" applyFont="1" applyFill="1" applyBorder="1" applyAlignment="1" applyProtection="1">
      <alignment horizontal="left" vertical="center" wrapText="1"/>
      <protection locked="0"/>
    </xf>
    <xf numFmtId="0" fontId="55" fillId="6" borderId="35" xfId="0" applyFont="1" applyFill="1" applyBorder="1" applyAlignment="1" applyProtection="1">
      <alignment horizontal="left" vertical="center" wrapText="1"/>
      <protection locked="0"/>
    </xf>
    <xf numFmtId="0" fontId="57" fillId="6" borderId="7" xfId="0" applyFont="1" applyFill="1" applyBorder="1" applyProtection="1">
      <alignment vertical="center"/>
      <protection locked="0"/>
    </xf>
    <xf numFmtId="0" fontId="105" fillId="6" borderId="0" xfId="0" applyFont="1" applyFill="1">
      <alignment vertical="center"/>
    </xf>
    <xf numFmtId="0" fontId="57" fillId="6" borderId="56" xfId="0" applyFont="1" applyFill="1" applyBorder="1">
      <alignment vertical="center"/>
    </xf>
    <xf numFmtId="0" fontId="55" fillId="6" borderId="32" xfId="0" applyFont="1" applyFill="1" applyBorder="1" applyProtection="1">
      <alignment vertical="center"/>
      <protection locked="0"/>
    </xf>
    <xf numFmtId="0" fontId="105" fillId="6" borderId="82" xfId="0" applyFont="1" applyFill="1" applyBorder="1" applyAlignment="1">
      <alignment vertical="center" wrapText="1"/>
    </xf>
    <xf numFmtId="0" fontId="105" fillId="6" borderId="65" xfId="0" applyFont="1" applyFill="1" applyBorder="1">
      <alignment vertical="center"/>
    </xf>
    <xf numFmtId="0" fontId="105" fillId="6" borderId="65" xfId="0" applyFont="1" applyFill="1" applyBorder="1" applyAlignment="1">
      <alignment vertical="center" wrapText="1"/>
    </xf>
    <xf numFmtId="0" fontId="105" fillId="6" borderId="81" xfId="0" applyFont="1" applyFill="1" applyBorder="1" applyAlignment="1">
      <alignment vertical="center" wrapText="1"/>
    </xf>
    <xf numFmtId="0" fontId="105" fillId="6" borderId="43" xfId="0" applyFont="1" applyFill="1" applyBorder="1">
      <alignment vertical="center"/>
    </xf>
    <xf numFmtId="0" fontId="105" fillId="6" borderId="43" xfId="0" applyFont="1" applyFill="1" applyBorder="1" applyAlignment="1">
      <alignment vertical="center" wrapText="1"/>
    </xf>
    <xf numFmtId="185" fontId="105" fillId="6" borderId="43" xfId="0" applyNumberFormat="1" applyFont="1" applyFill="1" applyBorder="1" applyAlignment="1">
      <alignment horizontal="right" vertical="center" wrapText="1"/>
    </xf>
    <xf numFmtId="0" fontId="139" fillId="6" borderId="43" xfId="0" applyFont="1" applyFill="1" applyBorder="1">
      <alignment vertical="center"/>
    </xf>
    <xf numFmtId="176" fontId="105" fillId="6" borderId="43" xfId="0" applyNumberFormat="1" applyFont="1" applyFill="1" applyBorder="1" applyAlignment="1">
      <alignment horizontal="right" vertical="center" wrapText="1"/>
    </xf>
    <xf numFmtId="193" fontId="102" fillId="6" borderId="43" xfId="0" applyNumberFormat="1" applyFont="1" applyFill="1" applyBorder="1" applyAlignment="1">
      <alignment horizontal="right" vertical="center" wrapText="1"/>
    </xf>
    <xf numFmtId="0" fontId="57" fillId="7" borderId="0" xfId="0" applyFont="1" applyFill="1" applyAlignment="1" applyProtection="1">
      <alignment horizontal="right" vertical="center"/>
      <protection locked="0"/>
    </xf>
    <xf numFmtId="0" fontId="63" fillId="7" borderId="0" xfId="0" applyFont="1" applyFill="1" applyAlignment="1" applyProtection="1">
      <alignment horizontal="right" vertical="center"/>
      <protection locked="0"/>
    </xf>
    <xf numFmtId="181" fontId="105" fillId="6" borderId="56" xfId="17" applyNumberFormat="1" applyFont="1" applyFill="1" applyBorder="1" applyAlignment="1" applyProtection="1">
      <alignment horizontal="right" vertical="center"/>
    </xf>
    <xf numFmtId="0" fontId="55" fillId="6" borderId="0" xfId="0" applyFont="1" applyFill="1" applyProtection="1">
      <alignment vertical="center"/>
      <protection locked="0"/>
    </xf>
    <xf numFmtId="0" fontId="55" fillId="6" borderId="0" xfId="0" applyFont="1" applyFill="1" applyAlignment="1" applyProtection="1">
      <alignment horizontal="left" vertical="center"/>
      <protection locked="0"/>
    </xf>
    <xf numFmtId="0" fontId="57" fillId="7" borderId="0" xfId="0" applyFont="1" applyFill="1" applyAlignment="1" applyProtection="1">
      <alignment horizontal="left" vertical="center"/>
      <protection locked="0"/>
    </xf>
    <xf numFmtId="0" fontId="55" fillId="6" borderId="31" xfId="0" applyFont="1" applyFill="1" applyBorder="1" applyAlignment="1" applyProtection="1">
      <alignment horizontal="center" vertical="center"/>
      <protection locked="0"/>
    </xf>
    <xf numFmtId="0" fontId="55" fillId="6" borderId="48" xfId="0" applyFont="1" applyFill="1" applyBorder="1" applyAlignment="1" applyProtection="1">
      <alignment horizontal="center" vertical="center"/>
      <protection locked="0"/>
    </xf>
    <xf numFmtId="0" fontId="55" fillId="6" borderId="54" xfId="0" applyFont="1" applyFill="1" applyBorder="1" applyAlignment="1" applyProtection="1">
      <alignment horizontal="center" vertical="center"/>
      <protection locked="0"/>
    </xf>
    <xf numFmtId="0" fontId="57" fillId="6" borderId="69" xfId="0" applyFont="1" applyFill="1" applyBorder="1" applyProtection="1">
      <alignment vertical="center"/>
      <protection locked="0"/>
    </xf>
    <xf numFmtId="0" fontId="57" fillId="6" borderId="2" xfId="0" applyFont="1" applyFill="1" applyBorder="1" applyProtection="1">
      <alignment vertical="center"/>
      <protection locked="0"/>
    </xf>
    <xf numFmtId="0" fontId="105" fillId="6" borderId="65" xfId="0" applyFont="1" applyFill="1" applyBorder="1" applyAlignment="1">
      <alignment horizontal="left" vertical="center" wrapText="1"/>
    </xf>
    <xf numFmtId="192" fontId="105" fillId="6" borderId="43" xfId="0" applyNumberFormat="1" applyFont="1" applyFill="1" applyBorder="1" applyAlignment="1">
      <alignment horizontal="right" vertical="center" wrapText="1"/>
    </xf>
    <xf numFmtId="0" fontId="125" fillId="6" borderId="43" xfId="0" applyFont="1" applyFill="1" applyBorder="1">
      <alignment vertical="center"/>
    </xf>
    <xf numFmtId="181" fontId="50" fillId="6" borderId="1" xfId="0" applyNumberFormat="1" applyFont="1" applyFill="1" applyBorder="1" applyAlignment="1">
      <alignment horizontal="right" vertical="center"/>
    </xf>
    <xf numFmtId="181" fontId="56" fillId="6" borderId="1" xfId="0" applyNumberFormat="1" applyFont="1" applyFill="1" applyBorder="1" applyAlignment="1">
      <alignment horizontal="right" vertical="center"/>
    </xf>
    <xf numFmtId="0" fontId="55" fillId="6" borderId="21" xfId="0" applyFont="1" applyFill="1" applyBorder="1" applyAlignment="1">
      <alignment horizontal="left" vertical="center"/>
    </xf>
    <xf numFmtId="0" fontId="57" fillId="0" borderId="0" xfId="0" applyFont="1" applyAlignment="1" applyProtection="1">
      <alignment horizontal="left" vertical="center"/>
      <protection locked="0"/>
    </xf>
    <xf numFmtId="0" fontId="55" fillId="6" borderId="28" xfId="0" applyFont="1" applyFill="1" applyBorder="1">
      <alignment vertical="center"/>
    </xf>
    <xf numFmtId="0" fontId="55" fillId="6" borderId="21" xfId="0" applyFont="1" applyFill="1" applyBorder="1">
      <alignment vertical="center"/>
    </xf>
    <xf numFmtId="0" fontId="55" fillId="6" borderId="7" xfId="0" applyFont="1" applyFill="1" applyBorder="1" applyAlignment="1">
      <alignment horizontal="center" vertical="center" wrapText="1"/>
    </xf>
    <xf numFmtId="185" fontId="83" fillId="6" borderId="1" xfId="4" applyNumberFormat="1" applyFont="1" applyFill="1" applyBorder="1" applyAlignment="1">
      <alignment horizontal="left" vertical="center"/>
    </xf>
    <xf numFmtId="0" fontId="83" fillId="6" borderId="1" xfId="4" applyFont="1" applyFill="1" applyBorder="1" applyAlignment="1">
      <alignment horizontal="left"/>
    </xf>
    <xf numFmtId="0" fontId="49" fillId="6" borderId="9" xfId="0" applyFont="1" applyFill="1" applyBorder="1" applyAlignment="1">
      <alignment horizontal="left" vertical="center"/>
    </xf>
    <xf numFmtId="0" fontId="148" fillId="6" borderId="9" xfId="0" applyFont="1" applyFill="1" applyBorder="1" applyAlignment="1">
      <alignment horizontal="left" vertical="center"/>
    </xf>
    <xf numFmtId="0" fontId="49" fillId="6" borderId="10" xfId="0" applyFont="1" applyFill="1" applyBorder="1" applyAlignment="1">
      <alignment horizontal="left" vertical="center"/>
    </xf>
    <xf numFmtId="0" fontId="47" fillId="7" borderId="0" xfId="0" applyFont="1" applyFill="1" applyAlignment="1" applyProtection="1">
      <alignment horizontal="left" vertical="center"/>
      <protection locked="0"/>
    </xf>
    <xf numFmtId="185" fontId="148" fillId="6" borderId="9" xfId="0" applyNumberFormat="1" applyFont="1" applyFill="1" applyBorder="1" applyAlignment="1">
      <alignment horizontal="left" vertical="center"/>
    </xf>
    <xf numFmtId="0" fontId="80" fillId="6" borderId="5" xfId="0" applyFont="1" applyFill="1" applyBorder="1" applyAlignment="1">
      <alignment horizontal="left" vertical="center"/>
    </xf>
    <xf numFmtId="0" fontId="82" fillId="6" borderId="33" xfId="0" applyFont="1" applyFill="1" applyBorder="1" applyAlignment="1">
      <alignment horizontal="left" vertical="center"/>
    </xf>
    <xf numFmtId="185" fontId="105" fillId="0" borderId="32" xfId="0" applyNumberFormat="1" applyFont="1" applyBorder="1" applyAlignment="1" applyProtection="1">
      <alignment horizontal="right" vertical="center"/>
      <protection locked="0"/>
    </xf>
    <xf numFmtId="185" fontId="55" fillId="0" borderId="32" xfId="0" applyNumberFormat="1" applyFont="1" applyBorder="1" applyAlignment="1" applyProtection="1">
      <alignment horizontal="right" vertical="center"/>
      <protection locked="0"/>
    </xf>
    <xf numFmtId="185" fontId="55" fillId="0" borderId="49" xfId="0" applyNumberFormat="1" applyFont="1" applyBorder="1" applyAlignment="1" applyProtection="1">
      <alignment horizontal="right" vertical="center"/>
      <protection locked="0"/>
    </xf>
    <xf numFmtId="0" fontId="55" fillId="7" borderId="0" xfId="0" applyFont="1" applyFill="1" applyProtection="1">
      <alignment vertical="center"/>
      <protection locked="0"/>
    </xf>
    <xf numFmtId="0" fontId="55" fillId="0" borderId="0" xfId="0" applyFont="1" applyProtection="1">
      <alignment vertical="center"/>
      <protection locked="0"/>
    </xf>
    <xf numFmtId="0" fontId="148" fillId="6" borderId="28" xfId="0" applyFont="1" applyFill="1" applyBorder="1" applyAlignment="1">
      <alignment horizontal="left" vertical="center"/>
    </xf>
    <xf numFmtId="0" fontId="49" fillId="6" borderId="20" xfId="0" applyFont="1" applyFill="1" applyBorder="1" applyAlignment="1">
      <alignment horizontal="left" vertical="center"/>
    </xf>
    <xf numFmtId="0" fontId="49" fillId="6" borderId="21" xfId="0" applyFont="1" applyFill="1" applyBorder="1" applyAlignment="1">
      <alignment horizontal="left" vertical="center"/>
    </xf>
    <xf numFmtId="0" fontId="80" fillId="6" borderId="22" xfId="0" applyFont="1" applyFill="1" applyBorder="1" applyProtection="1">
      <alignment vertical="center"/>
      <protection locked="0"/>
    </xf>
    <xf numFmtId="0" fontId="80" fillId="6" borderId="13" xfId="0" applyFont="1" applyFill="1" applyBorder="1" applyProtection="1">
      <alignment vertical="center"/>
      <protection locked="0"/>
    </xf>
    <xf numFmtId="176" fontId="50" fillId="6" borderId="15" xfId="0" applyNumberFormat="1" applyFont="1" applyFill="1" applyBorder="1" applyAlignment="1">
      <alignment horizontal="right" vertical="center"/>
    </xf>
    <xf numFmtId="0" fontId="80" fillId="6" borderId="2" xfId="0" applyFont="1" applyFill="1" applyBorder="1" applyAlignment="1">
      <alignment horizontal="right" vertical="center" wrapText="1"/>
    </xf>
    <xf numFmtId="176" fontId="50" fillId="6" borderId="1" xfId="0" applyNumberFormat="1" applyFont="1" applyFill="1" applyBorder="1" applyAlignment="1">
      <alignment horizontal="right" vertical="center"/>
    </xf>
    <xf numFmtId="176" fontId="50" fillId="6" borderId="13" xfId="0" applyNumberFormat="1" applyFont="1" applyFill="1" applyBorder="1" applyAlignment="1">
      <alignment horizontal="right" vertical="center"/>
    </xf>
    <xf numFmtId="176" fontId="50" fillId="6" borderId="2" xfId="0" applyNumberFormat="1" applyFont="1" applyFill="1" applyBorder="1" applyAlignment="1">
      <alignment horizontal="right" vertical="center"/>
    </xf>
    <xf numFmtId="0" fontId="80" fillId="6" borderId="54" xfId="0" applyFont="1" applyFill="1" applyBorder="1">
      <alignment vertical="center"/>
    </xf>
    <xf numFmtId="49" fontId="50" fillId="6" borderId="11" xfId="0" applyNumberFormat="1" applyFont="1" applyFill="1" applyBorder="1" applyAlignment="1">
      <alignment horizontal="right" vertical="center"/>
    </xf>
    <xf numFmtId="49" fontId="50" fillId="6" borderId="41" xfId="0" applyNumberFormat="1" applyFont="1" applyFill="1" applyBorder="1" applyAlignment="1">
      <alignment horizontal="right" vertical="center"/>
    </xf>
    <xf numFmtId="185" fontId="55" fillId="6" borderId="15" xfId="0" applyNumberFormat="1" applyFont="1" applyFill="1" applyBorder="1" applyAlignment="1">
      <alignment horizontal="right" vertical="center"/>
    </xf>
    <xf numFmtId="0" fontId="50" fillId="5" borderId="24" xfId="0" applyFont="1" applyFill="1" applyBorder="1">
      <alignment vertical="center"/>
    </xf>
    <xf numFmtId="0" fontId="245" fillId="6" borderId="6" xfId="0" applyFont="1" applyFill="1" applyBorder="1" applyAlignment="1">
      <alignment horizontal="left" vertical="center"/>
    </xf>
    <xf numFmtId="0" fontId="245" fillId="6" borderId="9" xfId="0" applyFont="1" applyFill="1" applyBorder="1" applyAlignment="1">
      <alignment horizontal="left" vertical="center"/>
    </xf>
    <xf numFmtId="0" fontId="245" fillId="6" borderId="10" xfId="0" applyFont="1" applyFill="1" applyBorder="1" applyAlignment="1">
      <alignment horizontal="left" vertical="center"/>
    </xf>
    <xf numFmtId="185" fontId="102" fillId="6" borderId="23" xfId="0" applyNumberFormat="1" applyFont="1" applyFill="1" applyBorder="1" applyAlignment="1">
      <alignment horizontal="right" vertical="center"/>
    </xf>
    <xf numFmtId="185" fontId="102" fillId="6" borderId="24" xfId="0" applyNumberFormat="1" applyFont="1" applyFill="1" applyBorder="1" applyAlignment="1">
      <alignment horizontal="right" vertical="center"/>
    </xf>
    <xf numFmtId="185" fontId="102" fillId="6" borderId="25" xfId="0" applyNumberFormat="1" applyFont="1" applyFill="1" applyBorder="1" applyAlignment="1">
      <alignment horizontal="right" vertical="center"/>
    </xf>
    <xf numFmtId="185" fontId="102" fillId="6" borderId="32" xfId="0" applyNumberFormat="1" applyFont="1" applyFill="1" applyBorder="1" applyAlignment="1">
      <alignment horizontal="right" vertical="center"/>
    </xf>
    <xf numFmtId="185" fontId="102" fillId="6" borderId="49" xfId="0" applyNumberFormat="1" applyFont="1" applyFill="1" applyBorder="1" applyAlignment="1">
      <alignment horizontal="right" vertical="center"/>
    </xf>
    <xf numFmtId="0" fontId="245"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2" fillId="6" borderId="37" xfId="0" applyNumberFormat="1" applyFont="1" applyFill="1" applyBorder="1" applyAlignment="1">
      <alignment horizontal="right" vertical="center"/>
    </xf>
    <xf numFmtId="185" fontId="102" fillId="6" borderId="38" xfId="0" applyNumberFormat="1" applyFont="1" applyFill="1" applyBorder="1" applyAlignment="1">
      <alignment horizontal="right" vertical="center"/>
    </xf>
    <xf numFmtId="0" fontId="116" fillId="12" borderId="37" xfId="0" applyFont="1" applyFill="1" applyBorder="1" applyAlignment="1" applyProtection="1">
      <alignment horizontal="center" vertical="center"/>
      <protection locked="0"/>
    </xf>
    <xf numFmtId="10" fontId="116" fillId="0" borderId="14" xfId="0" applyNumberFormat="1" applyFont="1" applyBorder="1" applyProtection="1">
      <alignment vertical="center"/>
      <protection locked="0"/>
    </xf>
    <xf numFmtId="49" fontId="187" fillId="6" borderId="63" xfId="1" applyNumberFormat="1" applyFont="1" applyFill="1" applyBorder="1" applyAlignment="1">
      <alignment horizontal="left" vertical="center"/>
    </xf>
    <xf numFmtId="49" fontId="56" fillId="22" borderId="37" xfId="0" applyNumberFormat="1" applyFont="1" applyFill="1" applyBorder="1" applyAlignment="1">
      <alignment horizontal="right" vertical="center"/>
    </xf>
    <xf numFmtId="49" fontId="56" fillId="6" borderId="37" xfId="0" applyNumberFormat="1" applyFont="1" applyFill="1" applyBorder="1" applyAlignment="1">
      <alignment horizontal="right" vertical="center"/>
    </xf>
    <xf numFmtId="49" fontId="53" fillId="22" borderId="37" xfId="1" applyNumberFormat="1" applyFont="1" applyFill="1" applyBorder="1" applyAlignment="1">
      <alignment horizontal="left" vertical="center"/>
    </xf>
    <xf numFmtId="49" fontId="53" fillId="6" borderId="37" xfId="1" applyNumberFormat="1" applyFont="1" applyFill="1" applyBorder="1" applyAlignment="1">
      <alignment horizontal="left" vertical="center"/>
    </xf>
    <xf numFmtId="49" fontId="187" fillId="22" borderId="23" xfId="1" applyNumberFormat="1" applyFont="1" applyFill="1" applyBorder="1" applyAlignment="1">
      <alignment horizontal="left" vertical="center"/>
    </xf>
    <xf numFmtId="49" fontId="125" fillId="22" borderId="37" xfId="1" applyNumberFormat="1" applyFont="1" applyFill="1" applyBorder="1" applyAlignment="1">
      <alignment horizontal="right" vertical="center"/>
    </xf>
    <xf numFmtId="49" fontId="22" fillId="22" borderId="37" xfId="1" applyNumberFormat="1" applyFont="1" applyFill="1" applyBorder="1" applyAlignment="1">
      <alignment horizontal="right" vertical="center"/>
    </xf>
    <xf numFmtId="49" fontId="22" fillId="6" borderId="37" xfId="1" applyNumberFormat="1" applyFont="1" applyFill="1" applyBorder="1" applyAlignment="1">
      <alignment horizontal="right" vertical="center"/>
    </xf>
    <xf numFmtId="49" fontId="230" fillId="22" borderId="37" xfId="1" applyNumberFormat="1" applyFont="1" applyFill="1" applyBorder="1" applyAlignment="1">
      <alignment horizontal="left" vertical="center"/>
    </xf>
    <xf numFmtId="49" fontId="56" fillId="22" borderId="37" xfId="1" applyNumberFormat="1" applyFont="1" applyFill="1" applyBorder="1" applyAlignment="1">
      <alignment horizontal="right" vertical="center"/>
    </xf>
    <xf numFmtId="49" fontId="187" fillId="6" borderId="37" xfId="1" applyNumberFormat="1" applyFont="1" applyFill="1" applyBorder="1" applyAlignment="1">
      <alignment horizontal="left" vertical="center"/>
    </xf>
    <xf numFmtId="49" fontId="187" fillId="6" borderId="25" xfId="0" applyNumberFormat="1" applyFont="1" applyFill="1" applyBorder="1" applyAlignment="1" applyProtection="1">
      <alignment horizontal="left" vertical="center"/>
      <protection locked="0"/>
    </xf>
    <xf numFmtId="0" fontId="80" fillId="6" borderId="48" xfId="0" applyFont="1" applyFill="1" applyBorder="1">
      <alignment vertical="center"/>
    </xf>
    <xf numFmtId="49" fontId="50" fillId="6" borderId="41" xfId="0" applyNumberFormat="1" applyFont="1" applyFill="1" applyBorder="1" applyAlignment="1" applyProtection="1">
      <alignment horizontal="right" vertical="center"/>
      <protection locked="0"/>
    </xf>
    <xf numFmtId="179" fontId="55" fillId="6" borderId="48" xfId="0" applyNumberFormat="1" applyFont="1" applyFill="1" applyBorder="1" applyAlignment="1">
      <alignment horizontal="right" vertical="center"/>
    </xf>
    <xf numFmtId="0" fontId="63" fillId="20" borderId="68" xfId="0" applyFont="1" applyFill="1" applyBorder="1">
      <alignment vertical="center"/>
    </xf>
    <xf numFmtId="185" fontId="53" fillId="6" borderId="36" xfId="0" applyNumberFormat="1" applyFont="1" applyFill="1" applyBorder="1" applyAlignment="1">
      <alignment horizontal="right" vertical="center"/>
    </xf>
    <xf numFmtId="185" fontId="57" fillId="6" borderId="34" xfId="0" applyNumberFormat="1" applyFont="1" applyFill="1" applyBorder="1" applyAlignment="1">
      <alignment horizontal="right" vertical="center"/>
    </xf>
    <xf numFmtId="185" fontId="57" fillId="6" borderId="28" xfId="0" applyNumberFormat="1" applyFont="1" applyFill="1" applyBorder="1" applyAlignment="1">
      <alignment horizontal="right" vertical="center" wrapText="1"/>
    </xf>
    <xf numFmtId="0" fontId="56" fillId="5" borderId="1" xfId="0" applyFont="1" applyFill="1" applyBorder="1" applyAlignment="1" applyProtection="1">
      <alignment horizontal="right" vertical="center" wrapText="1"/>
      <protection locked="0"/>
    </xf>
    <xf numFmtId="0" fontId="56" fillId="6" borderId="4" xfId="0" applyFont="1" applyFill="1" applyBorder="1" applyAlignment="1">
      <alignment horizontal="right" vertical="center" wrapText="1"/>
    </xf>
    <xf numFmtId="176" fontId="56" fillId="6" borderId="13" xfId="0" applyNumberFormat="1" applyFont="1" applyFill="1" applyBorder="1" applyAlignment="1">
      <alignment horizontal="right" vertical="center" wrapText="1"/>
    </xf>
    <xf numFmtId="0" fontId="56" fillId="6" borderId="13" xfId="0" applyFont="1" applyFill="1" applyBorder="1" applyAlignment="1">
      <alignment horizontal="right" vertical="center" wrapText="1"/>
    </xf>
    <xf numFmtId="0" fontId="56" fillId="0" borderId="9" xfId="0"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7" fontId="54" fillId="0" borderId="1" xfId="0" applyNumberFormat="1" applyFont="1" applyBorder="1" applyAlignment="1" applyProtection="1">
      <alignment horizontal="right" vertical="center" wrapText="1"/>
      <protection locked="0"/>
    </xf>
    <xf numFmtId="176" fontId="56" fillId="0" borderId="34" xfId="0" applyNumberFormat="1" applyFont="1" applyBorder="1" applyAlignment="1" applyProtection="1">
      <alignment horizontal="right" vertical="center" wrapText="1"/>
      <protection locked="0"/>
    </xf>
    <xf numFmtId="176" fontId="57" fillId="6" borderId="28" xfId="0" applyNumberFormat="1" applyFont="1" applyFill="1" applyBorder="1" applyAlignment="1">
      <alignment horizontal="right" vertical="center" wrapText="1"/>
    </xf>
    <xf numFmtId="176" fontId="56" fillId="0" borderId="13" xfId="0" applyNumberFormat="1" applyFont="1" applyBorder="1" applyAlignment="1" applyProtection="1">
      <alignment horizontal="right" vertical="center" wrapText="1"/>
      <protection locked="0"/>
    </xf>
    <xf numFmtId="176" fontId="56" fillId="0" borderId="61" xfId="0" applyNumberFormat="1" applyFont="1" applyBorder="1" applyAlignment="1" applyProtection="1">
      <alignment horizontal="right" vertical="center" wrapText="1"/>
      <protection locked="0"/>
    </xf>
    <xf numFmtId="176" fontId="56" fillId="6" borderId="9" xfId="0" applyNumberFormat="1" applyFont="1" applyFill="1" applyBorder="1" applyAlignment="1" applyProtection="1">
      <alignment horizontal="right" vertical="center" wrapText="1"/>
      <protection locked="0"/>
    </xf>
    <xf numFmtId="0" fontId="56" fillId="6" borderId="1" xfId="0" applyFont="1" applyFill="1" applyBorder="1" applyAlignment="1" applyProtection="1">
      <alignment horizontal="right" vertical="center" wrapText="1"/>
      <protection locked="0"/>
    </xf>
    <xf numFmtId="0" fontId="56" fillId="6" borderId="32" xfId="0" applyFont="1" applyFill="1" applyBorder="1" applyAlignment="1" applyProtection="1">
      <alignment horizontal="right" vertical="center" wrapText="1"/>
      <protection locked="0"/>
    </xf>
    <xf numFmtId="176" fontId="57" fillId="6" borderId="2" xfId="0" applyNumberFormat="1" applyFont="1" applyFill="1" applyBorder="1" applyAlignment="1">
      <alignment horizontal="right" vertical="center" wrapText="1"/>
    </xf>
    <xf numFmtId="176" fontId="56" fillId="6" borderId="74" xfId="0" applyNumberFormat="1" applyFont="1" applyFill="1" applyBorder="1" applyAlignment="1">
      <alignment horizontal="right" vertical="center" wrapText="1"/>
    </xf>
    <xf numFmtId="192" fontId="53" fillId="6" borderId="75" xfId="0" applyNumberFormat="1" applyFont="1" applyFill="1" applyBorder="1" applyAlignment="1">
      <alignment horizontal="right" vertical="center" wrapText="1"/>
    </xf>
    <xf numFmtId="192" fontId="53" fillId="6" borderId="84" xfId="0" applyNumberFormat="1" applyFont="1" applyFill="1" applyBorder="1" applyAlignment="1">
      <alignment horizontal="right" vertical="center" wrapText="1"/>
    </xf>
    <xf numFmtId="186" fontId="53" fillId="6" borderId="17" xfId="0" applyNumberFormat="1" applyFont="1" applyFill="1" applyBorder="1" applyAlignment="1">
      <alignment horizontal="right" vertical="center" wrapText="1"/>
    </xf>
    <xf numFmtId="0" fontId="54" fillId="6" borderId="9" xfId="0" applyFont="1" applyFill="1" applyBorder="1" applyAlignment="1">
      <alignment horizontal="right" vertical="center" wrapText="1"/>
    </xf>
    <xf numFmtId="192" fontId="53" fillId="6" borderId="15" xfId="0" applyNumberFormat="1" applyFont="1" applyFill="1" applyBorder="1" applyAlignment="1">
      <alignment horizontal="right" vertical="center" wrapText="1"/>
    </xf>
    <xf numFmtId="186" fontId="53" fillId="6" borderId="84" xfId="0" applyNumberFormat="1" applyFont="1" applyFill="1" applyBorder="1" applyAlignment="1">
      <alignment horizontal="right" vertical="center" wrapText="1"/>
    </xf>
    <xf numFmtId="185" fontId="57" fillId="6" borderId="1" xfId="0" applyNumberFormat="1" applyFont="1" applyFill="1" applyBorder="1" applyAlignment="1">
      <alignment horizontal="right" vertical="center" wrapText="1"/>
    </xf>
    <xf numFmtId="185" fontId="57" fillId="6" borderId="15" xfId="0" applyNumberFormat="1" applyFont="1" applyFill="1" applyBorder="1" applyAlignment="1">
      <alignment horizontal="right" vertical="center" wrapText="1"/>
    </xf>
    <xf numFmtId="176" fontId="56" fillId="0" borderId="1" xfId="0" applyNumberFormat="1" applyFont="1" applyBorder="1" applyAlignment="1" applyProtection="1">
      <alignment horizontal="right" vertical="center" wrapText="1"/>
      <protection locked="0"/>
    </xf>
    <xf numFmtId="185" fontId="56" fillId="6" borderId="32" xfId="0" applyNumberFormat="1" applyFont="1" applyFill="1" applyBorder="1" applyAlignment="1">
      <alignment horizontal="right" vertical="center" wrapText="1"/>
    </xf>
    <xf numFmtId="176" fontId="56" fillId="0" borderId="32" xfId="0" applyNumberFormat="1" applyFont="1" applyBorder="1" applyAlignment="1" applyProtection="1">
      <alignment horizontal="right" vertical="center" wrapText="1"/>
      <protection locked="0"/>
    </xf>
    <xf numFmtId="176" fontId="57" fillId="6" borderId="1" xfId="0" applyNumberFormat="1" applyFont="1" applyFill="1" applyBorder="1" applyAlignment="1">
      <alignment horizontal="right" vertical="center" wrapText="1"/>
    </xf>
    <xf numFmtId="176" fontId="57" fillId="6" borderId="32" xfId="0" applyNumberFormat="1" applyFont="1" applyFill="1" applyBorder="1" applyAlignment="1">
      <alignment horizontal="right" vertical="center" wrapText="1"/>
    </xf>
    <xf numFmtId="176" fontId="56" fillId="6" borderId="32" xfId="0" applyNumberFormat="1" applyFont="1" applyFill="1" applyBorder="1" applyAlignment="1">
      <alignment horizontal="right" vertical="center" wrapText="1"/>
    </xf>
    <xf numFmtId="192" fontId="54" fillId="6" borderId="1" xfId="0" applyNumberFormat="1" applyFont="1" applyFill="1" applyBorder="1" applyAlignment="1">
      <alignment horizontal="right" vertical="center" wrapText="1"/>
    </xf>
    <xf numFmtId="176" fontId="54" fillId="6" borderId="24" xfId="0" applyNumberFormat="1" applyFont="1" applyFill="1" applyBorder="1" applyAlignment="1">
      <alignment horizontal="right" vertical="center" wrapText="1"/>
    </xf>
    <xf numFmtId="0" fontId="61" fillId="6" borderId="1" xfId="8" applyFont="1" applyFill="1" applyBorder="1" applyAlignment="1">
      <alignment horizontal="right" vertical="center" wrapText="1"/>
    </xf>
    <xf numFmtId="0" fontId="61" fillId="0" borderId="1" xfId="8" applyFont="1" applyBorder="1" applyAlignment="1" applyProtection="1">
      <alignment horizontal="right" vertical="center" wrapText="1"/>
      <protection locked="0"/>
    </xf>
    <xf numFmtId="0" fontId="61" fillId="0" borderId="1" xfId="8" applyFont="1" applyBorder="1" applyAlignment="1">
      <alignment horizontal="right" vertical="center" wrapText="1"/>
    </xf>
    <xf numFmtId="0" fontId="56" fillId="6" borderId="33" xfId="0" applyFont="1" applyFill="1" applyBorder="1" applyAlignment="1">
      <alignment horizontal="right" vertical="center" wrapText="1"/>
    </xf>
    <xf numFmtId="10" fontId="56" fillId="6" borderId="17" xfId="0" applyNumberFormat="1" applyFont="1" applyFill="1" applyBorder="1" applyAlignment="1">
      <alignment horizontal="right" vertical="center" wrapText="1"/>
    </xf>
    <xf numFmtId="14" fontId="54" fillId="6" borderId="84" xfId="0" applyNumberFormat="1" applyFont="1" applyFill="1" applyBorder="1" applyAlignment="1">
      <alignment horizontal="left" vertical="center" wrapText="1"/>
    </xf>
    <xf numFmtId="14" fontId="54" fillId="6" borderId="64" xfId="0" applyNumberFormat="1" applyFont="1" applyFill="1" applyBorder="1" applyAlignment="1">
      <alignment horizontal="left" vertical="center" wrapText="1"/>
    </xf>
    <xf numFmtId="181" fontId="102" fillId="6" borderId="17" xfId="0" applyNumberFormat="1" applyFont="1" applyFill="1" applyBorder="1" applyAlignment="1">
      <alignment horizontal="right" vertical="center" wrapText="1"/>
    </xf>
    <xf numFmtId="0" fontId="56" fillId="6" borderId="29" xfId="0" applyFont="1" applyFill="1" applyBorder="1" applyAlignment="1">
      <alignment horizontal="right" vertical="center" wrapText="1"/>
    </xf>
    <xf numFmtId="0" fontId="56" fillId="6" borderId="62" xfId="0" applyFont="1" applyFill="1" applyBorder="1" applyAlignment="1">
      <alignment horizontal="right" vertical="center" wrapText="1"/>
    </xf>
    <xf numFmtId="0" fontId="56" fillId="6" borderId="66" xfId="0" applyFont="1" applyFill="1" applyBorder="1" applyAlignment="1">
      <alignment horizontal="right" vertical="center" wrapText="1"/>
    </xf>
    <xf numFmtId="0" fontId="56" fillId="6" borderId="74" xfId="0" applyFont="1" applyFill="1" applyBorder="1" applyAlignment="1">
      <alignment horizontal="right" vertical="center" wrapText="1"/>
    </xf>
    <xf numFmtId="0" fontId="56" fillId="6" borderId="75" xfId="0" applyFont="1" applyFill="1" applyBorder="1" applyAlignment="1">
      <alignment horizontal="right" vertical="center" wrapText="1"/>
    </xf>
    <xf numFmtId="0" fontId="56" fillId="6" borderId="76" xfId="0" applyFont="1" applyFill="1" applyBorder="1" applyAlignment="1">
      <alignment horizontal="right" vertical="center" wrapText="1"/>
    </xf>
    <xf numFmtId="0" fontId="116" fillId="0" borderId="1" xfId="8" applyFont="1" applyBorder="1" applyAlignment="1" applyProtection="1">
      <alignment horizontal="right" vertical="center"/>
      <protection locked="0"/>
    </xf>
    <xf numFmtId="0" fontId="116" fillId="6" borderId="1" xfId="8" applyFont="1" applyFill="1" applyBorder="1" applyAlignment="1">
      <alignment horizontal="right" vertical="center"/>
    </xf>
    <xf numFmtId="0" fontId="116" fillId="6" borderId="1" xfId="8" applyFont="1" applyFill="1" applyBorder="1" applyAlignment="1">
      <alignment horizontal="right" vertical="center" wrapText="1"/>
    </xf>
    <xf numFmtId="0" fontId="56" fillId="6" borderId="1" xfId="8" applyFont="1" applyFill="1" applyBorder="1" applyAlignment="1" applyProtection="1">
      <alignment horizontal="right" vertical="center" wrapText="1"/>
      <protection locked="0"/>
    </xf>
    <xf numFmtId="0" fontId="102" fillId="6" borderId="1" xfId="8" applyFont="1" applyFill="1" applyBorder="1" applyAlignment="1">
      <alignment horizontal="right" vertical="center"/>
    </xf>
    <xf numFmtId="179" fontId="56" fillId="6" borderId="1" xfId="8" applyNumberFormat="1" applyFont="1" applyFill="1" applyBorder="1" applyAlignment="1" applyProtection="1">
      <alignment horizontal="right" vertical="center" wrapText="1"/>
      <protection locked="0"/>
    </xf>
    <xf numFmtId="0" fontId="102" fillId="6" borderId="7" xfId="0" applyFont="1" applyFill="1" applyBorder="1" applyAlignment="1">
      <alignment horizontal="left" vertical="center" wrapText="1"/>
    </xf>
    <xf numFmtId="0" fontId="102" fillId="6" borderId="66" xfId="0" applyFont="1" applyFill="1" applyBorder="1" applyAlignment="1">
      <alignment horizontal="left" vertical="center" wrapText="1"/>
    </xf>
    <xf numFmtId="186" fontId="206" fillId="6" borderId="19" xfId="0" applyNumberFormat="1" applyFont="1" applyFill="1" applyBorder="1" applyAlignment="1">
      <alignment horizontal="right" vertical="center" wrapText="1"/>
    </xf>
    <xf numFmtId="10" fontId="102" fillId="6" borderId="1" xfId="0" applyNumberFormat="1" applyFont="1" applyFill="1" applyBorder="1" applyAlignment="1">
      <alignment horizontal="right" vertical="center" wrapText="1"/>
    </xf>
    <xf numFmtId="10" fontId="56" fillId="6" borderId="61" xfId="0" applyNumberFormat="1" applyFont="1" applyFill="1" applyBorder="1" applyAlignment="1">
      <alignment horizontal="right" vertical="center" wrapText="1"/>
    </xf>
    <xf numFmtId="10" fontId="56" fillId="6" borderId="53" xfId="0" applyNumberFormat="1" applyFont="1" applyFill="1" applyBorder="1" applyAlignment="1">
      <alignment horizontal="right" vertical="center" wrapText="1"/>
    </xf>
    <xf numFmtId="10" fontId="56" fillId="6" borderId="76" xfId="0" applyNumberFormat="1" applyFont="1" applyFill="1" applyBorder="1" applyAlignment="1">
      <alignment horizontal="right" vertical="center" wrapText="1"/>
    </xf>
    <xf numFmtId="10" fontId="101" fillId="0" borderId="1" xfId="0" applyNumberFormat="1" applyFont="1" applyBorder="1" applyAlignment="1" applyProtection="1">
      <alignment horizontal="right" vertical="center"/>
      <protection locked="0"/>
    </xf>
    <xf numFmtId="10" fontId="101" fillId="6" borderId="1" xfId="0" applyNumberFormat="1" applyFont="1" applyFill="1" applyBorder="1" applyAlignment="1">
      <alignment horizontal="right" vertical="center"/>
    </xf>
    <xf numFmtId="9" fontId="102" fillId="6" borderId="1" xfId="17" applyFont="1" applyFill="1" applyBorder="1" applyAlignment="1" applyProtection="1">
      <alignment horizontal="right" vertical="center" wrapText="1"/>
    </xf>
    <xf numFmtId="10" fontId="54" fillId="6" borderId="1" xfId="0" applyNumberFormat="1" applyFont="1" applyFill="1" applyBorder="1" applyAlignment="1">
      <alignment horizontal="right" vertical="center" wrapText="1"/>
    </xf>
    <xf numFmtId="9" fontId="102" fillId="6" borderId="32" xfId="17" applyFont="1" applyFill="1" applyBorder="1" applyAlignment="1" applyProtection="1">
      <alignment horizontal="right" vertical="center" wrapText="1"/>
    </xf>
    <xf numFmtId="10" fontId="56" fillId="6" borderId="0" xfId="0" applyNumberFormat="1" applyFont="1" applyFill="1" applyAlignment="1">
      <alignment horizontal="right" vertical="center" wrapText="1"/>
    </xf>
    <xf numFmtId="0" fontId="102" fillId="6" borderId="1" xfId="0" applyFont="1" applyFill="1" applyBorder="1" applyAlignment="1">
      <alignment horizontal="right" vertical="center" wrapText="1"/>
    </xf>
    <xf numFmtId="0" fontId="56" fillId="6" borderId="61" xfId="0" applyFont="1" applyFill="1" applyBorder="1" applyAlignment="1">
      <alignment horizontal="right" vertical="center" wrapText="1"/>
    </xf>
    <xf numFmtId="10" fontId="101" fillId="0" borderId="0" xfId="0" applyNumberFormat="1" applyFont="1" applyAlignment="1" applyProtection="1">
      <alignment horizontal="right" vertical="center"/>
      <protection locked="0"/>
    </xf>
    <xf numFmtId="10" fontId="101" fillId="6" borderId="1" xfId="17" applyNumberFormat="1" applyFont="1" applyFill="1" applyBorder="1" applyAlignment="1" applyProtection="1">
      <alignment horizontal="right" vertical="center"/>
    </xf>
    <xf numFmtId="0" fontId="54" fillId="6" borderId="1" xfId="0" applyFont="1" applyFill="1" applyBorder="1" applyAlignment="1">
      <alignment horizontal="right" vertical="center" wrapText="1"/>
    </xf>
    <xf numFmtId="0" fontId="56" fillId="6" borderId="53" xfId="0" applyFont="1" applyFill="1" applyBorder="1" applyAlignment="1">
      <alignment horizontal="right" vertical="center" wrapText="1"/>
    </xf>
    <xf numFmtId="0" fontId="116" fillId="6" borderId="1" xfId="0" applyFont="1" applyFill="1" applyBorder="1" applyAlignment="1">
      <alignment horizontal="right" vertical="center"/>
    </xf>
    <xf numFmtId="0" fontId="116" fillId="6" borderId="1" xfId="0" applyFont="1" applyFill="1" applyBorder="1" applyAlignment="1">
      <alignment horizontal="right" vertical="center" wrapText="1"/>
    </xf>
    <xf numFmtId="0" fontId="116" fillId="6" borderId="24" xfId="0" applyFont="1" applyFill="1" applyBorder="1" applyAlignment="1">
      <alignment horizontal="right" vertical="center" wrapText="1"/>
    </xf>
    <xf numFmtId="0" fontId="116" fillId="6" borderId="32" xfId="0" applyFont="1" applyFill="1" applyBorder="1" applyAlignment="1">
      <alignment horizontal="right" vertical="center" wrapText="1"/>
    </xf>
    <xf numFmtId="0" fontId="116" fillId="6" borderId="49" xfId="0" applyFont="1" applyFill="1" applyBorder="1" applyAlignment="1">
      <alignment horizontal="right" vertical="center" wrapText="1"/>
    </xf>
    <xf numFmtId="0" fontId="56" fillId="6" borderId="9" xfId="3" applyFont="1" applyFill="1" applyBorder="1" applyAlignment="1">
      <alignment horizontal="left" vertical="center" wrapText="1"/>
    </xf>
    <xf numFmtId="0" fontId="56" fillId="6" borderId="10" xfId="3" applyFont="1" applyFill="1" applyBorder="1" applyAlignment="1">
      <alignment horizontal="left" vertical="center"/>
    </xf>
    <xf numFmtId="0" fontId="22" fillId="0" borderId="25" xfId="0" applyFont="1" applyBorder="1" applyAlignment="1">
      <alignment horizontal="left" vertical="center" wrapText="1"/>
    </xf>
    <xf numFmtId="0" fontId="56" fillId="6" borderId="26" xfId="0" applyFont="1" applyFill="1" applyBorder="1" applyAlignment="1">
      <alignment horizontal="left" vertical="center" wrapText="1"/>
    </xf>
    <xf numFmtId="0" fontId="56" fillId="6" borderId="84" xfId="0" applyFont="1" applyFill="1" applyBorder="1" applyAlignment="1">
      <alignment horizontal="left" vertical="center" wrapText="1"/>
    </xf>
    <xf numFmtId="0" fontId="172" fillId="6" borderId="84" xfId="3" applyFont="1" applyFill="1" applyBorder="1" applyAlignment="1">
      <alignment horizontal="left" vertical="center"/>
    </xf>
    <xf numFmtId="0" fontId="56" fillId="6" borderId="67" xfId="0" applyFont="1" applyFill="1" applyBorder="1" applyAlignment="1">
      <alignment horizontal="left" vertical="center" wrapText="1"/>
    </xf>
    <xf numFmtId="179" fontId="116" fillId="6" borderId="84" xfId="0" applyNumberFormat="1" applyFont="1" applyFill="1" applyBorder="1" applyAlignment="1">
      <alignment horizontal="right" vertical="center" wrapText="1"/>
    </xf>
    <xf numFmtId="0" fontId="116" fillId="6" borderId="64" xfId="0" applyFont="1" applyFill="1" applyBorder="1" applyAlignment="1">
      <alignment horizontal="right" vertical="center" wrapText="1"/>
    </xf>
    <xf numFmtId="0" fontId="102" fillId="6" borderId="5" xfId="0" applyFont="1" applyFill="1" applyBorder="1">
      <alignment vertical="center"/>
    </xf>
    <xf numFmtId="0" fontId="102" fillId="6" borderId="3" xfId="0" applyFont="1" applyFill="1" applyBorder="1">
      <alignment vertical="center"/>
    </xf>
    <xf numFmtId="0" fontId="55" fillId="6" borderId="48" xfId="0" applyFont="1" applyFill="1" applyBorder="1" applyAlignment="1">
      <alignment horizontal="right" vertical="center"/>
    </xf>
    <xf numFmtId="185" fontId="50" fillId="6" borderId="22" xfId="0" applyNumberFormat="1" applyFont="1" applyFill="1" applyBorder="1" applyAlignment="1">
      <alignment horizontal="right" vertical="center"/>
    </xf>
    <xf numFmtId="0" fontId="55" fillId="6" borderId="176" xfId="0" applyFont="1" applyFill="1" applyBorder="1" applyAlignment="1">
      <alignment horizontal="center" vertical="center"/>
    </xf>
    <xf numFmtId="0" fontId="55" fillId="6" borderId="5" xfId="0" applyFont="1" applyFill="1" applyBorder="1" applyAlignment="1">
      <alignment horizontal="right" vertical="center"/>
    </xf>
    <xf numFmtId="0" fontId="55" fillId="6" borderId="44" xfId="0" applyFont="1" applyFill="1" applyBorder="1" applyAlignment="1">
      <alignment horizontal="left" vertical="center" wrapText="1"/>
    </xf>
    <xf numFmtId="0" fontId="55" fillId="6" borderId="44" xfId="0" applyFont="1" applyFill="1" applyBorder="1" applyAlignment="1">
      <alignment horizontal="left" vertical="center"/>
    </xf>
    <xf numFmtId="0" fontId="105" fillId="6" borderId="1" xfId="0" applyFont="1" applyFill="1" applyBorder="1">
      <alignment vertical="center"/>
    </xf>
    <xf numFmtId="0" fontId="56" fillId="6" borderId="16" xfId="0" applyFont="1" applyFill="1" applyBorder="1" applyAlignment="1">
      <alignment horizontal="right" vertical="center"/>
    </xf>
    <xf numFmtId="0" fontId="22" fillId="6" borderId="8" xfId="0" applyFont="1" applyFill="1" applyBorder="1">
      <alignment vertical="center"/>
    </xf>
    <xf numFmtId="0" fontId="187" fillId="22" borderId="24" xfId="0" applyFont="1" applyFill="1" applyBorder="1" applyAlignment="1">
      <alignment horizontal="left" vertical="center"/>
    </xf>
    <xf numFmtId="184" fontId="56" fillId="0" borderId="1" xfId="4" applyNumberFormat="1" applyFont="1" applyBorder="1" applyAlignment="1" applyProtection="1">
      <alignment horizontal="left" vertical="center"/>
      <protection locked="0"/>
    </xf>
    <xf numFmtId="9" fontId="56" fillId="0" borderId="1" xfId="17" applyFont="1" applyFill="1" applyBorder="1" applyAlignment="1" applyProtection="1">
      <alignment horizontal="left" vertical="center"/>
      <protection locked="0"/>
    </xf>
    <xf numFmtId="10" fontId="56" fillId="0" borderId="1" xfId="17" applyNumberFormat="1" applyFont="1" applyFill="1" applyBorder="1" applyAlignment="1" applyProtection="1">
      <alignment horizontal="left" vertical="center"/>
      <protection locked="0"/>
    </xf>
    <xf numFmtId="9" fontId="105" fillId="0" borderId="1" xfId="17" applyFont="1" applyFill="1" applyBorder="1" applyAlignment="1" applyProtection="1">
      <alignment horizontal="left" vertical="center"/>
      <protection locked="0"/>
    </xf>
    <xf numFmtId="0" fontId="22" fillId="3" borderId="0" xfId="0" applyFont="1" applyFill="1" applyProtection="1">
      <alignment vertical="center"/>
      <protection locked="0"/>
    </xf>
    <xf numFmtId="0" fontId="56" fillId="3" borderId="1" xfId="0" applyFont="1" applyFill="1" applyBorder="1">
      <alignment vertical="center"/>
    </xf>
    <xf numFmtId="0" fontId="56" fillId="3" borderId="0" xfId="0" applyFont="1" applyFill="1">
      <alignment vertical="center"/>
    </xf>
    <xf numFmtId="0" fontId="56" fillId="3" borderId="1" xfId="0" applyFont="1" applyFill="1" applyBorder="1" applyAlignment="1">
      <alignment horizontal="left" vertical="center" wrapText="1"/>
    </xf>
    <xf numFmtId="0" fontId="56" fillId="3" borderId="1" xfId="0" applyFont="1" applyFill="1" applyBorder="1" applyAlignment="1">
      <alignment horizontal="center" vertical="center" wrapText="1"/>
    </xf>
    <xf numFmtId="0" fontId="22" fillId="3" borderId="1" xfId="0" applyFont="1" applyFill="1" applyBorder="1">
      <alignment vertical="center"/>
    </xf>
    <xf numFmtId="0" fontId="56" fillId="3" borderId="1" xfId="0" applyFont="1" applyFill="1" applyBorder="1" applyAlignment="1">
      <alignment vertical="center" wrapText="1"/>
    </xf>
    <xf numFmtId="9" fontId="22" fillId="6" borderId="24" xfId="0" applyNumberFormat="1" applyFont="1" applyFill="1" applyBorder="1" applyAlignment="1">
      <alignment horizontal="right" vertical="center" wrapText="1"/>
    </xf>
    <xf numFmtId="0" fontId="22" fillId="6" borderId="24" xfId="0" applyFont="1" applyFill="1" applyBorder="1" applyAlignment="1">
      <alignment horizontal="right" vertical="center" wrapText="1"/>
    </xf>
    <xf numFmtId="0" fontId="80" fillId="6" borderId="24" xfId="0" applyFont="1" applyFill="1" applyBorder="1">
      <alignment vertical="center"/>
    </xf>
    <xf numFmtId="49" fontId="50" fillId="18" borderId="23" xfId="0" applyNumberFormat="1" applyFont="1" applyFill="1" applyBorder="1" applyAlignment="1">
      <alignment horizontal="left" vertical="center" wrapText="1"/>
    </xf>
    <xf numFmtId="0" fontId="56" fillId="18" borderId="1" xfId="0" applyFont="1" applyFill="1" applyBorder="1" applyAlignment="1">
      <alignment horizontal="left" vertical="center" wrapText="1"/>
    </xf>
    <xf numFmtId="0" fontId="56" fillId="18" borderId="1" xfId="0" applyFont="1" applyFill="1" applyBorder="1" applyAlignment="1">
      <alignment horizontal="right" vertical="center" wrapText="1"/>
    </xf>
    <xf numFmtId="10" fontId="55" fillId="18" borderId="5" xfId="0" applyNumberFormat="1" applyFont="1" applyFill="1" applyBorder="1" applyAlignment="1">
      <alignment horizontal="right" vertical="center" wrapText="1"/>
    </xf>
    <xf numFmtId="0" fontId="57" fillId="18" borderId="1" xfId="0" applyFont="1" applyFill="1" applyBorder="1" applyAlignment="1">
      <alignment horizontal="right" vertical="center" wrapText="1"/>
    </xf>
    <xf numFmtId="9" fontId="56" fillId="18" borderId="1" xfId="0" applyNumberFormat="1" applyFont="1" applyFill="1" applyBorder="1" applyAlignment="1">
      <alignment horizontal="right" vertical="center" wrapText="1"/>
    </xf>
    <xf numFmtId="0" fontId="50" fillId="18" borderId="5" xfId="0" applyFont="1" applyFill="1" applyBorder="1" applyAlignment="1">
      <alignment horizontal="left" vertical="center"/>
    </xf>
    <xf numFmtId="0" fontId="50" fillId="18" borderId="54" xfId="0" applyFont="1" applyFill="1" applyBorder="1" applyAlignment="1">
      <alignment horizontal="left" vertical="center" wrapText="1"/>
    </xf>
    <xf numFmtId="0" fontId="47" fillId="18" borderId="48" xfId="2" applyFont="1" applyFill="1" applyBorder="1" applyAlignment="1">
      <alignment horizontal="left" vertical="center" wrapText="1"/>
    </xf>
    <xf numFmtId="0" fontId="50" fillId="18" borderId="48" xfId="2" applyFont="1" applyFill="1" applyBorder="1" applyAlignment="1">
      <alignment horizontal="left" vertical="center" wrapText="1"/>
    </xf>
    <xf numFmtId="0" fontId="80" fillId="18" borderId="5" xfId="0" applyFont="1" applyFill="1" applyBorder="1" applyAlignment="1">
      <alignment horizontal="left" vertical="center"/>
    </xf>
    <xf numFmtId="0" fontId="285" fillId="6" borderId="32" xfId="0" applyFont="1" applyFill="1" applyBorder="1" applyAlignment="1">
      <alignment horizontal="left" vertical="center" wrapText="1"/>
    </xf>
    <xf numFmtId="0" fontId="55" fillId="6" borderId="23" xfId="0" applyFont="1" applyFill="1" applyBorder="1" applyAlignment="1">
      <alignment horizontal="left" vertical="center" wrapText="1"/>
    </xf>
    <xf numFmtId="0" fontId="82" fillId="6" borderId="1" xfId="0" applyFont="1" applyFill="1" applyBorder="1" applyAlignment="1">
      <alignment horizontal="left" vertical="center" wrapText="1"/>
    </xf>
    <xf numFmtId="0" fontId="105" fillId="6" borderId="23" xfId="0" applyFont="1" applyFill="1" applyBorder="1" applyAlignment="1">
      <alignment horizontal="left" vertical="center" wrapText="1"/>
    </xf>
    <xf numFmtId="0" fontId="50" fillId="18" borderId="5" xfId="0" applyFont="1" applyFill="1" applyBorder="1" applyAlignment="1">
      <alignment horizontal="right"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80" fillId="0" borderId="1" xfId="0" applyFont="1" applyBorder="1" applyAlignment="1" applyProtection="1">
      <alignment vertical="center" wrapText="1"/>
      <protection locked="0"/>
    </xf>
    <xf numFmtId="0" fontId="296" fillId="0" borderId="0" xfId="19" applyFont="1" applyAlignment="1">
      <alignment horizontal="left" vertical="center"/>
    </xf>
    <xf numFmtId="0" fontId="296" fillId="0" borderId="1" xfId="19" applyFont="1" applyBorder="1" applyAlignment="1">
      <alignment horizontal="left" vertical="center"/>
    </xf>
    <xf numFmtId="14" fontId="110" fillId="0" borderId="1" xfId="19" applyNumberFormat="1" applyFont="1" applyBorder="1" applyAlignment="1">
      <alignment horizontal="left" vertical="center"/>
    </xf>
    <xf numFmtId="0" fontId="296" fillId="5" borderId="0" xfId="19" applyFont="1" applyFill="1" applyAlignment="1">
      <alignment horizontal="left" vertical="center"/>
    </xf>
    <xf numFmtId="0" fontId="296" fillId="5" borderId="1" xfId="19" applyFont="1" applyFill="1" applyBorder="1" applyAlignment="1">
      <alignment horizontal="left" vertical="center"/>
    </xf>
    <xf numFmtId="14" fontId="110" fillId="5" borderId="1" xfId="19" applyNumberFormat="1" applyFont="1" applyFill="1" applyBorder="1" applyAlignment="1">
      <alignment horizontal="left" vertical="center"/>
    </xf>
    <xf numFmtId="0" fontId="296" fillId="15" borderId="0" xfId="19" applyFont="1" applyFill="1" applyAlignment="1">
      <alignment horizontal="left" vertical="center"/>
    </xf>
    <xf numFmtId="0" fontId="296" fillId="15" borderId="1" xfId="19" applyFont="1" applyFill="1" applyBorder="1" applyAlignment="1">
      <alignment horizontal="left" vertical="center"/>
    </xf>
    <xf numFmtId="14" fontId="110" fillId="15" borderId="1" xfId="19" applyNumberFormat="1" applyFont="1" applyFill="1" applyBorder="1" applyAlignment="1">
      <alignment horizontal="left" vertical="center"/>
    </xf>
    <xf numFmtId="0" fontId="245" fillId="0" borderId="1" xfId="18" applyFont="1" applyBorder="1" applyAlignment="1">
      <alignment horizontal="left"/>
    </xf>
    <xf numFmtId="0" fontId="97" fillId="0" borderId="9" xfId="0" applyFont="1" applyBorder="1" applyAlignment="1" applyProtection="1">
      <alignment horizontal="center" vertical="center" wrapText="1"/>
      <protection locked="0"/>
    </xf>
    <xf numFmtId="0" fontId="131" fillId="0" borderId="44" xfId="0" applyFont="1" applyBorder="1" applyAlignment="1" applyProtection="1">
      <alignment horizontal="center" vertical="center" wrapText="1"/>
      <protection locked="0"/>
    </xf>
    <xf numFmtId="0" fontId="3" fillId="9" borderId="1" xfId="19" applyFill="1" applyBorder="1" applyAlignment="1">
      <alignment horizontal="left" vertical="center"/>
    </xf>
    <xf numFmtId="0" fontId="3" fillId="0" borderId="0" xfId="19" applyAlignment="1">
      <alignment horizontal="left" vertical="center"/>
    </xf>
    <xf numFmtId="3" fontId="3" fillId="9" borderId="1" xfId="19" applyNumberFormat="1" applyFill="1" applyBorder="1" applyAlignment="1">
      <alignment horizontal="left" vertical="center"/>
    </xf>
    <xf numFmtId="4" fontId="3" fillId="9" borderId="1" xfId="19" applyNumberFormat="1" applyFill="1" applyBorder="1" applyAlignment="1">
      <alignment horizontal="left" vertical="center"/>
    </xf>
    <xf numFmtId="14" fontId="3" fillId="9" borderId="1" xfId="19" applyNumberFormat="1" applyFill="1" applyBorder="1" applyAlignment="1">
      <alignment horizontal="left" vertical="center"/>
    </xf>
    <xf numFmtId="14" fontId="3" fillId="0" borderId="0" xfId="19" applyNumberFormat="1" applyAlignment="1">
      <alignment horizontal="left" vertical="center"/>
    </xf>
    <xf numFmtId="3" fontId="3" fillId="0" borderId="0" xfId="19" applyNumberFormat="1" applyAlignment="1">
      <alignment horizontal="left" vertical="center"/>
    </xf>
    <xf numFmtId="4" fontId="3" fillId="0" borderId="0" xfId="19" applyNumberFormat="1" applyAlignment="1">
      <alignment horizontal="left" vertical="center"/>
    </xf>
    <xf numFmtId="14" fontId="3" fillId="9" borderId="0" xfId="19" applyNumberFormat="1" applyFill="1" applyAlignment="1">
      <alignment horizontal="left" vertical="center"/>
    </xf>
    <xf numFmtId="0" fontId="3" fillId="9" borderId="0" xfId="19" applyFill="1" applyAlignment="1">
      <alignment horizontal="left" vertical="center"/>
    </xf>
    <xf numFmtId="3" fontId="3" fillId="9" borderId="0" xfId="19" applyNumberFormat="1" applyFill="1" applyAlignment="1">
      <alignment horizontal="left" vertical="center"/>
    </xf>
    <xf numFmtId="4" fontId="3" fillId="9" borderId="0" xfId="19" applyNumberFormat="1" applyFill="1" applyAlignment="1">
      <alignment horizontal="left" vertical="center"/>
    </xf>
    <xf numFmtId="0" fontId="3" fillId="0" borderId="0" xfId="19"/>
    <xf numFmtId="3" fontId="3" fillId="0" borderId="0" xfId="19" applyNumberFormat="1"/>
    <xf numFmtId="4" fontId="3" fillId="0" borderId="0" xfId="19" applyNumberFormat="1"/>
    <xf numFmtId="0" fontId="98" fillId="0" borderId="0" xfId="18">
      <alignment vertical="center"/>
    </xf>
    <xf numFmtId="0" fontId="131" fillId="0" borderId="51" xfId="0" applyFont="1" applyBorder="1" applyAlignment="1" applyProtection="1">
      <alignment horizontal="left" vertical="center" wrapText="1"/>
      <protection locked="0"/>
    </xf>
    <xf numFmtId="14" fontId="3" fillId="0" borderId="0" xfId="19" applyNumberFormat="1"/>
    <xf numFmtId="0" fontId="131" fillId="0" borderId="51" xfId="0" applyFont="1" applyBorder="1" applyAlignment="1" applyProtection="1">
      <alignment horizontal="center" vertical="center" wrapText="1"/>
      <protection locked="0"/>
    </xf>
    <xf numFmtId="0" fontId="2" fillId="0" borderId="0" xfId="19" applyFont="1" applyAlignment="1">
      <alignment horizontal="left" vertical="center"/>
    </xf>
    <xf numFmtId="0" fontId="2" fillId="0" borderId="0" xfId="19" applyFont="1"/>
    <xf numFmtId="0" fontId="2" fillId="0" borderId="0" xfId="20" applyAlignment="1">
      <alignment horizontal="left" vertical="center"/>
    </xf>
    <xf numFmtId="0" fontId="2" fillId="0" borderId="0" xfId="20"/>
    <xf numFmtId="0" fontId="2" fillId="5" borderId="0" xfId="20" applyFill="1" applyAlignment="1">
      <alignment horizontal="left" vertical="center"/>
    </xf>
    <xf numFmtId="0" fontId="2" fillId="5" borderId="0" xfId="20" applyFill="1"/>
    <xf numFmtId="0" fontId="159" fillId="5" borderId="0" xfId="0" applyFont="1" applyFill="1" applyAlignment="1" applyProtection="1">
      <alignment horizontal="center" vertical="center"/>
      <protection locked="0"/>
    </xf>
    <xf numFmtId="0" fontId="97" fillId="0" borderId="23" xfId="0" applyFont="1" applyBorder="1" applyAlignment="1" applyProtection="1">
      <alignment horizontal="left" vertical="center" wrapText="1"/>
      <protection locked="0"/>
    </xf>
    <xf numFmtId="0" fontId="298" fillId="0" borderId="23" xfId="0" applyFont="1" applyBorder="1" applyAlignment="1" applyProtection="1">
      <alignment horizontal="left" vertical="center" wrapText="1"/>
      <protection locked="0"/>
    </xf>
    <xf numFmtId="10" fontId="50" fillId="0" borderId="1" xfId="0" applyNumberFormat="1" applyFont="1" applyBorder="1" applyAlignment="1" applyProtection="1">
      <alignment horizontal="right" vertical="center"/>
      <protection locked="0"/>
    </xf>
    <xf numFmtId="0" fontId="2" fillId="23" borderId="0" xfId="20" applyFill="1" applyAlignment="1">
      <alignment horizontal="left" vertical="center"/>
    </xf>
    <xf numFmtId="0" fontId="1" fillId="0" borderId="0" xfId="21"/>
    <xf numFmtId="14" fontId="1" fillId="0" borderId="0" xfId="21" applyNumberFormat="1" applyAlignment="1">
      <alignment horizontal="left" vertical="center"/>
    </xf>
    <xf numFmtId="0" fontId="1" fillId="0" borderId="0" xfId="21" applyAlignment="1">
      <alignment horizontal="left" vertical="center"/>
    </xf>
    <xf numFmtId="3" fontId="1" fillId="0" borderId="0" xfId="21" applyNumberFormat="1" applyAlignment="1">
      <alignment horizontal="left" vertical="center"/>
    </xf>
    <xf numFmtId="4" fontId="1" fillId="0" borderId="0" xfId="21" applyNumberFormat="1" applyAlignment="1">
      <alignment horizontal="left" vertical="center"/>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54" xfId="0" applyFont="1" applyBorder="1" applyAlignment="1">
      <alignment horizontal="center" vertical="center" wrapText="1"/>
    </xf>
    <xf numFmtId="0" fontId="64" fillId="0" borderId="3" xfId="0" applyFont="1" applyBorder="1" applyAlignment="1">
      <alignment horizontal="center"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0" fontId="202" fillId="0" borderId="0" xfId="0"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127"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219"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8" fillId="6" borderId="0" xfId="0" applyFont="1" applyFill="1" applyAlignment="1">
      <alignment horizontal="center" vertical="center" wrapText="1"/>
    </xf>
    <xf numFmtId="0" fontId="245" fillId="6" borderId="69" xfId="0" applyFont="1" applyFill="1" applyBorder="1" applyAlignment="1">
      <alignment horizontal="left" vertical="center"/>
    </xf>
    <xf numFmtId="0" fontId="245" fillId="6" borderId="60" xfId="0" applyFont="1" applyFill="1" applyBorder="1" applyAlignment="1">
      <alignment horizontal="left" vertical="center"/>
    </xf>
    <xf numFmtId="0" fontId="245" fillId="6" borderId="71" xfId="0" applyFont="1" applyFill="1" applyBorder="1" applyAlignment="1">
      <alignment horizontal="left" vertical="center"/>
    </xf>
    <xf numFmtId="0" fontId="99" fillId="6" borderId="175" xfId="0" applyFont="1" applyFill="1" applyBorder="1" applyAlignment="1">
      <alignment horizontal="center" vertical="center"/>
    </xf>
    <xf numFmtId="0" fontId="255" fillId="6" borderId="60" xfId="0" applyFont="1" applyFill="1" applyBorder="1" applyAlignment="1">
      <alignment horizontal="center" vertical="center"/>
    </xf>
    <xf numFmtId="0" fontId="111" fillId="0" borderId="27" xfId="0" applyFont="1" applyBorder="1" applyAlignment="1" applyProtection="1">
      <alignment horizontal="center" vertical="center" wrapText="1"/>
      <protection locked="0"/>
    </xf>
    <xf numFmtId="0" fontId="111" fillId="0" borderId="80" xfId="0" applyFont="1" applyBorder="1" applyAlignment="1" applyProtection="1">
      <alignment horizontal="center" vertical="center" wrapText="1"/>
      <protection locked="0"/>
    </xf>
    <xf numFmtId="0" fontId="111" fillId="0" borderId="81" xfId="0" applyFont="1" applyBorder="1" applyAlignment="1" applyProtection="1">
      <alignment horizontal="center" vertical="center" wrapText="1"/>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5" xfId="0" applyFont="1" applyFill="1" applyBorder="1" applyAlignment="1">
      <alignment vertical="center" wrapText="1"/>
    </xf>
    <xf numFmtId="0" fontId="49" fillId="6" borderId="3" xfId="0" applyFont="1" applyFill="1" applyBorder="1" applyAlignment="1">
      <alignmen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9" fillId="6" borderId="5" xfId="0" applyFont="1" applyFill="1" applyBorder="1" applyAlignment="1">
      <alignment horizontal="right" vertical="center" wrapText="1"/>
    </xf>
    <xf numFmtId="0" fontId="49" fillId="6" borderId="3" xfId="0" applyFont="1" applyFill="1" applyBorder="1" applyAlignment="1">
      <alignment horizontal="right" vertical="center" wrapText="1"/>
    </xf>
    <xf numFmtId="0" fontId="80" fillId="7" borderId="46" xfId="0" applyFont="1" applyFill="1" applyBorder="1" applyAlignment="1" applyProtection="1">
      <alignment horizontal="left" vertical="center" wrapText="1"/>
      <protection locked="0"/>
    </xf>
    <xf numFmtId="0" fontId="80" fillId="7" borderId="22" xfId="0" applyFont="1" applyFill="1" applyBorder="1" applyAlignment="1" applyProtection="1">
      <alignment horizontal="left" vertical="center" wrapText="1"/>
      <protection locked="0"/>
    </xf>
    <xf numFmtId="0" fontId="80" fillId="7" borderId="4" xfId="0" applyFont="1" applyFill="1" applyBorder="1" applyAlignment="1" applyProtection="1">
      <alignment horizontal="left" vertical="center" wrapText="1"/>
      <protection locked="0"/>
    </xf>
    <xf numFmtId="0" fontId="80"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82" fillId="6" borderId="63" xfId="0" applyFont="1" applyFill="1" applyBorder="1" applyAlignment="1">
      <alignment horizontal="center" vertical="center"/>
    </xf>
    <xf numFmtId="0" fontId="82" fillId="6" borderId="64" xfId="0" applyFont="1" applyFill="1" applyBorder="1" applyAlignment="1">
      <alignment horizontal="center"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right"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10" fontId="50" fillId="18" borderId="5" xfId="0" applyNumberFormat="1" applyFont="1" applyFill="1" applyBorder="1" applyAlignment="1">
      <alignment horizontal="left" vertical="center" wrapText="1"/>
    </xf>
    <xf numFmtId="10" fontId="50" fillId="18" borderId="54" xfId="0" applyNumberFormat="1" applyFont="1" applyFill="1" applyBorder="1" applyAlignment="1">
      <alignment horizontal="left" vertical="center" wrapText="1"/>
    </xf>
    <xf numFmtId="10" fontId="50" fillId="18" borderId="48" xfId="0" applyNumberFormat="1" applyFont="1" applyFill="1" applyBorder="1" applyAlignment="1">
      <alignment horizontal="left" vertical="center" wrapText="1"/>
    </xf>
    <xf numFmtId="0" fontId="105" fillId="6" borderId="1" xfId="0" applyFont="1" applyFill="1" applyBorder="1" applyAlignment="1">
      <alignment horizontal="center" vertical="center" wrapText="1"/>
    </xf>
    <xf numFmtId="0" fontId="105" fillId="6" borderId="1" xfId="0" applyFont="1" applyFill="1" applyBorder="1" applyAlignment="1">
      <alignment horizontal="left" vertical="center" wrapText="1"/>
    </xf>
    <xf numFmtId="0" fontId="129" fillId="6" borderId="1" xfId="0" applyFont="1" applyFill="1" applyBorder="1" applyAlignment="1" applyProtection="1">
      <alignment horizontal="center" vertical="center" wrapText="1"/>
      <protection locked="0"/>
    </xf>
    <xf numFmtId="0" fontId="129" fillId="6" borderId="1" xfId="0" applyFont="1" applyFill="1" applyBorder="1" applyAlignment="1">
      <alignment horizontal="center" vertical="center" wrapText="1"/>
    </xf>
    <xf numFmtId="0" fontId="129" fillId="6" borderId="1" xfId="0" applyFont="1" applyFill="1" applyBorder="1" applyAlignment="1">
      <alignment horizontal="right" vertical="center" wrapText="1"/>
    </xf>
    <xf numFmtId="0" fontId="102" fillId="6" borderId="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right"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right" vertical="center"/>
      <protection locked="0"/>
    </xf>
    <xf numFmtId="0" fontId="47" fillId="0" borderId="2" xfId="0" applyFont="1" applyBorder="1" applyAlignment="1" applyProtection="1">
      <alignment horizontal="right" vertical="center"/>
      <protection locked="0"/>
    </xf>
    <xf numFmtId="0" fontId="47" fillId="0" borderId="15" xfId="0" applyFont="1" applyBorder="1" applyAlignment="1" applyProtection="1">
      <alignment horizontal="right"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23" xfId="0" applyFont="1" applyFill="1" applyBorder="1" applyAlignment="1">
      <alignment horizontal="left" vertical="center" wrapText="1"/>
    </xf>
    <xf numFmtId="10" fontId="80" fillId="18" borderId="5"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82" fillId="6" borderId="63" xfId="0" applyFont="1" applyFill="1" applyBorder="1" applyAlignment="1">
      <alignment horizontal="center" vertical="center" wrapText="1"/>
    </xf>
    <xf numFmtId="0" fontId="82" fillId="6" borderId="64" xfId="0" applyFont="1" applyFill="1" applyBorder="1" applyAlignment="1">
      <alignment horizontal="center" vertical="center" wrapText="1"/>
    </xf>
    <xf numFmtId="0" fontId="82" fillId="6" borderId="65" xfId="0" applyFont="1" applyFill="1" applyBorder="1" applyAlignment="1">
      <alignment horizontal="center" vertical="center" wrapText="1"/>
    </xf>
    <xf numFmtId="0" fontId="49" fillId="6" borderId="21" xfId="0" applyFont="1" applyFill="1" applyBorder="1" applyAlignment="1">
      <alignment horizontal="center" vertical="center"/>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10" fontId="50" fillId="6" borderId="48" xfId="0" applyNumberFormat="1" applyFont="1" applyFill="1" applyBorder="1" applyAlignment="1">
      <alignment horizontal="left"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3" xfId="0" applyFont="1" applyFill="1" applyBorder="1" applyAlignment="1">
      <alignment horizontal="left" vertical="center" wrapText="1"/>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107" fillId="6" borderId="5" xfId="0" applyFont="1" applyFill="1" applyBorder="1" applyAlignment="1">
      <alignment horizontal="right" vertical="center" wrapText="1"/>
    </xf>
    <xf numFmtId="0" fontId="107" fillId="6" borderId="48" xfId="0" applyFont="1" applyFill="1" applyBorder="1" applyAlignment="1">
      <alignment horizontal="right" vertical="center" wrapText="1"/>
    </xf>
    <xf numFmtId="0" fontId="107" fillId="6" borderId="33" xfId="0" applyFont="1" applyFill="1" applyBorder="1" applyAlignment="1">
      <alignment horizontal="right" vertical="center" wrapText="1"/>
    </xf>
    <xf numFmtId="0" fontId="107" fillId="6" borderId="68" xfId="0" applyFont="1" applyFill="1" applyBorder="1" applyAlignment="1">
      <alignment horizontal="right" vertical="center" wrapText="1"/>
    </xf>
    <xf numFmtId="0" fontId="56" fillId="6" borderId="61" xfId="0" applyFont="1" applyFill="1" applyBorder="1" applyAlignment="1">
      <alignment horizontal="left" vertical="center"/>
    </xf>
    <xf numFmtId="0" fontId="56" fillId="6" borderId="8" xfId="0" applyFont="1" applyFill="1" applyBorder="1" applyAlignment="1">
      <alignment horizontal="left" vertical="center"/>
    </xf>
    <xf numFmtId="0" fontId="56" fillId="6" borderId="53" xfId="0" applyFont="1" applyFill="1" applyBorder="1" applyAlignment="1">
      <alignment horizontal="left" vertical="center"/>
    </xf>
    <xf numFmtId="49" fontId="50" fillId="6" borderId="11" xfId="0" applyNumberFormat="1" applyFont="1" applyFill="1" applyBorder="1" applyAlignment="1">
      <alignment horizontal="right" vertical="center"/>
    </xf>
    <xf numFmtId="49" fontId="50" fillId="6" borderId="41" xfId="0" applyNumberFormat="1" applyFont="1" applyFill="1" applyBorder="1" applyAlignment="1">
      <alignment horizontal="right" vertical="center"/>
    </xf>
    <xf numFmtId="0" fontId="102" fillId="6" borderId="1" xfId="0" applyFont="1" applyFill="1" applyBorder="1">
      <alignment vertical="center"/>
    </xf>
    <xf numFmtId="0" fontId="80" fillId="6" borderId="13" xfId="0" applyFont="1" applyFill="1" applyBorder="1" applyAlignment="1">
      <alignment horizontal="right" vertical="center" wrapText="1"/>
    </xf>
    <xf numFmtId="0" fontId="80" fillId="6" borderId="2" xfId="0" applyFont="1" applyFill="1" applyBorder="1" applyAlignment="1">
      <alignment horizontal="right" vertical="center" wrapText="1"/>
    </xf>
    <xf numFmtId="176" fontId="50" fillId="6" borderId="15" xfId="0" applyNumberFormat="1" applyFont="1" applyFill="1" applyBorder="1" applyAlignment="1">
      <alignment horizontal="righ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176" fontId="50" fillId="6" borderId="1" xfId="0" applyNumberFormat="1" applyFont="1" applyFill="1" applyBorder="1" applyAlignment="1">
      <alignment horizontal="right" vertical="center"/>
    </xf>
    <xf numFmtId="0" fontId="80" fillId="6" borderId="1" xfId="0" applyFont="1" applyFill="1" applyBorder="1" applyAlignment="1">
      <alignment horizontal="right" vertical="center" wrapText="1"/>
    </xf>
    <xf numFmtId="176" fontId="50" fillId="6" borderId="13" xfId="0" applyNumberFormat="1" applyFont="1" applyFill="1" applyBorder="1" applyAlignment="1">
      <alignment horizontal="right" vertical="center"/>
    </xf>
    <xf numFmtId="176" fontId="50" fillId="6" borderId="2" xfId="0" applyNumberFormat="1" applyFont="1" applyFill="1" applyBorder="1" applyAlignment="1">
      <alignment horizontal="right" vertical="center"/>
    </xf>
    <xf numFmtId="185" fontId="55" fillId="6" borderId="15" xfId="0" applyNumberFormat="1" applyFont="1" applyFill="1" applyBorder="1" applyAlignment="1">
      <alignment horizontal="right" vertical="center"/>
    </xf>
    <xf numFmtId="185" fontId="55" fillId="6" borderId="1" xfId="0" applyNumberFormat="1" applyFont="1" applyFill="1" applyBorder="1" applyAlignment="1">
      <alignment horizontal="right" vertical="center"/>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22" fillId="6" borderId="5" xfId="4" applyFont="1" applyFill="1" applyBorder="1" applyAlignment="1">
      <alignment horizontal="left" vertical="center"/>
    </xf>
    <xf numFmtId="0" fontId="56" fillId="6" borderId="3" xfId="4" applyFont="1" applyFill="1" applyBorder="1" applyAlignment="1">
      <alignment horizontal="left" vertical="center"/>
    </xf>
    <xf numFmtId="0" fontId="56" fillId="6" borderId="5"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82"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 xfId="0" applyFont="1" applyFill="1" applyBorder="1" applyAlignment="1">
      <alignment horizontal="right" vertical="center"/>
    </xf>
    <xf numFmtId="0" fontId="54" fillId="6" borderId="5" xfId="0" applyFont="1" applyFill="1" applyBorder="1" applyAlignment="1">
      <alignment horizontal="left" vertical="center" wrapText="1"/>
    </xf>
    <xf numFmtId="0" fontId="54" fillId="6" borderId="3" xfId="0" applyFont="1" applyFill="1" applyBorder="1" applyAlignment="1">
      <alignment horizontal="left" vertical="center" wrapText="1"/>
    </xf>
    <xf numFmtId="0" fontId="53" fillId="18" borderId="1" xfId="0" applyFont="1" applyFill="1" applyBorder="1" applyAlignment="1">
      <alignment horizontal="right" vertical="center"/>
    </xf>
    <xf numFmtId="0" fontId="54" fillId="6" borderId="6"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left" vertical="center" textRotation="255" wrapText="1"/>
    </xf>
    <xf numFmtId="0" fontId="54" fillId="6" borderId="15" xfId="0" applyFont="1" applyFill="1" applyBorder="1" applyAlignment="1">
      <alignment horizontal="left" vertical="center" textRotation="255" wrapText="1"/>
    </xf>
    <xf numFmtId="0" fontId="54" fillId="6" borderId="15" xfId="0" applyFont="1" applyFill="1" applyBorder="1" applyAlignment="1">
      <alignment horizontal="center" vertical="center" textRotation="255" wrapText="1"/>
    </xf>
    <xf numFmtId="0" fontId="47" fillId="6" borderId="1"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left" vertical="center" wrapText="1"/>
    </xf>
    <xf numFmtId="0" fontId="54" fillId="6" borderId="10" xfId="0" applyFont="1" applyFill="1" applyBorder="1" applyAlignment="1">
      <alignment horizontal="left" vertical="center" wrapText="1"/>
    </xf>
    <xf numFmtId="0" fontId="54" fillId="6" borderId="30" xfId="0" applyFont="1" applyFill="1" applyBorder="1" applyAlignment="1">
      <alignment horizontal="left" vertical="center" wrapText="1"/>
    </xf>
    <xf numFmtId="0" fontId="54" fillId="6" borderId="28" xfId="0" applyFont="1" applyFill="1" applyBorder="1" applyAlignment="1">
      <alignment horizontal="left" vertical="center" wrapText="1"/>
    </xf>
    <xf numFmtId="0" fontId="54" fillId="6" borderId="4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54" fillId="6" borderId="58" xfId="0" applyFont="1" applyFill="1" applyBorder="1" applyAlignment="1">
      <alignment horizontal="left" vertical="center" wrapText="1"/>
    </xf>
    <xf numFmtId="0" fontId="54" fillId="6" borderId="35" xfId="0" applyFont="1" applyFill="1" applyBorder="1" applyAlignment="1">
      <alignment horizontal="left" vertical="center" wrapText="1"/>
    </xf>
    <xf numFmtId="0" fontId="54" fillId="6" borderId="4"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46" xfId="0" applyFont="1" applyFill="1" applyBorder="1" applyAlignment="1">
      <alignment horizontal="left" vertical="center"/>
    </xf>
    <xf numFmtId="0" fontId="54" fillId="6" borderId="22" xfId="0" applyFont="1" applyFill="1" applyBorder="1" applyAlignment="1">
      <alignment horizontal="left" vertical="center"/>
    </xf>
    <xf numFmtId="0" fontId="54" fillId="6" borderId="58" xfId="0" applyFont="1" applyFill="1" applyBorder="1" applyAlignment="1">
      <alignment horizontal="left" vertical="center"/>
    </xf>
    <xf numFmtId="0" fontId="54" fillId="6" borderId="35" xfId="0" applyFont="1" applyFill="1" applyBorder="1" applyAlignment="1">
      <alignment horizontal="left" vertical="center"/>
    </xf>
    <xf numFmtId="0" fontId="54" fillId="6" borderId="4" xfId="0" applyFont="1" applyFill="1" applyBorder="1" applyAlignment="1">
      <alignment horizontal="left" vertical="center"/>
    </xf>
    <xf numFmtId="0" fontId="54" fillId="6" borderId="7" xfId="0" applyFont="1" applyFill="1" applyBorder="1" applyAlignment="1">
      <alignment horizontal="left" vertical="center"/>
    </xf>
    <xf numFmtId="0" fontId="54" fillId="6" borderId="1" xfId="0" applyFont="1" applyFill="1" applyBorder="1" applyAlignment="1">
      <alignment horizontal="left" vertical="center"/>
    </xf>
    <xf numFmtId="0" fontId="168" fillId="0" borderId="11" xfId="0" applyFont="1" applyBorder="1" applyAlignment="1" applyProtection="1">
      <alignment horizontal="left" vertical="center" wrapText="1"/>
      <protection locked="0"/>
    </xf>
    <xf numFmtId="0" fontId="168" fillId="0" borderId="61" xfId="0" applyFont="1" applyBorder="1" applyAlignment="1" applyProtection="1">
      <alignment horizontal="left" vertical="center" wrapText="1"/>
      <protection locked="0"/>
    </xf>
    <xf numFmtId="0" fontId="168" fillId="0" borderId="23" xfId="0" applyFont="1" applyBorder="1" applyAlignment="1" applyProtection="1">
      <alignment horizontal="left" vertical="center" wrapText="1"/>
      <protection locked="0"/>
    </xf>
    <xf numFmtId="0" fontId="168" fillId="0" borderId="24" xfId="0" applyFont="1" applyBorder="1" applyAlignment="1" applyProtection="1">
      <alignment horizontal="left" vertical="center" wrapText="1"/>
      <protection locked="0"/>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47" fillId="6" borderId="54" xfId="0" applyFont="1" applyFill="1" applyBorder="1" applyAlignment="1">
      <alignment horizontal="left" vertical="center"/>
    </xf>
    <xf numFmtId="0" fontId="168" fillId="0" borderId="22" xfId="0" applyFont="1" applyBorder="1" applyAlignment="1" applyProtection="1">
      <alignment horizontal="left" vertical="center" wrapText="1"/>
      <protection locked="0"/>
    </xf>
    <xf numFmtId="0" fontId="168" fillId="0" borderId="46" xfId="0" applyFont="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0" borderId="5" xfId="0" applyFont="1" applyBorder="1" applyAlignment="1" applyProtection="1">
      <alignment horizontal="left" vertical="center" wrapText="1"/>
      <protection locked="0"/>
    </xf>
    <xf numFmtId="0" fontId="159" fillId="6" borderId="20" xfId="0" applyFont="1" applyFill="1" applyBorder="1" applyAlignment="1">
      <alignment horizontal="center" vertical="center"/>
    </xf>
    <xf numFmtId="0" fontId="159"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5" fillId="6" borderId="63" xfId="0" applyFont="1" applyFill="1" applyBorder="1" applyAlignment="1">
      <alignment horizontal="center" vertical="center"/>
    </xf>
    <xf numFmtId="0" fontId="48" fillId="6" borderId="64" xfId="0" applyFont="1" applyFill="1" applyBorder="1" applyAlignment="1">
      <alignment horizontal="center" vertical="center"/>
    </xf>
    <xf numFmtId="0" fontId="48" fillId="6" borderId="65" xfId="0" applyFont="1" applyFill="1" applyBorder="1" applyAlignment="1">
      <alignment horizontal="center" vertical="center"/>
    </xf>
    <xf numFmtId="0" fontId="54" fillId="6" borderId="11" xfId="0" applyFont="1" applyFill="1" applyBorder="1" applyAlignment="1">
      <alignment horizontal="left" vertical="center" textRotation="255" wrapText="1"/>
    </xf>
    <xf numFmtId="0" fontId="54" fillId="6" borderId="14" xfId="0" applyFont="1" applyFill="1" applyBorder="1" applyAlignment="1">
      <alignment horizontal="left" vertical="center" textRotation="255" wrapText="1"/>
    </xf>
    <xf numFmtId="0" fontId="54" fillId="6" borderId="41" xfId="0" applyFont="1" applyFill="1" applyBorder="1" applyAlignment="1">
      <alignment horizontal="left"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23" xfId="0" applyFont="1" applyFill="1" applyBorder="1" applyAlignment="1">
      <alignment horizontal="left" vertical="center" wrapText="1"/>
    </xf>
    <xf numFmtId="0" fontId="210" fillId="0" borderId="23" xfId="0" applyFont="1" applyBorder="1" applyAlignment="1" applyProtection="1">
      <alignment horizontal="left" vertical="center" wrapText="1"/>
      <protection locked="0"/>
    </xf>
    <xf numFmtId="0" fontId="297" fillId="0" borderId="3" xfId="0" applyFont="1" applyBorder="1" applyAlignment="1" applyProtection="1">
      <alignment horizontal="left" vertical="center" wrapText="1"/>
      <protection locked="0"/>
    </xf>
    <xf numFmtId="0" fontId="54" fillId="6" borderId="1" xfId="0" applyFont="1" applyFill="1" applyBorder="1" applyAlignment="1">
      <alignment horizontal="center" vertical="center"/>
    </xf>
    <xf numFmtId="0" fontId="54" fillId="6" borderId="38" xfId="0" applyFont="1" applyFill="1" applyBorder="1" applyAlignment="1">
      <alignment horizontal="left" vertical="center" wrapText="1"/>
    </xf>
    <xf numFmtId="0" fontId="54" fillId="6" borderId="66" xfId="0" applyFont="1" applyFill="1" applyBorder="1" applyAlignment="1">
      <alignment horizontal="left" vertical="center" wrapText="1"/>
    </xf>
    <xf numFmtId="0" fontId="53" fillId="6" borderId="32" xfId="0" applyFont="1" applyFill="1" applyBorder="1" applyAlignment="1">
      <alignment horizontal="right"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16" xfId="0" applyFont="1" applyFill="1" applyBorder="1" applyAlignment="1">
      <alignment horizontal="left" vertical="center" wrapText="1"/>
    </xf>
    <xf numFmtId="0" fontId="54" fillId="6" borderId="39" xfId="0" applyFont="1" applyFill="1" applyBorder="1" applyAlignment="1">
      <alignment horizontal="left" vertical="center" wrapText="1"/>
    </xf>
    <xf numFmtId="0" fontId="54" fillId="6" borderId="18" xfId="0" applyFont="1" applyFill="1" applyBorder="1" applyAlignment="1">
      <alignment horizontal="left" vertical="center" wrapText="1"/>
    </xf>
    <xf numFmtId="0" fontId="54" fillId="6" borderId="69" xfId="0" applyFont="1" applyFill="1" applyBorder="1" applyAlignment="1">
      <alignment horizontal="left" vertical="center" wrapText="1"/>
    </xf>
    <xf numFmtId="0" fontId="54" fillId="6" borderId="29" xfId="0" applyFont="1" applyFill="1" applyBorder="1" applyAlignment="1">
      <alignment horizontal="left" vertical="center"/>
    </xf>
    <xf numFmtId="0" fontId="54" fillId="6" borderId="39" xfId="0" applyFont="1" applyFill="1" applyBorder="1" applyAlignment="1">
      <alignment horizontal="left" vertical="center"/>
    </xf>
    <xf numFmtId="0" fontId="54" fillId="6" borderId="9" xfId="0" applyFont="1" applyFill="1" applyBorder="1" applyAlignment="1">
      <alignment horizontal="left"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7" fillId="6" borderId="37" xfId="0" applyFont="1" applyFill="1" applyBorder="1" applyAlignment="1">
      <alignment horizontal="left"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4" fillId="6" borderId="17"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4" fillId="6" borderId="2" xfId="0" applyFont="1" applyFill="1" applyBorder="1" applyAlignment="1">
      <alignment horizontal="left" vertical="center" textRotation="255" wrapText="1"/>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6" borderId="1"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210" fillId="0" borderId="23" xfId="0" applyFont="1" applyBorder="1" applyAlignment="1" applyProtection="1">
      <alignment horizontal="center" vertical="center" wrapText="1"/>
      <protection locked="0"/>
    </xf>
    <xf numFmtId="0" fontId="47" fillId="6" borderId="54"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54" fillId="0" borderId="11"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54" fillId="0" borderId="22" xfId="0" applyFont="1" applyBorder="1" applyAlignment="1" applyProtection="1">
      <alignment horizontal="left" vertical="center" wrapText="1"/>
      <protection locked="0"/>
    </xf>
    <xf numFmtId="0" fontId="54" fillId="0" borderId="46" xfId="0" applyFont="1" applyBorder="1" applyAlignment="1" applyProtection="1">
      <alignment horizontal="left" vertical="center" wrapText="1"/>
      <protection locked="0"/>
    </xf>
    <xf numFmtId="0" fontId="102" fillId="6" borderId="13" xfId="0" applyFont="1" applyFill="1" applyBorder="1" applyAlignment="1">
      <alignment horizontal="left" vertical="center"/>
    </xf>
    <xf numFmtId="0" fontId="102" fillId="6" borderId="15" xfId="0" applyFont="1" applyFill="1" applyBorder="1" applyAlignment="1">
      <alignment horizontal="left" vertical="center"/>
    </xf>
    <xf numFmtId="0" fontId="102" fillId="6" borderId="2" xfId="0" applyFont="1" applyFill="1" applyBorder="1" applyAlignment="1">
      <alignment horizontal="left" vertical="center"/>
    </xf>
    <xf numFmtId="0" fontId="102" fillId="0" borderId="0" xfId="0" applyFont="1" applyAlignment="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83"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5" fillId="6" borderId="0" xfId="0" applyFont="1" applyFill="1" applyAlignment="1">
      <alignment horizontal="left" vertical="center"/>
    </xf>
    <xf numFmtId="0" fontId="102" fillId="6" borderId="1" xfId="0" applyFont="1" applyFill="1" applyBorder="1" applyAlignment="1">
      <alignment horizontal="left"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75" fillId="6" borderId="16" xfId="0" applyFont="1" applyFill="1" applyBorder="1" applyAlignment="1">
      <alignment horizontal="center" vertical="center"/>
    </xf>
    <xf numFmtId="0" fontId="48" fillId="6" borderId="19" xfId="0" applyFont="1" applyFill="1" applyBorder="1" applyAlignment="1">
      <alignment horizontal="center" vertical="center"/>
    </xf>
    <xf numFmtId="0" fontId="48" fillId="6" borderId="31" xfId="0" applyFont="1" applyFill="1" applyBorder="1" applyAlignment="1">
      <alignment horizontal="center" vertical="center"/>
    </xf>
    <xf numFmtId="0" fontId="56" fillId="6" borderId="5" xfId="0" applyFont="1" applyFill="1" applyBorder="1" applyAlignment="1">
      <alignment horizontal="left" vertical="center"/>
    </xf>
    <xf numFmtId="0" fontId="56" fillId="3" borderId="13" xfId="0" applyFont="1" applyFill="1" applyBorder="1" applyAlignment="1">
      <alignment horizontal="left" vertical="center" wrapText="1"/>
    </xf>
    <xf numFmtId="0" fontId="56" fillId="3" borderId="15" xfId="0" applyFont="1" applyFill="1" applyBorder="1" applyAlignment="1">
      <alignment horizontal="left" vertical="center" wrapText="1"/>
    </xf>
    <xf numFmtId="0" fontId="56" fillId="3" borderId="2" xfId="0" applyFont="1" applyFill="1" applyBorder="1" applyAlignment="1">
      <alignment horizontal="left" vertical="center" wrapText="1"/>
    </xf>
    <xf numFmtId="0" fontId="56" fillId="3" borderId="5" xfId="0" applyFont="1" applyFill="1" applyBorder="1" applyAlignment="1">
      <alignment horizontal="left" vertical="center" wrapText="1"/>
    </xf>
    <xf numFmtId="0" fontId="56" fillId="3" borderId="54" xfId="0" applyFont="1" applyFill="1" applyBorder="1" applyAlignment="1">
      <alignment horizontal="left" vertical="center" wrapText="1"/>
    </xf>
    <xf numFmtId="0" fontId="56" fillId="3" borderId="3" xfId="0" applyFont="1" applyFill="1" applyBorder="1" applyAlignment="1">
      <alignment horizontal="left" vertical="center" wrapText="1"/>
    </xf>
    <xf numFmtId="0" fontId="56" fillId="3" borderId="13"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56" fillId="3" borderId="1" xfId="0" applyFont="1" applyFill="1" applyBorder="1" applyAlignment="1">
      <alignment horizontal="left" vertical="center" wrapText="1"/>
    </xf>
    <xf numFmtId="0" fontId="56" fillId="3" borderId="1" xfId="0" applyFont="1" applyFill="1" applyBorder="1" applyAlignment="1">
      <alignment horizontal="center" vertical="center"/>
    </xf>
    <xf numFmtId="0" fontId="110" fillId="6" borderId="1" xfId="0" applyFont="1" applyFill="1" applyBorder="1" applyAlignment="1">
      <alignment horizontal="left" vertical="center"/>
    </xf>
    <xf numFmtId="0" fontId="110" fillId="6" borderId="13" xfId="0" applyFont="1" applyFill="1" applyBorder="1" applyAlignment="1">
      <alignment horizontal="left" vertical="center"/>
    </xf>
    <xf numFmtId="0" fontId="110" fillId="6" borderId="2" xfId="0" applyFont="1" applyFill="1" applyBorder="1" applyAlignment="1">
      <alignment horizontal="left" vertical="center"/>
    </xf>
    <xf numFmtId="0" fontId="110" fillId="6" borderId="15" xfId="0" applyFont="1" applyFill="1" applyBorder="1" applyAlignment="1">
      <alignment horizontal="left" vertical="center"/>
    </xf>
    <xf numFmtId="0" fontId="110" fillId="6" borderId="9" xfId="0" applyFont="1" applyFill="1" applyBorder="1" applyAlignment="1">
      <alignment horizontal="left" vertical="center"/>
    </xf>
    <xf numFmtId="0" fontId="110" fillId="6" borderId="32" xfId="0" applyFont="1" applyFill="1" applyBorder="1" applyAlignment="1">
      <alignment horizontal="left" vertical="center"/>
    </xf>
    <xf numFmtId="0" fontId="110" fillId="6" borderId="40" xfId="0" applyFont="1" applyFill="1" applyBorder="1" applyAlignment="1">
      <alignment horizontal="left" vertical="center"/>
    </xf>
    <xf numFmtId="0" fontId="110" fillId="6" borderId="14" xfId="0" applyFont="1" applyFill="1" applyBorder="1" applyAlignment="1">
      <alignment horizontal="left" vertical="center"/>
    </xf>
    <xf numFmtId="0" fontId="110" fillId="6" borderId="12" xfId="0" applyFont="1" applyFill="1" applyBorder="1" applyAlignment="1">
      <alignment horizontal="left" vertical="center"/>
    </xf>
    <xf numFmtId="0" fontId="110" fillId="6" borderId="17" xfId="0" applyFont="1" applyFill="1" applyBorder="1" applyAlignment="1">
      <alignment horizontal="left" vertical="center"/>
    </xf>
    <xf numFmtId="0" fontId="110" fillId="6" borderId="74" xfId="0" applyFont="1" applyFill="1" applyBorder="1" applyAlignment="1">
      <alignment horizontal="left" vertical="center"/>
    </xf>
    <xf numFmtId="0" fontId="110" fillId="6" borderId="6" xfId="0" applyFont="1" applyFill="1" applyBorder="1" applyAlignment="1">
      <alignment horizontal="left" vertical="center"/>
    </xf>
    <xf numFmtId="0" fontId="110" fillId="6" borderId="23" xfId="0" applyFont="1" applyFill="1" applyBorder="1" applyAlignment="1">
      <alignment horizontal="left" vertical="center"/>
    </xf>
    <xf numFmtId="0" fontId="110" fillId="6" borderId="25" xfId="0" applyFont="1" applyFill="1" applyBorder="1" applyAlignment="1">
      <alignment horizontal="left" vertical="center"/>
    </xf>
    <xf numFmtId="0" fontId="124"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185" fontId="145" fillId="11" borderId="131" xfId="9" applyNumberFormat="1" applyFont="1" applyFill="1" applyBorder="1" applyAlignment="1">
      <alignment horizontal="left" vertical="center" wrapText="1"/>
    </xf>
    <xf numFmtId="185" fontId="145" fillId="11" borderId="125" xfId="9" applyNumberFormat="1" applyFont="1" applyFill="1" applyBorder="1" applyAlignment="1">
      <alignment horizontal="left" vertical="center" wrapText="1"/>
    </xf>
    <xf numFmtId="185" fontId="145" fillId="11" borderId="127" xfId="9" applyNumberFormat="1" applyFont="1" applyFill="1" applyBorder="1" applyAlignment="1">
      <alignment horizontal="left" vertical="center" wrapText="1"/>
    </xf>
    <xf numFmtId="0" fontId="143" fillId="0" borderId="0" xfId="9" applyFont="1" applyAlignment="1">
      <alignment horizontal="left" vertical="center"/>
    </xf>
    <xf numFmtId="185" fontId="145" fillId="11" borderId="122" xfId="9" applyNumberFormat="1" applyFont="1" applyFill="1" applyBorder="1" applyAlignment="1">
      <alignment horizontal="left" vertical="center" wrapText="1"/>
    </xf>
    <xf numFmtId="185" fontId="102" fillId="11" borderId="131" xfId="9" applyNumberFormat="1" applyFont="1" applyFill="1" applyBorder="1" applyAlignment="1">
      <alignment horizontal="left" vertical="center" wrapText="1"/>
    </xf>
    <xf numFmtId="185" fontId="102" fillId="11" borderId="125" xfId="9" applyNumberFormat="1" applyFont="1" applyFill="1" applyBorder="1" applyAlignment="1">
      <alignment horizontal="left" vertical="center" wrapText="1"/>
    </xf>
    <xf numFmtId="185" fontId="102" fillId="11" borderId="127" xfId="9" applyNumberFormat="1" applyFont="1" applyFill="1" applyBorder="1" applyAlignment="1">
      <alignment horizontal="left" vertical="center" wrapText="1"/>
    </xf>
    <xf numFmtId="185" fontId="145" fillId="11" borderId="153" xfId="9" applyNumberFormat="1"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cellXfs>
  <cellStyles count="22">
    <cellStyle name="百分比" xfId="17" builtinId="5"/>
    <cellStyle name="百分比 2" xfId="14" xr:uid="{00000000-0005-0000-0000-000001000000}"/>
    <cellStyle name="常规" xfId="0" builtinId="0"/>
    <cellStyle name="常规 10" xfId="19" xr:uid="{2FC589AC-63E8-4CFA-9F19-E2EB8585304B}"/>
    <cellStyle name="常规 11" xfId="18" xr:uid="{00000000-0005-0000-0000-000003000000}"/>
    <cellStyle name="常规 12" xfId="20" xr:uid="{58ECE872-5069-4A89-915E-FFD21E640DD7}"/>
    <cellStyle name="常规 13" xfId="21" xr:uid="{14377028-DFDF-46E4-82F8-BDFAF7612AD3}"/>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190500</xdr:colOff>
      <xdr:row>18</xdr:row>
      <xdr:rowOff>114300</xdr:rowOff>
    </xdr:from>
    <xdr:ext cx="13601700" cy="7353300"/>
    <xdr:pic>
      <xdr:nvPicPr>
        <xdr:cNvPr id="2" name="图片 1">
          <a:extLst>
            <a:ext uri="{FF2B5EF4-FFF2-40B4-BE49-F238E27FC236}">
              <a16:creationId xmlns:a16="http://schemas.microsoft.com/office/drawing/2014/main" id="{52B9B46B-54F5-4B6E-89D8-E96D48689C0D}"/>
            </a:ext>
          </a:extLst>
        </xdr:cNvPr>
        <xdr:cNvPicPr>
          <a:picLocks noChangeAspect="1"/>
        </xdr:cNvPicPr>
      </xdr:nvPicPr>
      <xdr:blipFill>
        <a:blip xmlns:r="http://schemas.openxmlformats.org/officeDocument/2006/relationships" r:embed="rId1"/>
        <a:stretch>
          <a:fillRect/>
        </a:stretch>
      </xdr:blipFill>
      <xdr:spPr>
        <a:xfrm>
          <a:off x="10048875" y="3200400"/>
          <a:ext cx="13601700" cy="73533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37</xdr:row>
      <xdr:rowOff>0</xdr:rowOff>
    </xdr:from>
    <xdr:ext cx="12630150" cy="3048000"/>
    <xdr:pic>
      <xdr:nvPicPr>
        <xdr:cNvPr id="2" name="图片 1">
          <a:extLst>
            <a:ext uri="{FF2B5EF4-FFF2-40B4-BE49-F238E27FC236}">
              <a16:creationId xmlns:a16="http://schemas.microsoft.com/office/drawing/2014/main" id="{E19FFC70-7E82-488A-A324-B7A57DD6D64B}"/>
            </a:ext>
          </a:extLst>
        </xdr:cNvPr>
        <xdr:cNvPicPr>
          <a:picLocks noChangeAspect="1"/>
        </xdr:cNvPicPr>
      </xdr:nvPicPr>
      <xdr:blipFill>
        <a:blip xmlns:r="http://schemas.openxmlformats.org/officeDocument/2006/relationships"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a:extLst>
            <a:ext uri="{FF2B5EF4-FFF2-40B4-BE49-F238E27FC236}">
              <a16:creationId xmlns:a16="http://schemas.microsoft.com/office/drawing/2014/main" id="{F3392CBB-AF82-4802-857C-D21CD1D6DFF8}"/>
            </a:ext>
          </a:extLst>
        </xdr:cNvPr>
        <xdr:cNvPicPr>
          <a:picLocks noChangeAspect="1"/>
        </xdr:cNvPicPr>
      </xdr:nvPicPr>
      <xdr:blipFill>
        <a:blip xmlns:r="http://schemas.openxmlformats.org/officeDocument/2006/relationships"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a:extLst>
            <a:ext uri="{FF2B5EF4-FFF2-40B4-BE49-F238E27FC236}">
              <a16:creationId xmlns:a16="http://schemas.microsoft.com/office/drawing/2014/main" id="{00D4E8CA-F576-409C-B3C9-A9CCC3B1B3EE}"/>
            </a:ext>
          </a:extLst>
        </xdr:cNvPr>
        <xdr:cNvPicPr>
          <a:picLocks noChangeAspect="1"/>
        </xdr:cNvPicPr>
      </xdr:nvPicPr>
      <xdr:blipFill>
        <a:blip xmlns:r="http://schemas.openxmlformats.org/officeDocument/2006/relationships"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macro="" textlink="">
      <xdr:nvSpPr>
        <xdr:cNvPr id="5" name="矩形 4">
          <a:extLst>
            <a:ext uri="{FF2B5EF4-FFF2-40B4-BE49-F238E27FC236}">
              <a16:creationId xmlns:a16="http://schemas.microsoft.com/office/drawing/2014/main" id="{210F02CC-3FD1-409B-8A55-86AF516F06B2}"/>
            </a:ext>
          </a:extLst>
        </xdr:cNvPr>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a:extLst>
            <a:ext uri="{FF2B5EF4-FFF2-40B4-BE49-F238E27FC236}">
              <a16:creationId xmlns:a16="http://schemas.microsoft.com/office/drawing/2014/main" id="{E98BCBF6-4EE2-6E11-EABC-A1C26A553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959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a:extLst>
            <a:ext uri="{FF2B5EF4-FFF2-40B4-BE49-F238E27FC236}">
              <a16:creationId xmlns:a16="http://schemas.microsoft.com/office/drawing/2014/main" id="{2C6D460B-2C04-473F-BC1C-5AE9F4C46C32}"/>
            </a:ext>
          </a:extLst>
        </xdr:cNvPr>
        <xdr:cNvPicPr>
          <a:picLocks noChangeAspect="1"/>
        </xdr:cNvPicPr>
      </xdr:nvPicPr>
      <xdr:blipFill>
        <a:blip xmlns:r="http://schemas.openxmlformats.org/officeDocument/2006/relationships" r:embed="rId1"/>
        <a:stretch>
          <a:fillRect/>
        </a:stretch>
      </xdr:blipFill>
      <xdr:spPr>
        <a:xfrm>
          <a:off x="0" y="3114675"/>
          <a:ext cx="12059336" cy="5766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161925</xdr:rowOff>
    </xdr:from>
    <xdr:to>
      <xdr:col>8</xdr:col>
      <xdr:colOff>27477</xdr:colOff>
      <xdr:row>64</xdr:row>
      <xdr:rowOff>123058</xdr:rowOff>
    </xdr:to>
    <xdr:pic>
      <xdr:nvPicPr>
        <xdr:cNvPr id="2" name="图片 1">
          <a:extLst>
            <a:ext uri="{FF2B5EF4-FFF2-40B4-BE49-F238E27FC236}">
              <a16:creationId xmlns:a16="http://schemas.microsoft.com/office/drawing/2014/main" id="{91397DB2-69A0-5981-4E0D-8C3D364339CF}"/>
            </a:ext>
          </a:extLst>
        </xdr:cNvPr>
        <xdr:cNvPicPr>
          <a:picLocks noChangeAspect="1"/>
        </xdr:cNvPicPr>
      </xdr:nvPicPr>
      <xdr:blipFill>
        <a:blip xmlns:r="http://schemas.openxmlformats.org/officeDocument/2006/relationships" r:embed="rId1"/>
        <a:stretch>
          <a:fillRect/>
        </a:stretch>
      </xdr:blipFill>
      <xdr:spPr>
        <a:xfrm>
          <a:off x="0" y="4962525"/>
          <a:ext cx="8780952" cy="61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a:extLst>
            <a:ext uri="{FF2B5EF4-FFF2-40B4-BE49-F238E27FC236}">
              <a16:creationId xmlns:a16="http://schemas.microsoft.com/office/drawing/2014/main" id="{42FC5B82-2F1B-4FF0-882E-44A238E60C8D}"/>
            </a:ext>
          </a:extLst>
        </xdr:cNvPr>
        <xdr:cNvPicPr>
          <a:picLocks noChangeAspect="1"/>
        </xdr:cNvPicPr>
      </xdr:nvPicPr>
      <xdr:blipFill>
        <a:blip xmlns:r="http://schemas.openxmlformats.org/officeDocument/2006/relationships" r:embed="rId1"/>
        <a:stretch>
          <a:fillRect/>
        </a:stretch>
      </xdr:blipFill>
      <xdr:spPr>
        <a:xfrm>
          <a:off x="0" y="2771775"/>
          <a:ext cx="10352381" cy="5923809"/>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a:extLst>
            <a:ext uri="{FF2B5EF4-FFF2-40B4-BE49-F238E27FC236}">
              <a16:creationId xmlns:a16="http://schemas.microsoft.com/office/drawing/2014/main" id="{1EB41BF1-85D6-9F2C-2F25-E4A0F0372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518797"/>
          <a:ext cx="11161059" cy="5940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33</xdr:row>
      <xdr:rowOff>0</xdr:rowOff>
    </xdr:from>
    <xdr:ext cx="12544425" cy="866775"/>
    <xdr:pic>
      <xdr:nvPicPr>
        <xdr:cNvPr id="2" name="图片 1">
          <a:extLst>
            <a:ext uri="{FF2B5EF4-FFF2-40B4-BE49-F238E27FC236}">
              <a16:creationId xmlns:a16="http://schemas.microsoft.com/office/drawing/2014/main" id="{8DE2CD5D-0D38-4DD9-84FC-7A14B20053AB}"/>
            </a:ext>
          </a:extLst>
        </xdr:cNvPr>
        <xdr:cNvPicPr>
          <a:picLocks noChangeAspect="1"/>
        </xdr:cNvPicPr>
      </xdr:nvPicPr>
      <xdr:blipFill>
        <a:blip xmlns:r="http://schemas.openxmlformats.org/officeDocument/2006/relationships"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a:extLst>
            <a:ext uri="{FF2B5EF4-FFF2-40B4-BE49-F238E27FC236}">
              <a16:creationId xmlns:a16="http://schemas.microsoft.com/office/drawing/2014/main" id="{1A3EE1A8-FFB7-433F-A435-2336F6FC6E01}"/>
            </a:ext>
          </a:extLst>
        </xdr:cNvPr>
        <xdr:cNvPicPr>
          <a:picLocks noChangeAspect="1"/>
        </xdr:cNvPicPr>
      </xdr:nvPicPr>
      <xdr:blipFill>
        <a:blip xmlns:r="http://schemas.openxmlformats.org/officeDocument/2006/relationships"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a:extLst>
            <a:ext uri="{FF2B5EF4-FFF2-40B4-BE49-F238E27FC236}">
              <a16:creationId xmlns:a16="http://schemas.microsoft.com/office/drawing/2014/main" id="{AABAF6C0-BB98-45E4-972B-57D06A742B89}"/>
            </a:ext>
          </a:extLst>
        </xdr:cNvPr>
        <xdr:cNvPicPr>
          <a:picLocks noChangeAspect="1"/>
        </xdr:cNvPicPr>
      </xdr:nvPicPr>
      <xdr:blipFill>
        <a:blip xmlns:r="http://schemas.openxmlformats.org/officeDocument/2006/relationships"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macro="" textlink="">
      <xdr:nvSpPr>
        <xdr:cNvPr id="5" name="矩形 4">
          <a:extLst>
            <a:ext uri="{FF2B5EF4-FFF2-40B4-BE49-F238E27FC236}">
              <a16:creationId xmlns:a16="http://schemas.microsoft.com/office/drawing/2014/main" id="{33C6E5CB-02BE-478B-A4EC-82C2913BEE22}"/>
            </a:ext>
          </a:extLst>
        </xdr:cNvPr>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a:extLst>
            <a:ext uri="{FF2B5EF4-FFF2-40B4-BE49-F238E27FC236}">
              <a16:creationId xmlns:a16="http://schemas.microsoft.com/office/drawing/2014/main" id="{00AC3CE1-BA7B-444E-BFAB-86EFA4F5BD90}"/>
            </a:ext>
          </a:extLst>
        </xdr:cNvPr>
        <xdr:cNvPicPr>
          <a:picLocks noChangeAspect="1"/>
        </xdr:cNvPicPr>
      </xdr:nvPicPr>
      <xdr:blipFill>
        <a:blip xmlns:r="http://schemas.openxmlformats.org/officeDocument/2006/relationships" r:embed="rId4"/>
        <a:stretch>
          <a:fillRect/>
        </a:stretch>
      </xdr:blipFill>
      <xdr:spPr>
        <a:xfrm>
          <a:off x="0" y="12534900"/>
          <a:ext cx="10009524" cy="65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20</xdr:row>
      <xdr:rowOff>0</xdr:rowOff>
    </xdr:from>
    <xdr:ext cx="12601575" cy="676275"/>
    <xdr:pic>
      <xdr:nvPicPr>
        <xdr:cNvPr id="2" name="图片 1">
          <a:extLst>
            <a:ext uri="{FF2B5EF4-FFF2-40B4-BE49-F238E27FC236}">
              <a16:creationId xmlns:a16="http://schemas.microsoft.com/office/drawing/2014/main" id="{298D8E79-907A-450F-889B-FCDF801C5075}"/>
            </a:ext>
          </a:extLst>
        </xdr:cNvPr>
        <xdr:cNvPicPr>
          <a:picLocks noChangeAspect="1"/>
        </xdr:cNvPicPr>
      </xdr:nvPicPr>
      <xdr:blipFill>
        <a:blip xmlns:r="http://schemas.openxmlformats.org/officeDocument/2006/relationships"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a:extLst>
            <a:ext uri="{FF2B5EF4-FFF2-40B4-BE49-F238E27FC236}">
              <a16:creationId xmlns:a16="http://schemas.microsoft.com/office/drawing/2014/main" id="{263ADEA3-0DB7-42F4-9CEF-B32C5D805D02}"/>
            </a:ext>
          </a:extLst>
        </xdr:cNvPr>
        <xdr:cNvPicPr>
          <a:picLocks noChangeAspect="1"/>
        </xdr:cNvPicPr>
      </xdr:nvPicPr>
      <xdr:blipFill>
        <a:blip xmlns:r="http://schemas.openxmlformats.org/officeDocument/2006/relationships"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a:extLst>
            <a:ext uri="{FF2B5EF4-FFF2-40B4-BE49-F238E27FC236}">
              <a16:creationId xmlns:a16="http://schemas.microsoft.com/office/drawing/2014/main" id="{531023C6-B462-49E3-A293-BE4F57A62A58}"/>
            </a:ext>
          </a:extLst>
        </xdr:cNvPr>
        <xdr:cNvPicPr>
          <a:picLocks noChangeAspect="1"/>
        </xdr:cNvPicPr>
      </xdr:nvPicPr>
      <xdr:blipFill>
        <a:blip xmlns:r="http://schemas.openxmlformats.org/officeDocument/2006/relationships"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macro="" textlink="">
      <xdr:nvSpPr>
        <xdr:cNvPr id="5" name="矩形 4">
          <a:extLst>
            <a:ext uri="{FF2B5EF4-FFF2-40B4-BE49-F238E27FC236}">
              <a16:creationId xmlns:a16="http://schemas.microsoft.com/office/drawing/2014/main" id="{1A36D261-E5B7-4CB4-B35D-348CB4B29948}"/>
            </a:ext>
          </a:extLst>
        </xdr:cNvPr>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40</xdr:row>
      <xdr:rowOff>0</xdr:rowOff>
    </xdr:from>
    <xdr:ext cx="12639675" cy="857250"/>
    <xdr:pic>
      <xdr:nvPicPr>
        <xdr:cNvPr id="2" name="图片 1">
          <a:extLst>
            <a:ext uri="{FF2B5EF4-FFF2-40B4-BE49-F238E27FC236}">
              <a16:creationId xmlns:a16="http://schemas.microsoft.com/office/drawing/2014/main" id="{4E9EF91F-8944-4A26-937F-69E5E7E9E08E}"/>
            </a:ext>
          </a:extLst>
        </xdr:cNvPr>
        <xdr:cNvPicPr>
          <a:picLocks noChangeAspect="1"/>
        </xdr:cNvPicPr>
      </xdr:nvPicPr>
      <xdr:blipFill>
        <a:blip xmlns:r="http://schemas.openxmlformats.org/officeDocument/2006/relationships"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a:extLst>
            <a:ext uri="{FF2B5EF4-FFF2-40B4-BE49-F238E27FC236}">
              <a16:creationId xmlns:a16="http://schemas.microsoft.com/office/drawing/2014/main" id="{DEE54C02-9BAD-45C2-98FC-8DF2D65EEB6A}"/>
            </a:ext>
          </a:extLst>
        </xdr:cNvPr>
        <xdr:cNvPicPr>
          <a:picLocks noChangeAspect="1"/>
        </xdr:cNvPicPr>
      </xdr:nvPicPr>
      <xdr:blipFill>
        <a:blip xmlns:r="http://schemas.openxmlformats.org/officeDocument/2006/relationships"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macro="" textlink="">
      <xdr:nvSpPr>
        <xdr:cNvPr id="4" name="矩形 3">
          <a:extLst>
            <a:ext uri="{FF2B5EF4-FFF2-40B4-BE49-F238E27FC236}">
              <a16:creationId xmlns:a16="http://schemas.microsoft.com/office/drawing/2014/main" id="{5199482B-6A72-454D-AE02-FFD656E16419}"/>
            </a:ext>
          </a:extLst>
        </xdr:cNvPr>
        <xdr:cNvSpPr/>
      </xdr:nvSpPr>
      <xdr:spPr>
        <a:xfrm>
          <a:off x="0" y="7277100"/>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a:extLst>
            <a:ext uri="{FF2B5EF4-FFF2-40B4-BE49-F238E27FC236}">
              <a16:creationId xmlns:a16="http://schemas.microsoft.com/office/drawing/2014/main" id="{8065DA01-37FB-4004-957E-DBC0CFADF9A1}"/>
            </a:ext>
          </a:extLst>
        </xdr:cNvPr>
        <xdr:cNvPicPr>
          <a:picLocks noChangeAspect="1"/>
        </xdr:cNvPicPr>
      </xdr:nvPicPr>
      <xdr:blipFill>
        <a:blip xmlns:r="http://schemas.openxmlformats.org/officeDocument/2006/relationships" r:embed="rId1"/>
        <a:stretch>
          <a:fillRect/>
        </a:stretch>
      </xdr:blipFill>
      <xdr:spPr>
        <a:xfrm>
          <a:off x="0" y="0"/>
          <a:ext cx="9914286" cy="6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A3" t="str">
            <v>注册房地产估价师</v>
          </cell>
        </row>
      </sheetData>
      <sheetData sheetId="8"/>
      <sheetData sheetId="9"/>
      <sheetData sheetId="10"/>
      <sheetData sheetId="11"/>
      <sheetData sheetId="12"/>
      <sheetData sheetId="13"/>
      <sheetData sheetId="14">
        <row r="17">
          <cell r="C17" t="str">
            <v>项目类型</v>
          </cell>
        </row>
      </sheetData>
      <sheetData sheetId="15"/>
      <sheetData sheetId="16"/>
      <sheetData sheetId="17"/>
      <sheetData sheetId="18"/>
      <sheetData sheetId="19"/>
      <sheetData sheetId="20"/>
      <sheetData sheetId="21"/>
      <sheetData sheetId="22"/>
      <sheetData sheetId="23"/>
      <sheetData sheetId="24"/>
      <sheetData sheetId="25">
        <row r="8">
          <cell r="A8" t="str">
            <v>通路</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估价对象为北京市房地产，为所有。根据《国有土地使用证》[]，估价对象（分摊）出让国有建设用地使用权面积为21825.93平方米，建筑面积为82371.62平方米。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估价对象为北京市房地产,属开发建设的，该项目尚在开发建设中。根据《国有土地使用证》[]，估价对象（分摊）出让国有建设用地使用权面积为21825.93平方米，规划建筑面积为82371.62平方米。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2026年3月10日（评估专业人员实地查勘之日）</v>
      </c>
    </row>
    <row r="13" spans="1:2">
      <c r="A13" s="793" t="s">
        <v>523</v>
      </c>
      <c r="B13" s="794"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本次评估采用的主估价方法为比较法和假设开发法。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252423</v>
      </c>
    </row>
    <row r="21" spans="1:2">
      <c r="A21" s="793" t="s">
        <v>531</v>
      </c>
      <c r="B21" s="794">
        <f ca="1">'预评函-2'!D7</f>
        <v>30644</v>
      </c>
    </row>
    <row r="22" spans="1:2">
      <c r="A22" s="793" t="s">
        <v>532</v>
      </c>
      <c r="B22" s="794" t="str">
        <f ca="1">'预评函-2'!D6</f>
        <v>贰拾伍亿贰仟肆佰贰拾叁万元整</v>
      </c>
    </row>
    <row r="23" spans="1:2">
      <c r="A23" s="793" t="s">
        <v>583</v>
      </c>
      <c r="B23" s="794" t="str">
        <f>'预评函-2'!B8</f>
        <v>2.估价师知悉的法定优先受偿款</v>
      </c>
    </row>
    <row r="24" spans="1:2">
      <c r="A24" s="793" t="s">
        <v>589</v>
      </c>
      <c r="B24" s="794">
        <f>'预评函-2'!D8</f>
        <v>2945</v>
      </c>
    </row>
    <row r="25" spans="1:2">
      <c r="A25" s="793" t="s">
        <v>533</v>
      </c>
      <c r="B25" s="794" t="str">
        <f>'预评函-2'!D9</f>
        <v>贰仟玖佰肆拾伍万元整</v>
      </c>
    </row>
    <row r="26" spans="1:2">
      <c r="A26" s="793" t="s">
        <v>534</v>
      </c>
      <c r="B26" s="794">
        <f>'预评函-2'!D10</f>
        <v>0</v>
      </c>
    </row>
    <row r="27" spans="1:2">
      <c r="A27" s="793" t="s">
        <v>535</v>
      </c>
      <c r="B27" s="794">
        <f>'预评函-2'!D11</f>
        <v>0</v>
      </c>
    </row>
    <row r="28" spans="1:2">
      <c r="A28" s="793" t="s">
        <v>536</v>
      </c>
      <c r="B28" s="794">
        <f>'预评函-2'!D12</f>
        <v>2945</v>
      </c>
    </row>
    <row r="29" spans="1:2">
      <c r="A29" s="793" t="s">
        <v>587</v>
      </c>
      <c r="B29" s="794" t="str">
        <f>'预评函-2'!B13</f>
        <v>3.房地产抵押价值</v>
      </c>
    </row>
    <row r="30" spans="1:2">
      <c r="A30" s="793" t="s">
        <v>588</v>
      </c>
      <c r="B30" s="794">
        <f ca="1">'预评函-2'!D13</f>
        <v>249478</v>
      </c>
    </row>
    <row r="31" spans="1:2">
      <c r="A31" s="793" t="s">
        <v>570</v>
      </c>
      <c r="B31" s="794">
        <f ca="1">'预评函-2'!D15</f>
        <v>30287</v>
      </c>
    </row>
    <row r="32" spans="1:2">
      <c r="A32" s="793" t="s">
        <v>537</v>
      </c>
      <c r="B32" s="794" t="str">
        <f ca="1">'预评函-2'!D14</f>
        <v>贰拾肆亿玖仟肆佰柒拾捌万元整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82371.62</v>
      </c>
    </row>
    <row r="44" spans="1:2">
      <c r="A44" s="793" t="s">
        <v>569</v>
      </c>
      <c r="B44" s="794" t="str">
        <f>'预评函-3'!C2</f>
        <v>(分摊)土地面积</v>
      </c>
    </row>
    <row r="45" spans="1:2">
      <c r="A45" s="793" t="s">
        <v>541</v>
      </c>
      <c r="B45" s="794">
        <f>'预评函-3'!C4</f>
        <v>21825.93</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故，本次评估估价师知悉的法定优先受偿款为人民币2945万元整。</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3263</v>
      </c>
      <c r="AA1" s="1082" t="s">
        <v>3262</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3269</v>
      </c>
      <c r="Z2" s="1089" t="s">
        <v>2332</v>
      </c>
      <c r="AA2" s="1089" t="s">
        <v>3270</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3271</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3272</v>
      </c>
      <c r="Z8" s="1089" t="s">
        <v>2344</v>
      </c>
      <c r="AB8" s="1089" t="s">
        <v>2370</v>
      </c>
    </row>
    <row r="9" spans="1:28">
      <c r="A9" s="1085" t="s">
        <v>1013</v>
      </c>
      <c r="B9" s="1085" t="s">
        <v>1011</v>
      </c>
      <c r="C9" s="1086" t="s">
        <v>318</v>
      </c>
      <c r="F9" s="1087" t="s">
        <v>1015</v>
      </c>
      <c r="H9" s="1087"/>
      <c r="I9" s="1089" t="s">
        <v>3221</v>
      </c>
      <c r="X9" s="1089" t="s">
        <v>3273</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3507</v>
      </c>
      <c r="C18" s="1086"/>
    </row>
    <row r="19" spans="1:3">
      <c r="A19" s="1085" t="s">
        <v>1031</v>
      </c>
      <c r="B19" s="1085" t="s">
        <v>3508</v>
      </c>
      <c r="C19" s="1086"/>
    </row>
    <row r="20" spans="1:3">
      <c r="A20" s="1085" t="s">
        <v>1032</v>
      </c>
      <c r="B20" s="1085" t="s">
        <v>310</v>
      </c>
      <c r="C20" s="1086"/>
    </row>
    <row r="21" spans="1:3">
      <c r="A21" s="1085" t="s">
        <v>1033</v>
      </c>
      <c r="B21" s="1085" t="s">
        <v>2188</v>
      </c>
      <c r="C21" s="1086"/>
    </row>
    <row r="22" spans="1:3">
      <c r="A22" s="1085" t="s">
        <v>1034</v>
      </c>
      <c r="B22" s="1085" t="s">
        <v>3612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4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7"/>
      <c r="B54" s="1091" t="s">
        <v>379</v>
      </c>
      <c r="C54" s="1089" t="s">
        <v>577</v>
      </c>
    </row>
    <row r="55" spans="1:4">
      <c r="A55" s="4347"/>
      <c r="B55" s="1091" t="s">
        <v>380</v>
      </c>
      <c r="C55" s="1089" t="s">
        <v>578</v>
      </c>
    </row>
    <row r="56" spans="1:4">
      <c r="A56" s="4347"/>
      <c r="B56" s="1091" t="s">
        <v>381</v>
      </c>
      <c r="C56" s="1089" t="s">
        <v>582</v>
      </c>
    </row>
    <row r="57" spans="1:4">
      <c r="A57" s="434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48" t="s">
        <v>2460</v>
      </c>
      <c r="J2" s="4349"/>
      <c r="K2" s="4349"/>
      <c r="L2" s="4349"/>
      <c r="M2" s="4349"/>
      <c r="N2" s="4349"/>
      <c r="O2" s="4349"/>
      <c r="P2" s="4349"/>
      <c r="Q2" s="4349"/>
      <c r="R2" s="4350"/>
    </row>
    <row r="3" spans="1:19">
      <c r="A3" s="2192" t="s">
        <v>2381</v>
      </c>
      <c r="B3" s="2193">
        <f>项目基本情况!D3</f>
        <v>46091</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0.77</v>
      </c>
      <c r="D5" s="3511">
        <f>IF(ISERROR(ROUND(POWER(1+E5,A5-C5)*(POWER(1+E5,C5)-1)/(POWER(1+E5,A5)-1),3)),0,ROUND(POWER(1+E5,A5-C5)*(POWER(1+E5,C5)-1)/(POWER(1+E5,A5)-1),4))</f>
        <v>3.7600000000000001E-2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10.78</v>
      </c>
      <c r="D6" s="3511">
        <f>IF(ISERROR(ROUND(POWER(1+E6,A6-C6)*(POWER(1+E6,C6)-1)/(POWER(1+E6,A6)-1),3)),0,ROUND(POWER(1+E6,A6-C6)*(POWER(1+E6,C6)-1)/(POWER(1+E6,A6)-1),4))</f>
        <v>0.40129999999999999</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30.8</v>
      </c>
      <c r="D7" s="3511">
        <f>IF(ISERROR(ROUND(POWER(1+E7,A7-C7)*(POWER(1+E7,C7)-1)/(POWER(1+E7,A7)-1),3)),0,ROUND(POWER(1+E7,A7-C7)*(POWER(1+E7,C7)-1)/(POWER(1+E7,A7)-1),4))</f>
        <v>0.74929999999999997</v>
      </c>
      <c r="E7" s="3512">
        <v>0.04</v>
      </c>
      <c r="F7" s="2191"/>
      <c r="I7" s="3495" t="s">
        <v>3659</v>
      </c>
      <c r="J7" s="3496" t="s">
        <v>3661</v>
      </c>
      <c r="K7" s="3497">
        <v>3.5</v>
      </c>
      <c r="L7" s="3498"/>
      <c r="M7" s="3492"/>
      <c r="N7" s="2186"/>
      <c r="O7" s="2186"/>
      <c r="P7" s="2186"/>
      <c r="Q7" s="2186"/>
      <c r="R7" s="2187"/>
    </row>
    <row r="8" spans="1:19" ht="14.25" thickBot="1">
      <c r="A8" s="2189"/>
      <c r="B8" s="2190"/>
      <c r="C8" s="2190"/>
      <c r="D8" s="2190"/>
      <c r="E8" s="2190"/>
      <c r="F8" s="2191"/>
      <c r="I8" s="4348" t="s">
        <v>3660</v>
      </c>
      <c r="J8" s="4349"/>
      <c r="K8" s="4349"/>
      <c r="L8" s="4349"/>
      <c r="M8" s="4349"/>
      <c r="N8" s="4349"/>
      <c r="O8" s="4349"/>
      <c r="P8" s="4349"/>
      <c r="Q8" s="4349"/>
      <c r="R8" s="4350"/>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53" t="s">
        <v>3862</v>
      </c>
    </row>
    <row r="10" spans="1:19">
      <c r="A10" s="2192" t="s">
        <v>2388</v>
      </c>
      <c r="B10" s="2194"/>
      <c r="C10" s="2194"/>
      <c r="D10" s="2194" t="s">
        <v>2386</v>
      </c>
      <c r="E10" s="2194"/>
      <c r="F10" s="2195" t="s">
        <v>2385</v>
      </c>
      <c r="I10" s="2198" t="s">
        <v>2461</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354"/>
    </row>
    <row r="11" spans="1:19">
      <c r="A11" s="3515" t="s">
        <v>2389</v>
      </c>
      <c r="B11" s="3513">
        <v>70</v>
      </c>
      <c r="C11" s="3516" t="s">
        <v>2390</v>
      </c>
      <c r="D11" s="3512">
        <v>4.4999999999999998E-2</v>
      </c>
      <c r="E11" s="3516" t="s">
        <v>2391</v>
      </c>
      <c r="F11" s="3514">
        <f>ROUND(1-(1/(POWER(1+D11,B11))),4)</f>
        <v>0.95409999999999995</v>
      </c>
      <c r="I11" s="2198" t="s">
        <v>2462</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354"/>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354"/>
    </row>
    <row r="13" spans="1:19">
      <c r="A13" s="2192" t="s">
        <v>2395</v>
      </c>
      <c r="B13" s="2194"/>
      <c r="C13" s="2194"/>
      <c r="D13" s="2190"/>
      <c r="E13" s="2190"/>
      <c r="F13" s="2191"/>
      <c r="I13" s="3491" t="s">
        <v>3662</v>
      </c>
      <c r="J13" s="3500">
        <v>2.5</v>
      </c>
      <c r="K13" s="3492" t="s">
        <v>3663</v>
      </c>
      <c r="L13" s="3501">
        <v>0.92630000000000001</v>
      </c>
      <c r="M13" s="3492"/>
      <c r="N13" s="2186"/>
      <c r="O13" s="2186"/>
      <c r="P13" s="2186"/>
      <c r="Q13" s="2186"/>
      <c r="R13" s="2187"/>
      <c r="S13" s="4354"/>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54"/>
    </row>
    <row r="15" spans="1:19">
      <c r="A15" s="3515" t="s">
        <v>2397</v>
      </c>
      <c r="B15" s="3519">
        <f>ROUND(B14*F12/F11,2)</f>
        <v>4339.6899999999996</v>
      </c>
      <c r="C15" s="3511">
        <f>ROUND(F12/F11,4)</f>
        <v>0.8679</v>
      </c>
      <c r="D15" s="2190"/>
      <c r="E15" s="2190"/>
      <c r="F15" s="2191"/>
      <c r="I15" s="2198" t="s">
        <v>2461</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354"/>
    </row>
    <row r="16" spans="1:19">
      <c r="A16" s="2192" t="s">
        <v>2398</v>
      </c>
      <c r="B16" s="2599"/>
      <c r="C16" s="2599"/>
      <c r="D16" s="2190"/>
      <c r="E16" s="2190"/>
      <c r="F16" s="2191"/>
      <c r="I16" s="2198" t="s">
        <v>2462</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354"/>
    </row>
    <row r="17" spans="1:19" ht="14.25" thickBot="1">
      <c r="A17" s="3515" t="s">
        <v>2397</v>
      </c>
      <c r="B17" s="3517">
        <v>4810</v>
      </c>
      <c r="C17" s="3518"/>
      <c r="D17" s="2190"/>
      <c r="E17" s="2190"/>
      <c r="F17" s="2191"/>
      <c r="I17" s="3494" t="s">
        <v>2463</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355"/>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3339</v>
      </c>
      <c r="B49" s="3969"/>
      <c r="C49" s="3969"/>
      <c r="D49" s="3969"/>
      <c r="E49" s="3969"/>
      <c r="I49" s="4351" t="s">
        <v>3970</v>
      </c>
      <c r="J49" s="4351"/>
      <c r="K49" s="4351"/>
      <c r="L49" s="4351"/>
      <c r="M49" s="4351"/>
      <c r="N49" s="2196"/>
      <c r="O49" s="2196"/>
    </row>
    <row r="50" spans="1:16" ht="14.25">
      <c r="A50" s="2612" t="s">
        <v>3340</v>
      </c>
      <c r="B50" s="2615" t="s">
        <v>3341</v>
      </c>
      <c r="C50" s="2618" t="s">
        <v>3342</v>
      </c>
      <c r="D50" s="2619" t="s">
        <v>3350</v>
      </c>
      <c r="E50" s="2620" t="s">
        <v>3349</v>
      </c>
      <c r="F50" s="2621" t="s">
        <v>3356</v>
      </c>
      <c r="I50" s="4095" t="s">
        <v>3351</v>
      </c>
      <c r="J50" s="4096" t="s">
        <v>3352</v>
      </c>
      <c r="K50" s="4096" t="s">
        <v>3353</v>
      </c>
      <c r="L50" s="4096" t="s">
        <v>3354</v>
      </c>
      <c r="M50" s="4097" t="s">
        <v>3355</v>
      </c>
      <c r="N50" s="4103" t="s">
        <v>3966</v>
      </c>
      <c r="O50" s="4097" t="s">
        <v>3967</v>
      </c>
    </row>
    <row r="51" spans="1:16" ht="15">
      <c r="A51" s="1882" t="s">
        <v>3815</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3343</v>
      </c>
      <c r="B52" s="2605">
        <v>5508</v>
      </c>
      <c r="C52" s="2624"/>
      <c r="D52" s="2607">
        <v>3000</v>
      </c>
      <c r="E52" s="2627">
        <f>D52*B52</f>
        <v>16524000</v>
      </c>
      <c r="F52" s="2622"/>
      <c r="G52" s="2604" t="s">
        <v>3816</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3968</v>
      </c>
    </row>
    <row r="53" spans="1:16" ht="15" thickBot="1">
      <c r="A53" s="2613" t="s">
        <v>3344</v>
      </c>
      <c r="B53" s="2605">
        <v>4485</v>
      </c>
      <c r="C53" s="2624"/>
      <c r="D53" s="2607">
        <v>4500</v>
      </c>
      <c r="E53" s="2627">
        <f>D53*B53</f>
        <v>20182500</v>
      </c>
      <c r="F53" s="2622"/>
      <c r="G53" s="2604" t="s">
        <v>3817</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3969</v>
      </c>
    </row>
    <row r="54" spans="1:16" ht="15">
      <c r="A54" s="1882" t="s">
        <v>3345</v>
      </c>
      <c r="B54" s="2616">
        <f>B51</f>
        <v>9993</v>
      </c>
      <c r="C54" s="2616">
        <f>E54/B54</f>
        <v>1283.8637045932153</v>
      </c>
      <c r="D54" s="3934"/>
      <c r="E54" s="2628">
        <f>E55+E56</f>
        <v>12829650</v>
      </c>
      <c r="F54" s="3933">
        <f>E54/$E$62</f>
        <v>0.15779328102775064</v>
      </c>
      <c r="G54" s="2604"/>
      <c r="H54" s="2604"/>
    </row>
    <row r="55" spans="1:16" ht="15">
      <c r="A55" s="2613" t="s">
        <v>3813</v>
      </c>
      <c r="B55" s="3932">
        <f>B52</f>
        <v>5508</v>
      </c>
      <c r="C55" s="2616"/>
      <c r="D55" s="3935">
        <v>1800</v>
      </c>
      <c r="E55" s="2627">
        <f>D55*B55</f>
        <v>9914400</v>
      </c>
      <c r="F55" s="2622"/>
      <c r="G55" s="2604" t="s">
        <v>3818</v>
      </c>
      <c r="H55" s="2604"/>
    </row>
    <row r="56" spans="1:16" ht="15">
      <c r="A56" s="2613" t="s">
        <v>3814</v>
      </c>
      <c r="B56" s="3932">
        <f>B53</f>
        <v>4485</v>
      </c>
      <c r="C56" s="2616"/>
      <c r="D56" s="3935">
        <v>650</v>
      </c>
      <c r="E56" s="2627">
        <f>D56*B56</f>
        <v>2915250</v>
      </c>
      <c r="F56" s="2622"/>
      <c r="G56" s="2604" t="s">
        <v>3819</v>
      </c>
      <c r="H56" s="2604"/>
    </row>
    <row r="57" spans="1:16" ht="15">
      <c r="A57" s="3931" t="s">
        <v>3812</v>
      </c>
      <c r="B57" s="2616">
        <f>B51</f>
        <v>9993</v>
      </c>
      <c r="C57" s="2616">
        <f>E57/B57</f>
        <v>2704.7433203242272</v>
      </c>
      <c r="D57" s="3934"/>
      <c r="E57" s="2628">
        <f>E58+E59</f>
        <v>27028500</v>
      </c>
      <c r="F57" s="2622">
        <f>E57/$E$62</f>
        <v>0.33242650393881035</v>
      </c>
      <c r="G57" s="2604"/>
      <c r="H57" s="2604"/>
      <c r="I57" s="4352" t="s">
        <v>3357</v>
      </c>
      <c r="J57" s="4352"/>
      <c r="K57" s="4352"/>
      <c r="L57" s="4352"/>
      <c r="M57" s="4352"/>
      <c r="N57" s="2190"/>
    </row>
    <row r="58" spans="1:16" ht="14.25">
      <c r="A58" s="2613" t="s">
        <v>3813</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3814</v>
      </c>
      <c r="B59" s="3932">
        <f>B53</f>
        <v>4485</v>
      </c>
      <c r="C59" s="2605">
        <v>500</v>
      </c>
      <c r="D59" s="3950"/>
      <c r="E59" s="2627">
        <f>C59*B59</f>
        <v>2242500</v>
      </c>
      <c r="F59" s="2622"/>
      <c r="G59" s="2604" t="s">
        <v>3828</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3347</v>
      </c>
      <c r="B60" s="2606">
        <f>B51*0.07</f>
        <v>699.5100000000001</v>
      </c>
      <c r="C60" s="2616">
        <f>E60/B51</f>
        <v>315.00000000000006</v>
      </c>
      <c r="D60" s="3937">
        <f>D53</f>
        <v>4500</v>
      </c>
      <c r="E60" s="2628">
        <f>D60*B60</f>
        <v>3147795.0000000005</v>
      </c>
      <c r="F60" s="2622">
        <f>E60/$E$62</f>
        <v>3.8715078045990996E-2</v>
      </c>
      <c r="G60" s="3951">
        <f>B60/(B62+B60)</f>
        <v>6.5420560747663559E-2</v>
      </c>
      <c r="H60" s="3938" t="s">
        <v>3829</v>
      </c>
    </row>
    <row r="61" spans="1:16" ht="15">
      <c r="A61" s="1882" t="s">
        <v>3346</v>
      </c>
      <c r="B61" s="3936">
        <f>B51</f>
        <v>9993</v>
      </c>
      <c r="C61" s="2616">
        <f>E61/B61</f>
        <v>159.53656559591715</v>
      </c>
      <c r="D61" s="2608">
        <v>0.02</v>
      </c>
      <c r="E61" s="2628">
        <f>(E51+E54+E57+E60)*D61</f>
        <v>1594248.9000000001</v>
      </c>
      <c r="F61" s="2622">
        <f>E61/$E$62</f>
        <v>1.9607843137254902E-2</v>
      </c>
      <c r="G61" s="2604" t="s">
        <v>3820</v>
      </c>
    </row>
    <row r="62" spans="1:16" ht="15.75" thickBot="1">
      <c r="A62" s="2614" t="s">
        <v>3348</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3821</v>
      </c>
      <c r="B66" s="3943"/>
      <c r="C66" s="3943"/>
      <c r="D66" s="3944"/>
    </row>
    <row r="67" spans="1:4">
      <c r="A67" s="3945" t="s">
        <v>3824</v>
      </c>
      <c r="B67" s="3941"/>
      <c r="C67" s="3941"/>
      <c r="D67" s="3948" t="s">
        <v>3826</v>
      </c>
    </row>
    <row r="68" spans="1:4">
      <c r="A68" s="3945" t="s">
        <v>3825</v>
      </c>
      <c r="B68" s="3941"/>
      <c r="C68" s="3941"/>
      <c r="D68" s="3948" t="s">
        <v>3827</v>
      </c>
    </row>
    <row r="69" spans="1:4" ht="14.25" thickBot="1">
      <c r="A69" s="3946" t="s">
        <v>3822</v>
      </c>
      <c r="B69" s="3947"/>
      <c r="C69" s="3947"/>
      <c r="D69" s="3949" t="s">
        <v>3823</v>
      </c>
    </row>
  </sheetData>
  <sheetProtection password="CEE9" sheet="1" objects="1" scenarios="1" formatColumns="0" formatRows="0"/>
  <mergeCells count="5">
    <mergeCell ref="I2:R2"/>
    <mergeCell ref="I49:M49"/>
    <mergeCell ref="I57:M57"/>
    <mergeCell ref="I8:R8"/>
    <mergeCell ref="S9:S17"/>
  </mergeCells>
  <phoneticPr fontId="13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1" sqref="K11"/>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63" t="str">
        <f>IF(B10="北京市","北京市",C10)&amp;F10&amp;IF(结果表!G1="在建","出让国有建设用地使用权及在建建筑物",IF(结果表!G1="土地","出让国有建设用地使用权",))&amp;B9&amp;"预评估"</f>
        <v>北京市房地产抵押价值预评估</v>
      </c>
      <c r="C1" s="4364"/>
      <c r="D1" s="4364"/>
      <c r="E1" s="4364"/>
      <c r="F1" s="4364"/>
      <c r="G1" s="4364"/>
      <c r="H1" s="4364"/>
      <c r="I1" s="4365"/>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46091</v>
      </c>
      <c r="C3" s="1731" t="s">
        <v>2075</v>
      </c>
      <c r="D3" s="1730">
        <f>B3</f>
        <v>46091</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4058</v>
      </c>
      <c r="C8" s="1746"/>
      <c r="D8" s="4366" t="s">
        <v>2081</v>
      </c>
      <c r="E8" s="1747" t="s">
        <v>4059</v>
      </c>
      <c r="F8" s="1748"/>
      <c r="G8" s="1931"/>
      <c r="H8" s="1931"/>
      <c r="I8" s="1931"/>
      <c r="J8" s="1785"/>
      <c r="K8" s="1890"/>
      <c r="L8" s="1889"/>
      <c r="M8" s="1889"/>
      <c r="N8" s="1785"/>
      <c r="O8" s="1296"/>
      <c r="P8" s="1785"/>
      <c r="Q8" s="1785"/>
      <c r="R8" s="1785"/>
    </row>
    <row r="9" spans="1:30" ht="13.5" thickBot="1">
      <c r="A9" s="1749" t="s">
        <v>2082</v>
      </c>
      <c r="B9" s="1750" t="s">
        <v>4059</v>
      </c>
      <c r="C9" s="1751"/>
      <c r="D9" s="4367"/>
      <c r="E9" s="1750" t="s">
        <v>41</v>
      </c>
      <c r="F9" s="1752"/>
      <c r="G9" s="1932"/>
      <c r="H9" s="1932"/>
      <c r="I9" s="1932"/>
      <c r="J9" s="1785"/>
      <c r="K9" s="1892"/>
      <c r="L9" s="1889"/>
      <c r="M9" s="1889"/>
      <c r="N9" s="1785"/>
      <c r="O9" s="1296"/>
      <c r="P9" s="1785"/>
      <c r="Q9" s="1785"/>
      <c r="R9" s="1785"/>
    </row>
    <row r="10" spans="1:30" ht="13.5" thickTop="1">
      <c r="A10" s="1753" t="s">
        <v>2083</v>
      </c>
      <c r="B10" s="3410" t="s">
        <v>4060</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4061</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v>71586</v>
      </c>
      <c r="D13" s="546">
        <v>60629</v>
      </c>
      <c r="E13" s="546"/>
      <c r="F13" s="546">
        <v>64281</v>
      </c>
      <c r="G13" s="546">
        <v>64281</v>
      </c>
      <c r="H13" s="546"/>
      <c r="I13" s="546"/>
      <c r="J13" s="2222"/>
      <c r="K13" s="1889"/>
      <c r="L13" s="1889"/>
      <c r="M13" s="1785"/>
      <c r="N13" s="1296"/>
      <c r="O13" s="1785"/>
      <c r="P13" s="1785"/>
      <c r="Q13" s="1785"/>
      <c r="AD13" s="1249"/>
    </row>
    <row r="14" spans="1:30">
      <c r="A14" s="718"/>
      <c r="B14" s="1761" t="s">
        <v>2095</v>
      </c>
      <c r="C14" s="1762">
        <v>70</v>
      </c>
      <c r="D14" s="1762">
        <v>40</v>
      </c>
      <c r="E14" s="1762"/>
      <c r="F14" s="1762">
        <v>50</v>
      </c>
      <c r="G14" s="1762">
        <v>50</v>
      </c>
      <c r="H14" s="1762"/>
      <c r="I14" s="1762"/>
      <c r="J14" s="2223"/>
      <c r="K14" s="1889"/>
      <c r="L14" s="1889"/>
      <c r="M14" s="1785"/>
      <c r="N14" s="1296"/>
      <c r="O14" s="1785"/>
      <c r="P14" s="1785"/>
      <c r="Q14" s="1785"/>
      <c r="AD14" s="1249"/>
    </row>
    <row r="15" spans="1:30">
      <c r="A15" s="203"/>
      <c r="B15" s="1763" t="s">
        <v>2096</v>
      </c>
      <c r="C15" s="6">
        <f>IF(A13="出让",IF(C13="","",ROUNDDOWN(MIN((C13-$D$3)/365,C14),2)),C14)</f>
        <v>69.84</v>
      </c>
      <c r="D15" s="6">
        <f>IF(A13="出让",IF(D13="","",ROUNDDOWN(MIN((D13-$D$3)/365,D14),2)),D14)</f>
        <v>39.83</v>
      </c>
      <c r="E15" s="6" t="str">
        <f>IF(A13="出让",IF(E13="","",ROUNDDOWN(MIN((E13-$D$3)/365,E14),2)),E14)</f>
        <v/>
      </c>
      <c r="F15" s="6">
        <f>IF(A13="出让",IF(F13="","",ROUNDDOWN(MIN((F13-$D$3)/365,F14),2)),F14)</f>
        <v>49.83</v>
      </c>
      <c r="G15" s="6">
        <f>IF(A13="出让",IF(G13="","",ROUNDDOWN(MIN((G13-$D$3)/365,G14),2)),G14)</f>
        <v>49.83</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73"/>
      <c r="C16" s="4374"/>
      <c r="D16" s="4375"/>
      <c r="E16" s="1764" t="s">
        <v>2098</v>
      </c>
      <c r="F16" s="4376"/>
      <c r="G16" s="4377"/>
      <c r="H16" s="4377"/>
      <c r="I16" s="4378"/>
      <c r="J16" s="1785"/>
      <c r="K16" s="1893"/>
      <c r="L16" s="1296"/>
      <c r="M16" s="1296"/>
      <c r="N16" s="1785"/>
      <c r="O16" s="1296"/>
      <c r="P16" s="1785"/>
      <c r="Q16" s="1785"/>
      <c r="R16" s="1785"/>
    </row>
    <row r="17" spans="1:28">
      <c r="A17" s="197" t="s">
        <v>2099</v>
      </c>
      <c r="B17" s="186" t="s">
        <v>2100</v>
      </c>
      <c r="C17" s="9">
        <f>'数据-汇总表'!E3</f>
        <v>82371.62</v>
      </c>
      <c r="D17" s="899" t="s">
        <v>2101</v>
      </c>
      <c r="E17" s="4379" t="s">
        <v>2102</v>
      </c>
      <c r="F17" s="4380"/>
      <c r="G17" s="4380"/>
      <c r="H17" s="4380"/>
      <c r="I17" s="4381"/>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21825.93</v>
      </c>
      <c r="D18" s="729" t="s">
        <v>2105</v>
      </c>
      <c r="E18" s="4382" t="s">
        <v>2106</v>
      </c>
      <c r="F18" s="4383"/>
      <c r="G18" s="4383"/>
      <c r="H18" s="4383"/>
      <c r="I18" s="4384"/>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69" t="s">
        <v>2110</v>
      </c>
      <c r="C20" s="4370"/>
      <c r="D20" s="4371" t="s">
        <v>2111</v>
      </c>
      <c r="E20" s="4372"/>
      <c r="F20" s="1920" t="s">
        <v>1040</v>
      </c>
      <c r="G20" s="1931"/>
      <c r="H20" s="1931"/>
      <c r="I20" s="1931"/>
      <c r="J20" s="1785"/>
      <c r="K20" s="4368"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6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6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57"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57"/>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57"/>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58"/>
      <c r="B30" s="186" t="s">
        <v>2122</v>
      </c>
      <c r="C30" s="4359"/>
      <c r="D30" s="4360"/>
      <c r="E30" s="1931"/>
      <c r="F30" s="1931"/>
      <c r="G30" s="1931"/>
      <c r="H30" s="1931"/>
      <c r="I30" s="1931"/>
      <c r="J30" s="1785"/>
      <c r="K30" s="1892"/>
      <c r="L30" s="1889"/>
      <c r="M30" s="1889"/>
      <c r="N30" s="1785"/>
      <c r="O30" s="1296"/>
      <c r="P30" s="1785"/>
      <c r="Q30" s="1785"/>
      <c r="R30" s="1785"/>
      <c r="S30" s="1785"/>
      <c r="T30" s="1785"/>
      <c r="U30" s="1785"/>
      <c r="V30" s="1785"/>
    </row>
    <row r="31" spans="1:28">
      <c r="A31" s="4361"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62"/>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62"/>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56" t="s">
        <v>2132</v>
      </c>
      <c r="T34" s="206" t="str">
        <f>NUMBERSTRING(7-K34,1)&amp;"通"</f>
        <v>七通</v>
      </c>
      <c r="U34" s="1785"/>
      <c r="V34" s="1785"/>
    </row>
    <row r="35" spans="1:30">
      <c r="A35" s="1776"/>
      <c r="B35" s="4356" t="s">
        <v>2133</v>
      </c>
      <c r="C35" s="4356"/>
      <c r="D35" s="4356"/>
      <c r="E35" s="435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56"/>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t="s">
        <v>108</v>
      </c>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t="s">
        <v>214</v>
      </c>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36BC-BB91-4BCC-8B20-341A5359DC02}">
  <sheetPr>
    <tabColor rgb="FFFFFF00"/>
  </sheetPr>
  <dimension ref="M4:N32"/>
  <sheetViews>
    <sheetView topLeftCell="A10" workbookViewId="0">
      <selection activeCell="M3" sqref="M3"/>
    </sheetView>
  </sheetViews>
  <sheetFormatPr defaultRowHeight="13.5"/>
  <cols>
    <col min="13" max="13" width="29.625" style="2228" bestFit="1" customWidth="1"/>
    <col min="14" max="14" width="9" style="2228"/>
  </cols>
  <sheetData>
    <row r="4" spans="13:14">
      <c r="M4" s="1065" t="s">
        <v>4062</v>
      </c>
      <c r="N4" s="2228">
        <v>23542.66</v>
      </c>
    </row>
    <row r="5" spans="13:14">
      <c r="M5" s="1065" t="s">
        <v>4063</v>
      </c>
      <c r="N5" s="2228">
        <v>88850.62</v>
      </c>
    </row>
    <row r="6" spans="13:14">
      <c r="M6" s="1065" t="s">
        <v>4064</v>
      </c>
      <c r="N6" s="2228">
        <v>59439.32</v>
      </c>
    </row>
    <row r="7" spans="13:14">
      <c r="M7" s="1065" t="s">
        <v>4065</v>
      </c>
      <c r="N7" s="2228">
        <v>58857</v>
      </c>
    </row>
    <row r="8" spans="13:14">
      <c r="M8" s="1065" t="s">
        <v>4066</v>
      </c>
      <c r="N8" s="2228">
        <v>58465.54</v>
      </c>
    </row>
    <row r="9" spans="13:14">
      <c r="M9" s="1065" t="s">
        <v>4067</v>
      </c>
      <c r="N9" s="2228">
        <v>307.83</v>
      </c>
    </row>
    <row r="10" spans="13:14">
      <c r="M10" s="1065" t="s">
        <v>4068</v>
      </c>
      <c r="N10" s="2228">
        <v>83.63</v>
      </c>
    </row>
    <row r="11" spans="13:14">
      <c r="M11" s="1065" t="s">
        <v>4069</v>
      </c>
      <c r="N11" s="2228">
        <v>582.32000000000005</v>
      </c>
    </row>
    <row r="12" spans="13:14">
      <c r="M12" s="1065" t="s">
        <v>4070</v>
      </c>
      <c r="N12" s="2228">
        <v>354.86</v>
      </c>
    </row>
    <row r="13" spans="13:14">
      <c r="M13" s="1065" t="s">
        <v>4071</v>
      </c>
      <c r="N13" s="2228">
        <v>227.46</v>
      </c>
    </row>
    <row r="14" spans="13:14">
      <c r="M14" s="1065" t="s">
        <v>4072</v>
      </c>
      <c r="N14" s="2228">
        <v>29411.3</v>
      </c>
    </row>
    <row r="15" spans="13:14">
      <c r="M15" s="1065" t="s">
        <v>4073</v>
      </c>
      <c r="N15" s="2228">
        <v>6479</v>
      </c>
    </row>
    <row r="16" spans="13:14">
      <c r="M16" s="1065" t="s">
        <v>4074</v>
      </c>
      <c r="N16" s="2228">
        <v>14766.66</v>
      </c>
    </row>
    <row r="17" spans="13:14">
      <c r="M17" s="1065" t="s">
        <v>4075</v>
      </c>
      <c r="N17" s="2228">
        <v>3431.64</v>
      </c>
    </row>
    <row r="18" spans="13:14">
      <c r="M18" s="1065" t="s">
        <v>4076</v>
      </c>
      <c r="N18" s="2228">
        <v>2024</v>
      </c>
    </row>
    <row r="19" spans="13:14">
      <c r="M19" s="1065" t="s">
        <v>4067</v>
      </c>
      <c r="N19" s="2228">
        <v>1210</v>
      </c>
    </row>
    <row r="20" spans="13:14">
      <c r="M20" s="1065" t="s">
        <v>4077</v>
      </c>
      <c r="N20" s="2228">
        <v>1500</v>
      </c>
    </row>
    <row r="21" spans="13:14">
      <c r="M21" s="1065" t="s">
        <v>4079</v>
      </c>
      <c r="N21" s="2228">
        <v>2.5</v>
      </c>
    </row>
    <row r="22" spans="13:14">
      <c r="M22" s="1065" t="s">
        <v>4080</v>
      </c>
      <c r="N22" s="4257">
        <v>0.24399999999999999</v>
      </c>
    </row>
    <row r="23" spans="13:14">
      <c r="M23" s="1065" t="s">
        <v>4081</v>
      </c>
      <c r="N23" s="4258">
        <v>0.2</v>
      </c>
    </row>
    <row r="24" spans="13:14">
      <c r="M24" s="1065" t="s">
        <v>4082</v>
      </c>
      <c r="N24" s="2228">
        <v>546</v>
      </c>
    </row>
    <row r="25" spans="13:14">
      <c r="M25" s="1065" t="s">
        <v>4083</v>
      </c>
      <c r="N25" s="2228">
        <v>1262</v>
      </c>
    </row>
    <row r="26" spans="13:14">
      <c r="M26" s="1065" t="s">
        <v>4084</v>
      </c>
      <c r="N26" s="2228">
        <v>60</v>
      </c>
    </row>
    <row r="27" spans="13:14">
      <c r="M27" s="1065" t="s">
        <v>4085</v>
      </c>
      <c r="N27" s="2228">
        <v>666</v>
      </c>
    </row>
    <row r="28" spans="13:14">
      <c r="M28" s="1065" t="s">
        <v>4086</v>
      </c>
      <c r="N28" s="2228">
        <v>67</v>
      </c>
    </row>
    <row r="29" spans="13:14">
      <c r="M29" s="1065" t="s">
        <v>4087</v>
      </c>
      <c r="N29" s="2228">
        <v>599</v>
      </c>
    </row>
    <row r="30" spans="13:14">
      <c r="M30" s="1065" t="s">
        <v>4088</v>
      </c>
      <c r="N30" s="2228">
        <v>1123</v>
      </c>
    </row>
    <row r="31" spans="13:14">
      <c r="M31" s="1065" t="s">
        <v>4086</v>
      </c>
      <c r="N31" s="2228">
        <v>1123</v>
      </c>
    </row>
    <row r="32" spans="13:14">
      <c r="M32" s="1065" t="s">
        <v>4087</v>
      </c>
      <c r="N32" s="2228">
        <v>0</v>
      </c>
    </row>
  </sheetData>
  <phoneticPr fontId="13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f>Sheet1!N4</f>
        <v>23542.66</v>
      </c>
      <c r="B3" s="905">
        <f>IF(C3="否",G5-AT5,G5)</f>
        <v>88850.62</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88850.62</v>
      </c>
      <c r="H5" s="6">
        <f t="shared" ref="H5:AT5" si="0">SUM(H13:H656)</f>
        <v>75256.2</v>
      </c>
      <c r="I5" s="6">
        <f t="shared" si="0"/>
        <v>58465.54</v>
      </c>
      <c r="J5" s="6">
        <f t="shared" si="0"/>
        <v>0</v>
      </c>
      <c r="K5" s="6">
        <f t="shared" si="0"/>
        <v>14766.66</v>
      </c>
      <c r="L5" s="6">
        <f t="shared" si="0"/>
        <v>0</v>
      </c>
      <c r="M5" s="6">
        <f t="shared" si="0"/>
        <v>2024</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7115.42</v>
      </c>
      <c r="AD5" s="6">
        <f t="shared" si="0"/>
        <v>307.83</v>
      </c>
      <c r="AE5" s="6">
        <f t="shared" si="0"/>
        <v>0</v>
      </c>
      <c r="AF5" s="6">
        <f t="shared" si="0"/>
        <v>1210</v>
      </c>
      <c r="AG5" s="6">
        <f t="shared" si="0"/>
        <v>0</v>
      </c>
      <c r="AH5" s="6">
        <f t="shared" si="0"/>
        <v>0</v>
      </c>
      <c r="AI5" s="6">
        <f t="shared" si="0"/>
        <v>0</v>
      </c>
      <c r="AJ5" s="6">
        <f t="shared" si="0"/>
        <v>0</v>
      </c>
      <c r="AK5" s="6">
        <f t="shared" si="0"/>
        <v>0</v>
      </c>
      <c r="AL5" s="6">
        <f t="shared" si="0"/>
        <v>665.95</v>
      </c>
      <c r="AM5" s="6">
        <f t="shared" si="0"/>
        <v>0</v>
      </c>
      <c r="AN5" s="6">
        <f t="shared" si="0"/>
        <v>4931.6399999999994</v>
      </c>
      <c r="AO5" s="6">
        <f t="shared" si="0"/>
        <v>0</v>
      </c>
      <c r="AP5" s="6">
        <f t="shared" si="0"/>
        <v>0</v>
      </c>
      <c r="AQ5" s="6">
        <f t="shared" si="0"/>
        <v>0</v>
      </c>
      <c r="AR5" s="6">
        <f t="shared" si="0"/>
        <v>0</v>
      </c>
      <c r="AS5" s="6">
        <f t="shared" si="0"/>
        <v>0</v>
      </c>
      <c r="AT5" s="6">
        <f t="shared" si="0"/>
        <v>6479</v>
      </c>
      <c r="AU5" s="901"/>
      <c r="AV5" s="8" t="s">
        <v>1054</v>
      </c>
      <c r="AW5" s="902"/>
      <c r="AX5" s="902"/>
      <c r="AY5" s="454" t="s">
        <v>2</v>
      </c>
      <c r="AZ5" s="455">
        <f t="shared" ref="AZ5:BT5" si="1">SUM(AZ13:AZ656)</f>
        <v>82371.62</v>
      </c>
      <c r="BA5" s="455">
        <f t="shared" si="1"/>
        <v>75256.2</v>
      </c>
      <c r="BB5" s="455">
        <f t="shared" si="1"/>
        <v>58465.54</v>
      </c>
      <c r="BC5" s="455">
        <f t="shared" si="1"/>
        <v>14766.66</v>
      </c>
      <c r="BD5" s="455">
        <f t="shared" si="1"/>
        <v>2024</v>
      </c>
      <c r="BE5" s="455">
        <f t="shared" si="1"/>
        <v>0</v>
      </c>
      <c r="BF5" s="455">
        <f t="shared" si="1"/>
        <v>0</v>
      </c>
      <c r="BG5" s="455">
        <f t="shared" si="1"/>
        <v>0</v>
      </c>
      <c r="BH5" s="455">
        <f t="shared" si="1"/>
        <v>0</v>
      </c>
      <c r="BI5" s="455">
        <f t="shared" si="1"/>
        <v>0</v>
      </c>
      <c r="BJ5" s="455">
        <f t="shared" si="1"/>
        <v>0</v>
      </c>
      <c r="BK5" s="455">
        <f t="shared" si="1"/>
        <v>0</v>
      </c>
      <c r="BL5" s="455">
        <f t="shared" si="1"/>
        <v>7115.42</v>
      </c>
      <c r="BM5" s="455">
        <f t="shared" si="1"/>
        <v>307.83</v>
      </c>
      <c r="BN5" s="455">
        <f t="shared" si="1"/>
        <v>1210</v>
      </c>
      <c r="BO5" s="455">
        <f t="shared" si="1"/>
        <v>0</v>
      </c>
      <c r="BP5" s="455">
        <f t="shared" si="1"/>
        <v>0</v>
      </c>
      <c r="BQ5" s="455">
        <f t="shared" si="1"/>
        <v>665.95</v>
      </c>
      <c r="BR5" s="455">
        <f t="shared" si="1"/>
        <v>4931.6399999999994</v>
      </c>
      <c r="BS5" s="455">
        <f t="shared" si="1"/>
        <v>0</v>
      </c>
      <c r="BT5" s="3778">
        <f t="shared" si="1"/>
        <v>0</v>
      </c>
    </row>
    <row r="6" spans="1:72" s="1112" customFormat="1" ht="12.75">
      <c r="A6" s="8" t="s">
        <v>1055</v>
      </c>
      <c r="B6" s="902"/>
      <c r="C6" s="902"/>
      <c r="D6" s="903"/>
      <c r="E6" s="6">
        <f>H6+AC6+AT6</f>
        <v>21825.94</v>
      </c>
      <c r="F6" s="6" t="s">
        <v>0</v>
      </c>
      <c r="G6" s="6" t="s">
        <v>1</v>
      </c>
      <c r="H6" s="11">
        <f>SUMIF(I$12:AB$12,"总值",I6:AB6)</f>
        <v>19940.57</v>
      </c>
      <c r="I6" s="6">
        <f t="shared" ref="I6:AB6" si="2">ROUND($A$3*I5/$B$3,2)</f>
        <v>15491.56</v>
      </c>
      <c r="J6" s="6">
        <f t="shared" si="2"/>
        <v>0</v>
      </c>
      <c r="K6" s="6">
        <f t="shared" si="2"/>
        <v>3912.71</v>
      </c>
      <c r="L6" s="6">
        <f t="shared" si="2"/>
        <v>0</v>
      </c>
      <c r="M6" s="6">
        <f t="shared" si="2"/>
        <v>536.29999999999995</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1885.37</v>
      </c>
      <c r="AD6" s="6">
        <f t="shared" ref="AD6:AS6" si="3">ROUND($A$3*AD5/$B$3,2)</f>
        <v>81.569999999999993</v>
      </c>
      <c r="AE6" s="6">
        <f t="shared" si="3"/>
        <v>0</v>
      </c>
      <c r="AF6" s="6">
        <f t="shared" si="3"/>
        <v>320.61</v>
      </c>
      <c r="AG6" s="6">
        <f t="shared" si="3"/>
        <v>0</v>
      </c>
      <c r="AH6" s="6">
        <f t="shared" si="3"/>
        <v>0</v>
      </c>
      <c r="AI6" s="6">
        <f t="shared" si="3"/>
        <v>0</v>
      </c>
      <c r="AJ6" s="6">
        <f t="shared" si="3"/>
        <v>0</v>
      </c>
      <c r="AK6" s="6">
        <f t="shared" si="3"/>
        <v>0</v>
      </c>
      <c r="AL6" s="6">
        <f t="shared" si="3"/>
        <v>176.46</v>
      </c>
      <c r="AM6" s="6">
        <f t="shared" si="3"/>
        <v>0</v>
      </c>
      <c r="AN6" s="6">
        <f t="shared" si="3"/>
        <v>1306.73</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21825.93</v>
      </c>
      <c r="AZ6" s="6" t="s">
        <v>2</v>
      </c>
      <c r="BA6" s="6">
        <f>ROUND($AY$6*BA5/$AZ$5,2)</f>
        <v>19940.560000000001</v>
      </c>
      <c r="BB6" s="6">
        <f>ROUND($AY$6*BB5/$AZ$5,2)</f>
        <v>15491.56</v>
      </c>
      <c r="BC6" s="6">
        <f t="shared" ref="BC6:BH6" si="4">ROUND($AY$6*BC5/$AZ$5,2)</f>
        <v>3912.71</v>
      </c>
      <c r="BD6" s="6">
        <f t="shared" si="4"/>
        <v>536.29999999999995</v>
      </c>
      <c r="BE6" s="6">
        <f t="shared" si="4"/>
        <v>0</v>
      </c>
      <c r="BF6" s="6">
        <f t="shared" si="4"/>
        <v>0</v>
      </c>
      <c r="BG6" s="6">
        <f t="shared" si="4"/>
        <v>0</v>
      </c>
      <c r="BH6" s="6">
        <f t="shared" si="4"/>
        <v>0</v>
      </c>
      <c r="BI6" s="6">
        <f t="shared" ref="BI6:BT6" si="5">ROUND($AY$6*BI5/$AZ$5,2)</f>
        <v>0</v>
      </c>
      <c r="BJ6" s="6">
        <f t="shared" si="5"/>
        <v>0</v>
      </c>
      <c r="BK6" s="6">
        <f t="shared" si="5"/>
        <v>0</v>
      </c>
      <c r="BL6" s="6">
        <f t="shared" si="5"/>
        <v>1885.37</v>
      </c>
      <c r="BM6" s="6">
        <f t="shared" si="5"/>
        <v>81.569999999999993</v>
      </c>
      <c r="BN6" s="6">
        <f t="shared" si="5"/>
        <v>320.61</v>
      </c>
      <c r="BO6" s="6">
        <f t="shared" si="5"/>
        <v>0</v>
      </c>
      <c r="BP6" s="6">
        <f t="shared" si="5"/>
        <v>0</v>
      </c>
      <c r="BQ6" s="6">
        <f t="shared" si="5"/>
        <v>176.46</v>
      </c>
      <c r="BR6" s="6">
        <f t="shared" si="5"/>
        <v>1306.73</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4092</v>
      </c>
      <c r="J9" s="528"/>
      <c r="K9" s="1131" t="s">
        <v>4093</v>
      </c>
      <c r="L9" s="528"/>
      <c r="M9" s="1131" t="s">
        <v>4093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3262</v>
      </c>
      <c r="J10" s="528"/>
      <c r="K10" s="1137" t="s">
        <v>3211</v>
      </c>
      <c r="L10" s="528"/>
      <c r="M10" s="1137" t="s">
        <v>3212</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住宅</v>
      </c>
      <c r="BC11" s="1127" t="str">
        <f>K10</f>
        <v>车库</v>
      </c>
      <c r="BD11" s="1127" t="str">
        <f>M10</f>
        <v>仓储</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306</v>
      </c>
      <c r="D13" s="1153" t="s">
        <v>4091</v>
      </c>
      <c r="E13" s="6">
        <f>IF($C$3="是",ROUND($A$3*G13/$B$3,2),ROUND($A$3*(G13-AT13)/$B$3,2))</f>
        <v>15749.58</v>
      </c>
      <c r="F13" s="579"/>
      <c r="G13" s="18">
        <f>H13+AC13+AT13</f>
        <v>59439.32</v>
      </c>
      <c r="H13" s="11">
        <f>SUMIF(I$12:AB$12,"总值",I13:AB13)</f>
        <v>58465.54</v>
      </c>
      <c r="I13" s="1105">
        <f>Sheet1!N8</f>
        <v>58465.54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973.78</v>
      </c>
      <c r="AD13" s="694">
        <f>Sheet1!N9</f>
        <v>307.83</v>
      </c>
      <c r="AE13" s="694"/>
      <c r="AF13" s="694"/>
      <c r="AG13" s="694"/>
      <c r="AH13" s="694"/>
      <c r="AI13" s="694"/>
      <c r="AJ13" s="694"/>
      <c r="AK13" s="694"/>
      <c r="AL13" s="694">
        <f>Sheet1!N10+Sheet1!N12+Sheet1!N13</f>
        <v>665.95</v>
      </c>
      <c r="AM13" s="694"/>
      <c r="AN13" s="694"/>
      <c r="AO13" s="694"/>
      <c r="AP13" s="694"/>
      <c r="AQ13" s="694"/>
      <c r="AR13" s="694"/>
      <c r="AS13" s="694"/>
      <c r="AT13" s="579"/>
      <c r="AU13" s="1154"/>
      <c r="AV13" s="6">
        <f t="shared" ref="AV13:AX17" si="6">A13</f>
        <v>0</v>
      </c>
      <c r="AW13" s="6">
        <f t="shared" si="6"/>
        <v>0</v>
      </c>
      <c r="AX13" s="6" t="str">
        <f t="shared" si="6"/>
        <v>住宅</v>
      </c>
      <c r="AY13" s="903">
        <f>ROUND($AY$6*AZ13/$AZ$5,2)</f>
        <v>15749.58</v>
      </c>
      <c r="AZ13" s="9">
        <f>BA13+BL13</f>
        <v>59439.32</v>
      </c>
      <c r="BA13" s="9">
        <f>SUM(BB13:BK13)</f>
        <v>58465.54</v>
      </c>
      <c r="BB13" s="9">
        <f>IF($D13="是",I13-J13,0)</f>
        <v>58465.54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973.78</v>
      </c>
      <c r="BM13" s="9">
        <f>IF($D13="是",AD13-AE13,0)</f>
        <v>307.83</v>
      </c>
      <c r="BN13" s="9">
        <f>IF($D13="是",AF13-AG13,0)</f>
        <v>0</v>
      </c>
      <c r="BO13" s="9">
        <f>IF($D13="是",AH13-AI13,0)</f>
        <v>0</v>
      </c>
      <c r="BP13" s="9">
        <f>IF($D13="是",AJ13-AK13,0)</f>
        <v>0</v>
      </c>
      <c r="BQ13" s="9">
        <f>IF($D13="是",AL13-AM13,0)</f>
        <v>665.95</v>
      </c>
      <c r="BR13" s="9">
        <f>IF($D13="是",AN13-AO13,0)</f>
        <v>0</v>
      </c>
      <c r="BS13" s="9">
        <f>IF($D13="是",AP13-AQ13,0)</f>
        <v>0</v>
      </c>
      <c r="BT13" s="10">
        <f>IF($D13="是",AR13-AS13,0)</f>
        <v>0</v>
      </c>
    </row>
    <row r="14" spans="1:72" s="1112" customFormat="1" ht="12.75">
      <c r="A14" s="694"/>
      <c r="B14" s="694">
        <f>ROUND(K14/599,2)</f>
        <v>24.65</v>
      </c>
      <c r="C14" s="1105" t="s">
        <v>4089</v>
      </c>
      <c r="D14" s="1153" t="s">
        <v>4091</v>
      </c>
      <c r="E14" s="6">
        <f>IF($C$3="是",ROUND($A$3*G14/$B$3,2),ROUND($A$3*(G14-AT14)/$B$3,2))</f>
        <v>4821.99</v>
      </c>
      <c r="F14" s="579"/>
      <c r="G14" s="18">
        <f>H14+AC14+AT14</f>
        <v>24677.3</v>
      </c>
      <c r="H14" s="11">
        <f>SUMIF(I$12:AB$12,"总值",I14:AB14)</f>
        <v>14766.66</v>
      </c>
      <c r="I14" s="1105"/>
      <c r="J14" s="1105"/>
      <c r="K14" s="1105">
        <f>Sheet1!N16</f>
        <v>14766.66</v>
      </c>
      <c r="L14" s="1105"/>
      <c r="M14" s="1105"/>
      <c r="N14" s="1105"/>
      <c r="O14" s="1105"/>
      <c r="P14" s="1105"/>
      <c r="Q14" s="1105"/>
      <c r="R14" s="1105"/>
      <c r="S14" s="1105"/>
      <c r="T14" s="1105"/>
      <c r="U14" s="1105"/>
      <c r="V14" s="1105"/>
      <c r="W14" s="1105"/>
      <c r="X14" s="1105"/>
      <c r="Y14" s="1105"/>
      <c r="Z14" s="1105"/>
      <c r="AA14" s="1105"/>
      <c r="AB14" s="1105"/>
      <c r="AC14" s="6">
        <f>SUMIF(AD$12:AS$12,"总值",AD14:AS14)</f>
        <v>3431.64</v>
      </c>
      <c r="AD14" s="694"/>
      <c r="AE14" s="694"/>
      <c r="AF14" s="694"/>
      <c r="AG14" s="694"/>
      <c r="AH14" s="694"/>
      <c r="AI14" s="694"/>
      <c r="AJ14" s="694"/>
      <c r="AK14" s="694"/>
      <c r="AL14" s="694"/>
      <c r="AM14" s="694"/>
      <c r="AN14" s="694">
        <f>Sheet1!N17</f>
        <v>3431.64</v>
      </c>
      <c r="AO14" s="694"/>
      <c r="AP14" s="694"/>
      <c r="AQ14" s="694"/>
      <c r="AR14" s="694"/>
      <c r="AS14" s="694"/>
      <c r="AT14" s="579">
        <f>Sheet1!N15</f>
        <v>6479</v>
      </c>
      <c r="AU14" s="1154"/>
      <c r="AV14" s="6">
        <f t="shared" si="6"/>
        <v>0</v>
      </c>
      <c r="AW14" s="6">
        <f t="shared" si="6"/>
        <v>24.65</v>
      </c>
      <c r="AX14" s="6" t="str">
        <f t="shared" si="6"/>
        <v>地下车库</v>
      </c>
      <c r="AY14" s="903">
        <f>ROUND($AY$6*AZ14/$AZ$5,2)</f>
        <v>4821.99</v>
      </c>
      <c r="AZ14" s="9">
        <f>BA14+BL14</f>
        <v>18198.3</v>
      </c>
      <c r="BA14" s="9">
        <f>SUM(BB14:BK14)</f>
        <v>14766.66</v>
      </c>
      <c r="BB14" s="9">
        <f>IF($D14="是",I14-J14,0)</f>
        <v>0</v>
      </c>
      <c r="BC14" s="9">
        <f>IF($D14="是",K14-L14,0)</f>
        <v>14766.66</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3431.64</v>
      </c>
      <c r="BM14" s="9">
        <f>IF($D14="是",AD14-AE14,0)</f>
        <v>0</v>
      </c>
      <c r="BN14" s="9">
        <f>IF($D14="是",AF14-AG14,0)</f>
        <v>0</v>
      </c>
      <c r="BO14" s="9">
        <f>IF($D14="是",AH14-AI14,0)</f>
        <v>0</v>
      </c>
      <c r="BP14" s="9">
        <f>IF($D14="是",AJ14-AK14,0)</f>
        <v>0</v>
      </c>
      <c r="BQ14" s="9">
        <f>IF($D14="是",AL14-AM14,0)</f>
        <v>0</v>
      </c>
      <c r="BR14" s="9">
        <f>IF($D14="是",AN14-AO14,0)</f>
        <v>3431.64</v>
      </c>
      <c r="BS14" s="9">
        <f>IF($D14="是",AP14-AQ14,0)</f>
        <v>0</v>
      </c>
      <c r="BT14" s="10">
        <f>IF($D14="是",AR14-AS14,0)</f>
        <v>0</v>
      </c>
    </row>
    <row r="15" spans="1:72" s="1112" customFormat="1" ht="12.75">
      <c r="A15" s="694"/>
      <c r="B15" s="694"/>
      <c r="C15" s="4259" t="s">
        <v>4090</v>
      </c>
      <c r="D15" s="1153" t="s">
        <v>4091</v>
      </c>
      <c r="E15" s="6">
        <f>IF($C$3="是",ROUND($A$3*G15/$B$3,2),ROUND($A$3*(G15-AT15)/$B$3,2))</f>
        <v>1254.3599999999999</v>
      </c>
      <c r="F15" s="579"/>
      <c r="G15" s="18">
        <f>H15+AC15+AT15</f>
        <v>4734</v>
      </c>
      <c r="H15" s="11">
        <f>SUMIF(I$12:AB$12,"总值",I15:AB15)</f>
        <v>2024</v>
      </c>
      <c r="I15" s="1105"/>
      <c r="J15" s="1105"/>
      <c r="K15" s="1105"/>
      <c r="L15" s="1105"/>
      <c r="M15" s="1105">
        <f>Sheet1!N18</f>
        <v>2024</v>
      </c>
      <c r="N15" s="1105"/>
      <c r="O15" s="1105"/>
      <c r="P15" s="1105"/>
      <c r="Q15" s="1105"/>
      <c r="R15" s="1105"/>
      <c r="S15" s="1105"/>
      <c r="T15" s="1105"/>
      <c r="U15" s="1105"/>
      <c r="V15" s="1105"/>
      <c r="W15" s="1105"/>
      <c r="X15" s="1105"/>
      <c r="Y15" s="1105"/>
      <c r="Z15" s="1105"/>
      <c r="AA15" s="1105"/>
      <c r="AB15" s="1105"/>
      <c r="AC15" s="6">
        <f>SUMIF(AD$12:AS$12,"总值",AD15:AS15)</f>
        <v>2710</v>
      </c>
      <c r="AD15" s="694"/>
      <c r="AE15" s="694"/>
      <c r="AF15" s="694">
        <f>Sheet1!N19</f>
        <v>1210</v>
      </c>
      <c r="AG15" s="694"/>
      <c r="AH15" s="694"/>
      <c r="AI15" s="694"/>
      <c r="AJ15" s="694"/>
      <c r="AK15" s="694"/>
      <c r="AL15" s="694"/>
      <c r="AM15" s="694"/>
      <c r="AN15" s="694">
        <f>Sheet1!N20</f>
        <v>1500</v>
      </c>
      <c r="AO15" s="694"/>
      <c r="AP15" s="694"/>
      <c r="AQ15" s="694"/>
      <c r="AR15" s="694"/>
      <c r="AS15" s="694"/>
      <c r="AT15" s="579"/>
      <c r="AU15" s="1154"/>
      <c r="AV15" s="6">
        <f t="shared" si="6"/>
        <v>0</v>
      </c>
      <c r="AW15" s="6">
        <f t="shared" si="6"/>
        <v>0</v>
      </c>
      <c r="AX15" s="6" t="str">
        <f t="shared" si="6"/>
        <v>地下仓储</v>
      </c>
      <c r="AY15" s="903">
        <f>ROUND($AY$6*AZ15/$AZ$5,2)</f>
        <v>1254.3599999999999</v>
      </c>
      <c r="AZ15" s="9">
        <f>BA15+BL15</f>
        <v>4734</v>
      </c>
      <c r="BA15" s="9">
        <f>SUM(BB15:BK15)</f>
        <v>2024</v>
      </c>
      <c r="BB15" s="9">
        <f>IF($D15="是",I15-J15,0)</f>
        <v>0</v>
      </c>
      <c r="BC15" s="9">
        <f>IF($D15="是",K15-L15,0)</f>
        <v>0</v>
      </c>
      <c r="BD15" s="9">
        <f>IF($D15="是",M15-N15,0)</f>
        <v>2024</v>
      </c>
      <c r="BE15" s="9">
        <f>IF($D15="是",O15-P15,0)</f>
        <v>0</v>
      </c>
      <c r="BF15" s="9">
        <f>IF($D15="是",Q15-R15,0)</f>
        <v>0</v>
      </c>
      <c r="BG15" s="9">
        <f>IF($D15="是",S15-T15,0)</f>
        <v>0</v>
      </c>
      <c r="BH15" s="9">
        <f>IF($D15="是",U15-V15,0)</f>
        <v>0</v>
      </c>
      <c r="BI15" s="9">
        <f>IF($D15="是",W15-X15,0)</f>
        <v>0</v>
      </c>
      <c r="BJ15" s="9">
        <f>IF($D15="是",Y15-Z15,0)</f>
        <v>0</v>
      </c>
      <c r="BK15" s="9">
        <f>IF($D15="是",AA15-AB15,0)</f>
        <v>0</v>
      </c>
      <c r="BL15" s="9">
        <f>SUM(BM15:BT15)</f>
        <v>2710</v>
      </c>
      <c r="BM15" s="9">
        <f>IF($D15="是",AD15-AE15,0)</f>
        <v>0</v>
      </c>
      <c r="BN15" s="9">
        <f>IF($D15="是",AF15-AG15,0)</f>
        <v>1210</v>
      </c>
      <c r="BO15" s="9">
        <f>IF($D15="是",AH15-AI15,0)</f>
        <v>0</v>
      </c>
      <c r="BP15" s="9">
        <f>IF($D15="是",AJ15-AK15,0)</f>
        <v>0</v>
      </c>
      <c r="BQ15" s="9">
        <f>IF($D15="是",AL15-AM15,0)</f>
        <v>0</v>
      </c>
      <c r="BR15" s="9">
        <f>IF($D15="是",AN15-AO15,0)</f>
        <v>1500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94" t="s">
        <v>1114</v>
      </c>
      <c r="B2" s="4394"/>
      <c r="C2" s="4394"/>
      <c r="D2" s="520" t="s">
        <v>1090</v>
      </c>
      <c r="E2" s="1162" t="s">
        <v>1091</v>
      </c>
      <c r="F2" s="1928"/>
      <c r="G2" s="1922"/>
      <c r="H2" s="1923"/>
      <c r="I2" s="1694" t="s">
        <v>1115</v>
      </c>
      <c r="J2" s="1928"/>
      <c r="K2" s="1928"/>
      <c r="L2" s="1928"/>
      <c r="M2" s="1928"/>
      <c r="N2" s="1929"/>
      <c r="O2" s="1928"/>
      <c r="P2" s="1928"/>
    </row>
    <row r="3" spans="1:16" ht="15.75" thickBot="1">
      <c r="A3" s="4395" t="s">
        <v>1088</v>
      </c>
      <c r="B3" s="4395"/>
      <c r="C3" s="4395"/>
      <c r="D3" s="3799">
        <f>'数据-基础表'!AY6</f>
        <v>21825.93</v>
      </c>
      <c r="E3" s="3799">
        <f>'数据-基础表'!AZ5</f>
        <v>82371.62</v>
      </c>
      <c r="F3" s="1928"/>
      <c r="G3" s="24"/>
      <c r="H3" s="25" t="s">
        <v>1089</v>
      </c>
      <c r="I3" s="2593">
        <f>ROUND('数据-基础表'!B3/'数据-基础表'!A3,2)</f>
        <v>3.77</v>
      </c>
      <c r="J3" s="1928"/>
      <c r="K3" s="1928"/>
      <c r="L3" s="1928"/>
      <c r="M3" s="1928"/>
      <c r="N3" s="1929"/>
      <c r="O3" s="1928"/>
      <c r="P3" s="1928"/>
    </row>
    <row r="4" spans="1:16" ht="15">
      <c r="A4" s="4396"/>
      <c r="B4" s="4397"/>
      <c r="C4" s="4398"/>
      <c r="D4" s="1164" t="s">
        <v>1090</v>
      </c>
      <c r="E4" s="1165" t="s">
        <v>1091</v>
      </c>
      <c r="F4" s="1928"/>
      <c r="G4" s="1924" t="s">
        <v>1116</v>
      </c>
      <c r="H4" s="25" t="s">
        <v>1096</v>
      </c>
      <c r="I4" s="2593">
        <f>ROUND(SUMIF('数据-基础表'!I9:AS9,"地上",'数据-基础表'!I5:AS5)/'数据-基础表'!A3,2)</f>
        <v>2.52</v>
      </c>
      <c r="J4" s="1928"/>
      <c r="K4" s="1928"/>
      <c r="L4" s="1928"/>
      <c r="M4" s="1928"/>
      <c r="N4" s="1929"/>
      <c r="O4" s="1928"/>
      <c r="P4" s="1928"/>
    </row>
    <row r="5" spans="1:16">
      <c r="A5" s="24" t="s">
        <v>1092</v>
      </c>
      <c r="B5" s="4399" t="s">
        <v>1093</v>
      </c>
      <c r="C5" s="4399"/>
      <c r="D5" s="3781">
        <f>ROUND($D$3*E5/$E$3,2)</f>
        <v>15491.56</v>
      </c>
      <c r="E5" s="3671">
        <f>SUMIF('数据-基础表'!$11:$11,"住宅",'数据-基础表'!$5:$5)</f>
        <v>58465.54</v>
      </c>
      <c r="F5" s="1928"/>
      <c r="G5" s="24"/>
      <c r="H5" s="25" t="s">
        <v>1089</v>
      </c>
      <c r="I5" s="2593">
        <f>ROUND(E31/D31,2)</f>
        <v>3.77</v>
      </c>
      <c r="J5" s="1928"/>
      <c r="K5" s="1928"/>
      <c r="L5" s="1928"/>
      <c r="M5" s="1928"/>
      <c r="N5" s="1928"/>
      <c r="O5" s="1928"/>
      <c r="P5" s="1928"/>
    </row>
    <row r="6" spans="1:16" ht="15" thickBot="1">
      <c r="A6" s="1167"/>
      <c r="B6" s="4399" t="s">
        <v>1094</v>
      </c>
      <c r="C6" s="4399"/>
      <c r="D6" s="3781">
        <f>ROUND($D$3*E6/$E$3,2)</f>
        <v>6334.37</v>
      </c>
      <c r="E6" s="3671">
        <f>E3-E5</f>
        <v>23906.079999999994</v>
      </c>
      <c r="F6" s="1928"/>
      <c r="G6" s="1169" t="s">
        <v>1095</v>
      </c>
      <c r="H6" s="26" t="s">
        <v>1096</v>
      </c>
      <c r="I6" s="2594">
        <f>ROUND(F31/D31,2)</f>
        <v>2.72</v>
      </c>
      <c r="J6" s="1928"/>
      <c r="K6" s="1928"/>
      <c r="L6" s="1928"/>
      <c r="M6" s="1928"/>
      <c r="N6" s="1928"/>
      <c r="O6" s="1928"/>
      <c r="P6" s="1928"/>
    </row>
    <row r="7" spans="1:16" ht="15.75" thickBot="1">
      <c r="A7" s="4391"/>
      <c r="B7" s="4392"/>
      <c r="C7" s="4393"/>
      <c r="D7" s="1164" t="s">
        <v>1090</v>
      </c>
      <c r="E7" s="1168" t="s">
        <v>1097</v>
      </c>
      <c r="F7" s="1928"/>
      <c r="G7" s="1925" t="s">
        <v>1098</v>
      </c>
      <c r="H7" s="1926"/>
      <c r="I7" s="2595">
        <v>2.5</v>
      </c>
      <c r="J7" s="1928"/>
      <c r="K7" s="1928"/>
      <c r="L7" s="1928"/>
      <c r="M7" s="1928"/>
      <c r="N7" s="1928"/>
      <c r="O7" s="1928"/>
      <c r="P7" s="1928"/>
    </row>
    <row r="8" spans="1:16">
      <c r="A8" s="24" t="s">
        <v>1099</v>
      </c>
      <c r="B8" s="26" t="s">
        <v>1100</v>
      </c>
      <c r="C8" s="25" t="s">
        <v>1101</v>
      </c>
      <c r="D8" s="3781">
        <f t="shared" ref="D8:D15" si="0">ROUND($D$3*E8/$E$3,2)</f>
        <v>15491.56</v>
      </c>
      <c r="E8" s="3671">
        <f>SUMIF('数据-基础表'!BB10:BK10,"地上",'数据-基础表'!BB5:BK5)</f>
        <v>58465.54</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536.29999999999995</v>
      </c>
      <c r="E12" s="3671">
        <f>SUMPRODUCT(('数据-基础表'!BB10:BK10="地下")*('数据-基础表'!BB11:BK11="仓储")*('数据-基础表'!BB5:BK5))</f>
        <v>2024</v>
      </c>
      <c r="F12" s="1928"/>
      <c r="G12" s="1928"/>
      <c r="H12" s="1928"/>
      <c r="I12" s="1928"/>
      <c r="J12" s="1928"/>
      <c r="K12" s="1928"/>
      <c r="L12" s="1928"/>
      <c r="M12" s="1928"/>
      <c r="N12" s="1928"/>
      <c r="O12" s="1928"/>
      <c r="P12" s="1928"/>
    </row>
    <row r="13" spans="1:16">
      <c r="A13" s="1169"/>
      <c r="B13" s="1170"/>
      <c r="C13" s="25" t="s">
        <v>1105</v>
      </c>
      <c r="D13" s="3781">
        <f t="shared" si="0"/>
        <v>3912.71</v>
      </c>
      <c r="E13" s="3671">
        <f>SUMPRODUCT(('数据-基础表'!BB10:BK10="地下")*('数据-基础表'!BB11:BK11="车库")*('数据-基础表'!BB5:BK5))</f>
        <v>14766.66</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19940.57</v>
      </c>
      <c r="E16" s="3791">
        <f>SUM(E8:E15)</f>
        <v>75256.2</v>
      </c>
      <c r="F16" s="1928"/>
      <c r="G16" s="1928"/>
      <c r="H16" s="1171" t="s">
        <v>1118</v>
      </c>
      <c r="I16" s="1172"/>
      <c r="J16" s="763"/>
      <c r="K16" s="4388" t="s">
        <v>1118</v>
      </c>
      <c r="L16" s="4389"/>
      <c r="M16" s="4389"/>
      <c r="N16" s="4389"/>
      <c r="O16" s="4389"/>
      <c r="P16" s="4390"/>
    </row>
    <row r="17" spans="1:19" ht="15">
      <c r="A17" s="1173" t="s">
        <v>1119</v>
      </c>
      <c r="B17" s="1174" t="s">
        <v>1120</v>
      </c>
      <c r="C17" s="1175" t="s">
        <v>1121</v>
      </c>
      <c r="D17" s="1176" t="s">
        <v>1109</v>
      </c>
      <c r="E17" s="1177" t="s">
        <v>1110</v>
      </c>
      <c r="F17" s="1178"/>
      <c r="G17" s="1179"/>
      <c r="H17" s="1180" t="s">
        <v>1122</v>
      </c>
      <c r="I17" s="1181" t="s">
        <v>1107</v>
      </c>
      <c r="J17" s="763"/>
      <c r="K17" s="4385" t="s">
        <v>1123</v>
      </c>
      <c r="L17" s="4386"/>
      <c r="M17" s="4387"/>
      <c r="N17" s="4385" t="s">
        <v>1124</v>
      </c>
      <c r="O17" s="4386"/>
      <c r="P17" s="4387"/>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4094</v>
      </c>
      <c r="D19" s="3781">
        <f>ROUND($D$3*E19/$E$3,2)</f>
        <v>15491.56</v>
      </c>
      <c r="E19" s="3781">
        <f t="shared" ref="E19:E26" si="1">SUM(F19:G19)</f>
        <v>58465.54</v>
      </c>
      <c r="F19" s="3782">
        <f>'数据-基础表'!I13</f>
        <v>58465.54</v>
      </c>
      <c r="G19" s="3643"/>
      <c r="H19" s="3783">
        <f>ROUND($D$3*I19/$E$3,2)</f>
        <v>1554.45</v>
      </c>
      <c r="I19" s="3671">
        <f t="shared" ref="I19:I26" si="2">IF($I$17="自定义",P19,M19)</f>
        <v>5866.5199999999995</v>
      </c>
      <c r="J19" s="763"/>
      <c r="K19" s="3783">
        <f t="shared" ref="K19:K26" si="3">ROUND(E$28*E19/E$27,2)</f>
        <v>4348.6899999999996</v>
      </c>
      <c r="L19" s="3781">
        <f t="shared" ref="L19:L26" si="4">ROUND(IF(COUNTIF(C19,"*住宅*")&gt;0,E$29*E19/E$32,0),2)</f>
        <v>1517.83</v>
      </c>
      <c r="M19" s="3671">
        <f>K19+L19</f>
        <v>5866.5199999999995</v>
      </c>
      <c r="N19" s="3795"/>
      <c r="O19" s="3796"/>
      <c r="P19" s="3671">
        <f>N19+O19</f>
        <v>0</v>
      </c>
      <c r="R19" s="3781">
        <f t="shared" ref="R19:S26" si="5">D19+H19</f>
        <v>17046.009999999998</v>
      </c>
      <c r="S19" s="3781">
        <f t="shared" si="5"/>
        <v>64332.06</v>
      </c>
    </row>
    <row r="20" spans="1:19">
      <c r="A20" s="1189"/>
      <c r="B20" s="26" t="s">
        <v>1136</v>
      </c>
      <c r="C20" s="2465" t="s">
        <v>4095</v>
      </c>
      <c r="D20" s="3781">
        <f t="shared" ref="D20:D26" si="6">ROUND($D$3*E20/$E$3,2)</f>
        <v>3912.71</v>
      </c>
      <c r="E20" s="3781">
        <f t="shared" si="1"/>
        <v>14766.66</v>
      </c>
      <c r="F20" s="3782"/>
      <c r="G20" s="3643">
        <f>'数据-基础表'!K14</f>
        <v>14766.66</v>
      </c>
      <c r="H20" s="3783">
        <f t="shared" ref="H20:H26" si="7">ROUND($D$3*I20/$E$3,2)</f>
        <v>291.02999999999997</v>
      </c>
      <c r="I20" s="3671">
        <f t="shared" si="2"/>
        <v>1098.3499999999999</v>
      </c>
      <c r="J20" s="763"/>
      <c r="K20" s="3783">
        <f t="shared" si="3"/>
        <v>1098.3499999999999</v>
      </c>
      <c r="L20" s="3781">
        <f t="shared" si="4"/>
        <v>0</v>
      </c>
      <c r="M20" s="3671">
        <f t="shared" ref="M20:M26" si="8">K20+L20</f>
        <v>1098.3499999999999</v>
      </c>
      <c r="N20" s="3795"/>
      <c r="O20" s="3796"/>
      <c r="P20" s="3671">
        <f t="shared" ref="P20:P26" si="9">N20+O20</f>
        <v>0</v>
      </c>
      <c r="R20" s="3781">
        <f t="shared" si="5"/>
        <v>4203.74</v>
      </c>
      <c r="S20" s="3781">
        <f t="shared" si="5"/>
        <v>15865.01</v>
      </c>
    </row>
    <row r="21" spans="1:19">
      <c r="A21" s="1189"/>
      <c r="B21" s="26" t="s">
        <v>1136</v>
      </c>
      <c r="C21" s="2465" t="s">
        <v>4096</v>
      </c>
      <c r="D21" s="3781">
        <f t="shared" si="6"/>
        <v>536.29999999999995</v>
      </c>
      <c r="E21" s="3781">
        <f t="shared" si="1"/>
        <v>2024</v>
      </c>
      <c r="F21" s="3782"/>
      <c r="G21" s="3643">
        <f>'数据-基础表'!M15</f>
        <v>2024</v>
      </c>
      <c r="H21" s="3783">
        <f t="shared" si="7"/>
        <v>39.89</v>
      </c>
      <c r="I21" s="3671">
        <f t="shared" si="2"/>
        <v>150.55000000000001</v>
      </c>
      <c r="J21" s="763"/>
      <c r="K21" s="3783">
        <f t="shared" si="3"/>
        <v>150.55000000000001</v>
      </c>
      <c r="L21" s="3781">
        <f t="shared" si="4"/>
        <v>0</v>
      </c>
      <c r="M21" s="3671">
        <f t="shared" si="8"/>
        <v>150.55000000000001</v>
      </c>
      <c r="N21" s="3795"/>
      <c r="O21" s="3796"/>
      <c r="P21" s="3671">
        <f t="shared" si="9"/>
        <v>0</v>
      </c>
      <c r="R21" s="3781">
        <f t="shared" si="5"/>
        <v>576.18999999999994</v>
      </c>
      <c r="S21" s="3781">
        <f t="shared" si="5"/>
        <v>2174.5500000000002</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29.25" thickBot="1">
      <c r="A27" s="1189"/>
      <c r="B27" s="25"/>
      <c r="C27" s="1190" t="s">
        <v>1137</v>
      </c>
      <c r="D27" s="172">
        <f>SUM(D19:D26)</f>
        <v>19940.57</v>
      </c>
      <c r="E27" s="172">
        <f>IF(SUM(E19:E26)='数据-基础表'!BA5,SUM(E19:E26),IF(F27="地上面积有误","面积有误","地下面积有误"))</f>
        <v>75256.2</v>
      </c>
      <c r="F27" s="172">
        <f>IF(SUM(F19:F26)=E8,SUM(F19:F26),"地上面积有误")</f>
        <v>58465.54</v>
      </c>
      <c r="G27" s="3669">
        <f>SUM(G19:G26)</f>
        <v>16790.66</v>
      </c>
      <c r="H27" s="3787">
        <f>SUM(H19:H26)</f>
        <v>1885.3700000000001</v>
      </c>
      <c r="I27" s="3788">
        <f>SUM(I19:I26)</f>
        <v>7115.4199999999992</v>
      </c>
      <c r="J27" s="763"/>
      <c r="K27" s="3787">
        <f>SUM(K19:K26)</f>
        <v>5597.5899999999992</v>
      </c>
      <c r="L27" s="3793">
        <f>SUM(L19:L26)</f>
        <v>1517.83</v>
      </c>
      <c r="M27" s="3794">
        <f>SUM(M19:M26)</f>
        <v>7115.4199999999992</v>
      </c>
      <c r="N27" s="3787">
        <f t="shared" ref="N27:O27" si="10">SUM(N19:N26)</f>
        <v>0</v>
      </c>
      <c r="O27" s="3793">
        <f t="shared" si="10"/>
        <v>0</v>
      </c>
      <c r="P27" s="3631">
        <f>SUM(P19:P26)</f>
        <v>0</v>
      </c>
      <c r="R27" s="679" t="str">
        <f>IF(SUM(R19:R26)=$D$3,SUM(R19:R26),SUM(R19:R26)&amp;"误差"&amp;ROUND(SUM(R19:R26)-$D$3,2))</f>
        <v>21825.94误差0.01</v>
      </c>
      <c r="S27" s="3781">
        <f>IF(SUM(S19:S26)=$E$3,SUM(S19:S26),SUM(S19:S26)&amp;"误差"&amp;ROUND(SUM(S19:S26)-E3,2))</f>
        <v>82371.62</v>
      </c>
    </row>
    <row r="28" spans="1:19">
      <c r="A28" s="1189"/>
      <c r="B28" s="26" t="s">
        <v>1138</v>
      </c>
      <c r="C28" s="30" t="s">
        <v>1139</v>
      </c>
      <c r="D28" s="3781">
        <f>ROUND($D$3*E28/$E$3,2)</f>
        <v>1483.19</v>
      </c>
      <c r="E28" s="3781">
        <f>SUM(F28:G28)</f>
        <v>5597.5899999999992</v>
      </c>
      <c r="F28" s="3542">
        <f>'数据-基础表'!BQ5+'数据-基础表'!BS5</f>
        <v>665.95</v>
      </c>
      <c r="G28" s="3789">
        <f>'数据-基础表'!BR5+'数据-基础表'!BT5</f>
        <v>4931.6399999999994</v>
      </c>
      <c r="H28" s="1928"/>
      <c r="I28" s="1928"/>
      <c r="J28" s="1928"/>
      <c r="K28" s="1928"/>
      <c r="L28" s="1928"/>
      <c r="M28" s="1928"/>
      <c r="N28" s="1928"/>
      <c r="O28" s="1928"/>
      <c r="P28" s="1928"/>
    </row>
    <row r="29" spans="1:19">
      <c r="A29" s="1189"/>
      <c r="B29" s="26" t="s">
        <v>1138</v>
      </c>
      <c r="C29" s="1191" t="s">
        <v>1140</v>
      </c>
      <c r="D29" s="3781">
        <f>ROUND($D$3*E29/$E$3,2)</f>
        <v>402.18</v>
      </c>
      <c r="E29" s="3781">
        <f>SUM(F29:G29)</f>
        <v>1517.83</v>
      </c>
      <c r="F29" s="3790">
        <f>'数据-基础表'!BM5+'数据-基础表'!BO5</f>
        <v>307.83</v>
      </c>
      <c r="G29" s="3791">
        <f>'数据-基础表'!BN5+'数据-基础表'!BP5</f>
        <v>1210</v>
      </c>
      <c r="H29" s="1928"/>
      <c r="I29" s="1928"/>
      <c r="J29" s="1928"/>
      <c r="K29" s="1928"/>
      <c r="L29" s="1928"/>
      <c r="M29" s="1928"/>
      <c r="N29" s="1928"/>
      <c r="O29" s="1928"/>
      <c r="P29" s="1928"/>
    </row>
    <row r="30" spans="1:19" ht="15">
      <c r="A30" s="1189"/>
      <c r="B30" s="26"/>
      <c r="C30" s="1192" t="s">
        <v>1137</v>
      </c>
      <c r="D30" s="172">
        <f>SUM(D28:D29)</f>
        <v>1885.3700000000001</v>
      </c>
      <c r="E30" s="172">
        <f>SUM(E28:E29)</f>
        <v>7115.4199999999992</v>
      </c>
      <c r="F30" s="172">
        <f>SUM(F28:F29)</f>
        <v>973.78</v>
      </c>
      <c r="G30" s="3669">
        <f>SUM(G28:G29)</f>
        <v>6141.6399999999994</v>
      </c>
      <c r="H30" s="1928"/>
      <c r="I30" s="1928"/>
      <c r="J30" s="1928"/>
      <c r="K30" s="1928"/>
      <c r="L30" s="1928"/>
      <c r="M30" s="1928"/>
      <c r="N30" s="1928"/>
      <c r="O30" s="1928"/>
      <c r="P30" s="1928"/>
    </row>
    <row r="31" spans="1:19" ht="15.75" thickBot="1">
      <c r="A31" s="1193"/>
      <c r="B31" s="45"/>
      <c r="C31" s="534" t="s">
        <v>1141</v>
      </c>
      <c r="D31" s="3792">
        <f>D27+D30</f>
        <v>21825.94</v>
      </c>
      <c r="E31" s="3792">
        <f>E27+E30</f>
        <v>82371.62</v>
      </c>
      <c r="F31" s="3793">
        <f>F27+F30</f>
        <v>59439.32</v>
      </c>
      <c r="G31" s="3794">
        <f>G27+G30</f>
        <v>22932.3</v>
      </c>
      <c r="H31" s="1928"/>
      <c r="I31" s="1928"/>
      <c r="J31" s="1928"/>
      <c r="K31" s="1928"/>
      <c r="L31" s="1928"/>
      <c r="M31" s="1928"/>
      <c r="N31" s="1928"/>
      <c r="O31" s="1928"/>
      <c r="P31" s="1928"/>
    </row>
    <row r="32" spans="1:19">
      <c r="A32" s="1166"/>
      <c r="B32" s="1166" t="s">
        <v>1142</v>
      </c>
      <c r="C32" s="1166"/>
      <c r="D32" s="3624"/>
      <c r="E32" s="3624">
        <f>SUMIF(C19:C26,"*住宅*",E19:E26)</f>
        <v>58465.54</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46091</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4097</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住宅</v>
      </c>
      <c r="B6" s="1222" t="str">
        <f>IF(A6=0,"","经营性")</f>
        <v>经营性</v>
      </c>
      <c r="C6" s="1223" t="s">
        <v>3262</v>
      </c>
      <c r="D6" s="3293">
        <f>SUMIF(项目基本情况!C$12:I$12,C6,项目基本情况!C$14:I$14)</f>
        <v>70</v>
      </c>
      <c r="E6" s="547">
        <f>IF(B6="","",SUMIF(项目基本情况!C$12:I$12,C6,项目基本情况!C$13:I$13))</f>
        <v>71586</v>
      </c>
      <c r="F6" s="3295">
        <f>SUMIF(项目基本情况!C$12:I$12,C6,项目基本情况!C$15:I$15)</f>
        <v>69.84</v>
      </c>
      <c r="G6" s="3296">
        <f t="shared" ref="G6:G13" si="0">IF(ISERROR(ROUND(POWER(1+H6,D6-F6)*(POWER(1+H6,F6)-1)/(POWER(1+H6,D6)-1),4)),0,ROUND(POWER(1+H6,D6-F6)*(POWER(1+H6,F6)-1)/(POWER(1+H6,D6)-1),4))</f>
        <v>0.99970000000000003</v>
      </c>
      <c r="H6" s="3297">
        <v>4.4999999999999998E-2</v>
      </c>
      <c r="I6" s="3297">
        <v>0.05</v>
      </c>
      <c r="J6" s="3298">
        <v>7.0000000000000007E-2</v>
      </c>
      <c r="K6" s="3801">
        <f>SUMIF('数据-汇总表'!C$19:C$33,A6,'数据-汇总表'!E$19:E$33)</f>
        <v>58465.54</v>
      </c>
      <c r="L6" s="3802">
        <f>ROUND(6500/1.09,-2)</f>
        <v>6000</v>
      </c>
      <c r="M6" s="3803">
        <f t="shared" ref="M6:M14" si="1">ROUND(K6*L6/10000,0)</f>
        <v>35079</v>
      </c>
      <c r="N6" s="3285">
        <v>0</v>
      </c>
      <c r="O6" s="3803">
        <f>IF($N$5="成新度","——",ROUND(M6*N6,0))</f>
        <v>0</v>
      </c>
      <c r="P6" s="3633">
        <f>IF($N$5="成新度","——",M6-O6)</f>
        <v>35079</v>
      </c>
      <c r="Q6" s="3286">
        <v>0.2</v>
      </c>
      <c r="R6" s="3817">
        <f ca="1">SUMIF('数据-汇总表'!C$19:C$33,A6,'数据-汇总表'!R$19:R$27)</f>
        <v>17046.009999999998</v>
      </c>
      <c r="S6" s="3781">
        <f>IF('数据-汇总表'!$I$17="按面积比例",SUMIF('数据-汇总表'!C$19:C$33,A6,'数据-汇总表'!K$19:K$33),SUMIF('数据-汇总表'!C$19:C$33,A6,'数据-汇总表'!N$19:N$33))</f>
        <v>4348.6899999999996</v>
      </c>
      <c r="T6" s="3818">
        <f>ROUND($L$14*S6/10000,0)</f>
        <v>2000</v>
      </c>
      <c r="U6" s="3822"/>
      <c r="V6" s="36"/>
      <c r="W6" s="36"/>
      <c r="X6" s="684"/>
      <c r="Y6" s="37"/>
      <c r="Z6" s="3827"/>
      <c r="AA6" s="35"/>
      <c r="AB6" s="35"/>
      <c r="AC6" s="684"/>
      <c r="AD6" s="38"/>
      <c r="AE6" s="685">
        <f ca="1">IF(AN6="",0,SUMIF(INDIRECT("'"&amp;AN6&amp;"'"&amp;"!E:E"),$AE$5,INDIRECT("'"&amp;AN6&amp;"'"&amp;"!F:F")))</f>
        <v>0</v>
      </c>
      <c r="AF6" s="3829"/>
      <c r="AG6" s="52">
        <f>IF(AF6="",0,AE6-AF6)</f>
        <v>0</v>
      </c>
      <c r="AH6" s="3822"/>
      <c r="AI6" s="3830"/>
      <c r="AJ6" s="3829"/>
      <c r="AK6" s="39"/>
      <c r="AL6" s="40"/>
      <c r="AM6" s="41"/>
      <c r="AN6" s="1224"/>
      <c r="AO6" s="3781" t="e">
        <f ca="1">SUMIF(INDIRECT("'"&amp;AN6&amp;"'"&amp;"!A:A"),"总价",INDIRECT("'"&amp;AN6&amp;"'"&amp;"!B:B"))</f>
        <v>#REF!</v>
      </c>
      <c r="AP6" s="3781">
        <f>IF(C6="住宅",K6*L6,0)</f>
        <v>350793240</v>
      </c>
      <c r="AQ6" s="3781">
        <f>ROUND($L$14*$N$14*S6/10000,0)</f>
        <v>0</v>
      </c>
      <c r="AR6" s="3781">
        <f>ROUND($L$14*(1-$N$14)*S6/10000,0)</f>
        <v>2000</v>
      </c>
      <c r="AS6" s="3781">
        <f>ROUND(1-1/(1+H6)^F6,3)</f>
        <v>0.95399999999999996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地下车库</v>
      </c>
      <c r="B7" s="1222" t="str">
        <f t="shared" ref="B7:B13" si="2">IF(A7=0,"","经营性")</f>
        <v>经营性</v>
      </c>
      <c r="C7" s="1223" t="s">
        <v>3211</v>
      </c>
      <c r="D7" s="3293">
        <f>SUMIF(项目基本情况!C$12:I$12,C7,项目基本情况!C$14:I$14)</f>
        <v>50</v>
      </c>
      <c r="E7" s="547">
        <f>IF(B7="","",SUMIF(项目基本情况!C$12:I$12,C7,项目基本情况!C$13:I$13))</f>
        <v>64281</v>
      </c>
      <c r="F7" s="3295">
        <f>SUMIF(项目基本情况!C$12:I$12,C7,项目基本情况!C$15:I$15)</f>
        <v>49.83</v>
      </c>
      <c r="G7" s="3296">
        <f t="shared" si="0"/>
        <v>0.99909999999999999</v>
      </c>
      <c r="H7" s="3297">
        <v>4.4999999999999998E-2</v>
      </c>
      <c r="I7" s="3297">
        <v>0.05</v>
      </c>
      <c r="J7" s="3298">
        <v>7.0000000000000007E-2</v>
      </c>
      <c r="K7" s="3801">
        <f>SUMIF('数据-汇总表'!C$19:C$33,A7,'数据-汇总表'!E$19:E$33)</f>
        <v>14766.66</v>
      </c>
      <c r="L7" s="3802">
        <f>ROUND(5000/1.09,-2)</f>
        <v>4600</v>
      </c>
      <c r="M7" s="3803">
        <f t="shared" si="1"/>
        <v>6793</v>
      </c>
      <c r="N7" s="3285">
        <v>0</v>
      </c>
      <c r="O7" s="3803">
        <f t="shared" ref="O7:O14" si="3">IF($N$5="成新度","——",ROUND(M7*N7,0))</f>
        <v>0</v>
      </c>
      <c r="P7" s="3633">
        <f t="shared" ref="P7:P14" si="4">IF($N$5="成新度","——",M7-O7)</f>
        <v>6793</v>
      </c>
      <c r="Q7" s="3286">
        <v>0.05</v>
      </c>
      <c r="R7" s="3817">
        <f ca="1">SUMIF('数据-汇总表'!C$19:C$33,A7,'数据-汇总表'!R$19:R$27)</f>
        <v>4203.74</v>
      </c>
      <c r="S7" s="3781">
        <f>IF('数据-汇总表'!$I$17="按面积比例",SUMIF('数据-汇总表'!C$19:C$33,A7,'数据-汇总表'!K$19:K$33),SUMIF('数据-汇总表'!C$19:C$33,A7,'数据-汇总表'!N$19:N$33))</f>
        <v>1098.3499999999999</v>
      </c>
      <c r="T7" s="3818">
        <f t="shared" ref="T7:T13" si="5">ROUND($L$14*S7/10000,0)</f>
        <v>505</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v>599</v>
      </c>
      <c r="AI7" s="3830">
        <v>12</v>
      </c>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505</v>
      </c>
      <c r="AS7" s="3781">
        <f t="shared" ref="AS7:AS13" si="12">ROUND(1-1/(1+H7)^F7,3)</f>
        <v>0.88800000000000001</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t="str">
        <f>'数据-汇总表'!C21</f>
        <v>地下仓储</v>
      </c>
      <c r="B8" s="1222" t="str">
        <f t="shared" si="2"/>
        <v>经营性</v>
      </c>
      <c r="C8" s="1223" t="s">
        <v>3212</v>
      </c>
      <c r="D8" s="3293">
        <f>SUMIF(项目基本情况!C$12:I$12,C8,项目基本情况!C$14:I$14)</f>
        <v>50</v>
      </c>
      <c r="E8" s="547">
        <f>IF(B8="","",SUMIF(项目基本情况!C$12:I$12,C8,项目基本情况!C$13:I$13))</f>
        <v>64281</v>
      </c>
      <c r="F8" s="3295">
        <f>SUMIF(项目基本情况!C$12:I$12,C8,项目基本情况!C$15:I$15)</f>
        <v>49.83</v>
      </c>
      <c r="G8" s="3296">
        <f t="shared" si="0"/>
        <v>0.99909999999999999</v>
      </c>
      <c r="H8" s="3297">
        <v>4.4999999999999998E-2</v>
      </c>
      <c r="I8" s="3297">
        <v>0.05</v>
      </c>
      <c r="J8" s="3298">
        <v>7.0000000000000007E-2</v>
      </c>
      <c r="K8" s="3801">
        <f>SUMIF('数据-汇总表'!C$19:C$33,A8,'数据-汇总表'!E$19:E$33)</f>
        <v>2024</v>
      </c>
      <c r="L8" s="3802">
        <f>ROUND(5000/1.09,-2)</f>
        <v>4600</v>
      </c>
      <c r="M8" s="3803">
        <f>ROUND(K8*L8/10000,0)</f>
        <v>931</v>
      </c>
      <c r="N8" s="3285">
        <v>0</v>
      </c>
      <c r="O8" s="3803">
        <f t="shared" si="3"/>
        <v>0</v>
      </c>
      <c r="P8" s="3633">
        <f t="shared" si="4"/>
        <v>931</v>
      </c>
      <c r="Q8" s="3286">
        <v>0.05</v>
      </c>
      <c r="R8" s="3817">
        <f ca="1">SUMIF('数据-汇总表'!C$19:C$33,A8,'数据-汇总表'!R$19:R$27)</f>
        <v>576.18999999999994</v>
      </c>
      <c r="S8" s="3781">
        <f>IF('数据-汇总表'!$I$17="按面积比例",SUMIF('数据-汇总表'!C$19:C$33,A8,'数据-汇总表'!K$19:K$33),SUMIF('数据-汇总表'!C$19:C$33,A8,'数据-汇总表'!N$19:N$33))</f>
        <v>150.55000000000001</v>
      </c>
      <c r="T8" s="3818">
        <f t="shared" si="5"/>
        <v>69</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69</v>
      </c>
      <c r="AS8" s="3781">
        <f t="shared" si="12"/>
        <v>0.88800000000000001</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f t="shared" si="3"/>
        <v>0</v>
      </c>
      <c r="P9" s="3633">
        <f t="shared" si="4"/>
        <v>0</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f t="shared" si="3"/>
        <v>0</v>
      </c>
      <c r="P10" s="3633">
        <f t="shared" si="4"/>
        <v>0</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f t="shared" si="3"/>
        <v>0</v>
      </c>
      <c r="P11" s="3633">
        <f t="shared" si="4"/>
        <v>0</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f t="shared" si="3"/>
        <v>0</v>
      </c>
      <c r="P12" s="3633">
        <f t="shared" si="4"/>
        <v>0</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f t="shared" si="3"/>
        <v>0</v>
      </c>
      <c r="P13" s="3633">
        <f t="shared" si="4"/>
        <v>0</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5597.5899999999992</v>
      </c>
      <c r="L14" s="3804">
        <f>L7</f>
        <v>4600</v>
      </c>
      <c r="M14" s="3803">
        <f t="shared" si="1"/>
        <v>2575</v>
      </c>
      <c r="N14" s="3288">
        <f>N7</f>
        <v>0</v>
      </c>
      <c r="O14" s="3803">
        <f t="shared" si="3"/>
        <v>0</v>
      </c>
      <c r="P14" s="3633">
        <f t="shared" si="4"/>
        <v>2575</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1517.83</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0.99960000000000004</v>
      </c>
      <c r="H16" s="3302">
        <f>ROUND(SUMPRODUCT(H6:H13,K6:K13)/SUMPRODUCT((H6:H13&gt;0)*(K6:K13)),3)</f>
        <v>4.4999999999999998E-2</v>
      </c>
      <c r="I16" s="3303"/>
      <c r="J16" s="3303"/>
      <c r="K16" s="3805">
        <f>SUM(K6:K15)</f>
        <v>82371.62</v>
      </c>
      <c r="L16" s="3806">
        <f>ROUND(M16*10000/SUM(K6:K14),0)</f>
        <v>5612</v>
      </c>
      <c r="M16" s="3806">
        <f>SUM(M6:M14)</f>
        <v>45378</v>
      </c>
      <c r="N16" s="3291">
        <f>ROUND(SUMPRODUCT(M6:M14,N6:N14)/M16,3)</f>
        <v>0</v>
      </c>
      <c r="O16" s="3806">
        <f>SUM(O6:O14)</f>
        <v>0</v>
      </c>
      <c r="P16" s="3806">
        <f>SUM(P6:P14)</f>
        <v>45378</v>
      </c>
      <c r="Q16" s="3292">
        <f>ROUND(SUMPRODUCT(Q6:Q13,K6:K13)/SUMPRODUCT((Q6:Q13&gt;0)*(K6:K13)),2)</f>
        <v>0.17</v>
      </c>
      <c r="R16" s="3819">
        <f ca="1">SUM(R6:R13)</f>
        <v>21825.94</v>
      </c>
      <c r="S16" s="3820">
        <f>SUM(S6:S13)</f>
        <v>5597.5899999999992</v>
      </c>
      <c r="T16" s="3821" t="str">
        <f>IF(SUMIF(T6:T13,"&lt;9E307")=M14,SUMIF(T6:T13,"&lt;9E307"),"有误，请检查")</f>
        <v>有误，请检查</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0.93899999999999995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2.5</v>
      </c>
      <c r="C20" s="3916" t="s">
        <v>3838</v>
      </c>
      <c r="D20" s="3914"/>
      <c r="E20" s="3915"/>
      <c r="F20" s="3915"/>
      <c r="G20" s="3915"/>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0</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0</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2.5</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c r="C29" s="3962" t="s">
        <v>3837</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200</v>
      </c>
      <c r="C30" s="3967" t="s">
        <v>3965</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3802</v>
      </c>
      <c r="B33" s="3908">
        <v>0.02</v>
      </c>
      <c r="C33" s="3952" t="s">
        <v>3830</v>
      </c>
      <c r="D33" s="3914"/>
      <c r="E33" s="3915"/>
      <c r="F33" s="3915"/>
      <c r="G33" s="3915"/>
      <c r="H33" s="1928">
        <f>B33*L16</f>
        <v>112.24000000000001</v>
      </c>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0.15</v>
      </c>
      <c r="C34" s="3916" t="s">
        <v>3832</v>
      </c>
      <c r="D34" s="3921"/>
      <c r="E34" s="3917"/>
      <c r="F34" s="3915"/>
      <c r="G34" s="3915"/>
      <c r="H34" s="1928">
        <f ca="1">假设开发法!C18</f>
        <v>5262</v>
      </c>
      <c r="I34" s="1928">
        <f>K6</f>
        <v>58465.54</v>
      </c>
      <c r="J34" s="1928">
        <f ca="1">H34*10000/I34</f>
        <v>900.01734354972177</v>
      </c>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360</v>
      </c>
      <c r="C35" s="3918" t="s">
        <v>3834</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3283</v>
      </c>
      <c r="B36" s="3304">
        <v>1.4999999999999999E-2</v>
      </c>
      <c r="C36" s="3953" t="s">
        <v>3833</v>
      </c>
      <c r="D36" s="3919"/>
      <c r="E36" s="3920"/>
      <c r="F36" s="3920"/>
      <c r="G36" s="3915"/>
      <c r="H36" s="1928">
        <f>B36*L16</f>
        <v>84.179999999999993</v>
      </c>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3284</v>
      </c>
      <c r="B37" s="3305">
        <v>1.4999999999999999E-2</v>
      </c>
      <c r="C37" s="3918" t="s">
        <v>3831</v>
      </c>
      <c r="D37" s="3914"/>
      <c r="E37" s="3915"/>
      <c r="F37" s="3915"/>
      <c r="G37" s="3915"/>
      <c r="H37" s="1928">
        <f>B37*L16</f>
        <v>84.179999999999993</v>
      </c>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6" t="s">
        <v>3259</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0.06</v>
      </c>
      <c r="C39" s="3916" t="s">
        <v>3835</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3.1899999999999998E-2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3276</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3260</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3839</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3840</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3841</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3842</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12</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108</v>
      </c>
      <c r="C54" s="1939" t="s">
        <v>3843</v>
      </c>
      <c r="D54" s="3966" t="s">
        <v>3844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6"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400" t="s">
        <v>2181</v>
      </c>
      <c r="B1" s="4401"/>
      <c r="C1" s="4401"/>
      <c r="D1" s="4401"/>
      <c r="E1" s="4401"/>
      <c r="F1" s="4401"/>
      <c r="G1" s="440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82371.62</v>
      </c>
      <c r="C1" s="1949"/>
      <c r="D1" s="1949"/>
      <c r="E1" s="1949"/>
      <c r="F1" s="1949"/>
      <c r="G1" s="1950"/>
      <c r="H1" s="1950"/>
      <c r="I1" s="1950"/>
      <c r="J1" s="1950"/>
      <c r="K1" s="1950"/>
    </row>
    <row r="2" spans="1:11" ht="16.5">
      <c r="A2" s="1840" t="s">
        <v>641</v>
      </c>
      <c r="B2" s="1840">
        <f>SUM(C14:C23)</f>
        <v>23542.66</v>
      </c>
      <c r="C2" s="1949"/>
      <c r="D2" s="1949"/>
      <c r="E2" s="1949"/>
      <c r="F2" s="1949"/>
      <c r="G2" s="1950"/>
      <c r="H2" s="1950"/>
      <c r="I2" s="1950"/>
      <c r="J2" s="1950"/>
      <c r="K2" s="1950"/>
    </row>
    <row r="3" spans="1:11" ht="16.5">
      <c r="A3" s="1840" t="s">
        <v>650</v>
      </c>
      <c r="B3" s="1842">
        <f>项目基本情况!D3</f>
        <v>46091</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252423</v>
      </c>
      <c r="C5" s="1840">
        <f ca="1">ROUND(B5*10000/$B$1,0)</f>
        <v>30644</v>
      </c>
      <c r="D5" s="1840">
        <f ca="1">ROUND(B5*10000/$B$2,0)</f>
        <v>107219</v>
      </c>
      <c r="E5" s="1949"/>
      <c r="F5" s="1950"/>
      <c r="G5" s="1950"/>
      <c r="H5" s="1950"/>
      <c r="I5" s="1950"/>
      <c r="J5" s="1950"/>
      <c r="K5" s="1950"/>
    </row>
    <row r="6" spans="1:11" ht="16.5">
      <c r="A6" s="1840" t="s">
        <v>644</v>
      </c>
      <c r="B6" s="1840">
        <f ca="1">SUM(G14:G23)</f>
        <v>249478</v>
      </c>
      <c r="C6" s="1840">
        <f ca="1">ROUND(B6*10000/$B$1,0)</f>
        <v>30287</v>
      </c>
      <c r="D6" s="1840">
        <f ca="1">ROUND(B6*10000/$B$2,0)</f>
        <v>105968</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3232</v>
      </c>
      <c r="D10" s="1840" t="s">
        <v>3233</v>
      </c>
      <c r="E10" s="3622"/>
      <c r="F10" s="2482" t="s">
        <v>3234</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82371.62</v>
      </c>
      <c r="C14" s="3619">
        <f>'数据-基础表'!A3</f>
        <v>23542.66</v>
      </c>
      <c r="D14" s="3619">
        <f ca="1">结果表!G19</f>
        <v>252423</v>
      </c>
      <c r="E14" s="3619">
        <f ca="1">ROUND(D14*10000/B14,0)</f>
        <v>30644</v>
      </c>
      <c r="F14" s="3619">
        <f ca="1">ROUND(D14*10000/C14,0)</f>
        <v>107219</v>
      </c>
      <c r="G14" s="3619">
        <f ca="1">结果表!H107</f>
        <v>249478</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BB434-27E6-4549-BB17-B67FB49F8B15}">
  <dimension ref="A1:S20"/>
  <sheetViews>
    <sheetView workbookViewId="0">
      <selection activeCell="F15" sqref="F15"/>
    </sheetView>
  </sheetViews>
  <sheetFormatPr defaultRowHeight="12"/>
  <cols>
    <col min="1" max="1" width="33.75" style="4260" customWidth="1"/>
    <col min="2" max="2" width="6.375" style="4260" bestFit="1" customWidth="1"/>
    <col min="3" max="3" width="22" style="4260" bestFit="1" customWidth="1"/>
    <col min="4" max="4" width="9.375" style="4260" bestFit="1" customWidth="1"/>
    <col min="5" max="5" width="6.75" style="4260" bestFit="1" customWidth="1"/>
    <col min="6" max="6" width="15.125" style="4260" bestFit="1" customWidth="1"/>
    <col min="7" max="7" width="16.25" style="4260" customWidth="1"/>
    <col min="8" max="8" width="10.875" style="4260" customWidth="1"/>
    <col min="9" max="9" width="4.75" style="4260" bestFit="1" customWidth="1"/>
    <col min="10" max="10" width="10.25" style="4260" bestFit="1" customWidth="1"/>
    <col min="11" max="11" width="6.375" style="4260" bestFit="1" customWidth="1"/>
    <col min="12" max="13" width="7.625" style="4260" bestFit="1" customWidth="1"/>
    <col min="14" max="14" width="8.5" style="4260" bestFit="1" customWidth="1"/>
    <col min="15" max="15" width="5.875" style="4260" bestFit="1" customWidth="1"/>
    <col min="16" max="16" width="5" style="4260" bestFit="1" customWidth="1"/>
    <col min="17" max="17" width="6.75" style="4260" bestFit="1" customWidth="1"/>
    <col min="18" max="18" width="5.875" style="4260" bestFit="1" customWidth="1"/>
    <col min="19" max="19" width="87.125" style="4260" bestFit="1" customWidth="1"/>
    <col min="20" max="16384" width="9" style="4260"/>
  </cols>
  <sheetData>
    <row r="1" spans="1:19">
      <c r="A1" s="4269" t="s">
        <v>4182</v>
      </c>
      <c r="B1" s="4269"/>
      <c r="C1" s="4269" t="s">
        <v>4181</v>
      </c>
      <c r="D1" s="4269" t="s">
        <v>4180</v>
      </c>
      <c r="E1" s="4269" t="s">
        <v>4179</v>
      </c>
      <c r="F1" s="4269" t="s">
        <v>4178</v>
      </c>
      <c r="G1" s="4269" t="s">
        <v>4177</v>
      </c>
      <c r="H1" s="4269" t="s">
        <v>4078</v>
      </c>
      <c r="I1" s="4269" t="s">
        <v>4176</v>
      </c>
      <c r="J1" s="4269" t="s">
        <v>4175</v>
      </c>
      <c r="K1" s="4269" t="s">
        <v>4174</v>
      </c>
      <c r="L1" s="4269" t="s">
        <v>4173</v>
      </c>
      <c r="M1" s="4269" t="s">
        <v>4172</v>
      </c>
      <c r="N1" s="4269" t="s">
        <v>4171</v>
      </c>
      <c r="O1" s="4269" t="s">
        <v>4170</v>
      </c>
      <c r="P1" s="4269"/>
      <c r="Q1" s="4269" t="s">
        <v>4169</v>
      </c>
      <c r="R1" s="4269" t="s">
        <v>4168</v>
      </c>
      <c r="S1" s="4269" t="s">
        <v>4167</v>
      </c>
    </row>
    <row r="2" spans="1:19" s="4266" customFormat="1">
      <c r="A2" s="4267" t="s">
        <v>4166</v>
      </c>
      <c r="B2" s="4267" t="s">
        <v>4060</v>
      </c>
      <c r="C2" s="4267" t="s">
        <v>4165</v>
      </c>
      <c r="D2" s="4267">
        <v>23542.66</v>
      </c>
      <c r="E2" s="4267">
        <v>58857</v>
      </c>
      <c r="F2" s="4267" t="s">
        <v>4102</v>
      </c>
      <c r="G2" s="4267" t="s">
        <v>4164</v>
      </c>
      <c r="H2" s="4267">
        <v>2.5</v>
      </c>
      <c r="I2" s="4267" t="s">
        <v>4100</v>
      </c>
      <c r="J2" s="4268">
        <v>46016</v>
      </c>
      <c r="K2" s="4267" t="s">
        <v>4099</v>
      </c>
      <c r="L2" s="4267">
        <v>247200</v>
      </c>
      <c r="M2" s="4267">
        <v>247200</v>
      </c>
      <c r="N2" s="4267">
        <v>7000.06</v>
      </c>
      <c r="O2" s="4267">
        <v>42000</v>
      </c>
      <c r="P2" s="4267">
        <v>0</v>
      </c>
      <c r="Q2" s="4267" t="s">
        <v>627</v>
      </c>
      <c r="R2" s="4267" t="s">
        <v>627</v>
      </c>
      <c r="S2" s="4267" t="s">
        <v>4098</v>
      </c>
    </row>
    <row r="3" spans="1:19">
      <c r="A3" s="4261" t="s">
        <v>4163</v>
      </c>
      <c r="B3" s="4261" t="s">
        <v>4060</v>
      </c>
      <c r="C3" s="4261" t="s">
        <v>4162</v>
      </c>
      <c r="D3" s="4261">
        <v>31836.2</v>
      </c>
      <c r="E3" s="4261">
        <v>47754</v>
      </c>
      <c r="F3" s="4261" t="s">
        <v>4102</v>
      </c>
      <c r="G3" s="4261" t="s">
        <v>4101</v>
      </c>
      <c r="H3" s="4261">
        <v>1.5</v>
      </c>
      <c r="I3" s="4261" t="s">
        <v>4100</v>
      </c>
      <c r="J3" s="4262">
        <v>46007</v>
      </c>
      <c r="K3" s="4261" t="s">
        <v>4099</v>
      </c>
      <c r="L3" s="4261">
        <v>135400</v>
      </c>
      <c r="M3" s="4261">
        <v>135400</v>
      </c>
      <c r="N3" s="4261">
        <v>2835.35</v>
      </c>
      <c r="O3" s="4261">
        <v>28354</v>
      </c>
      <c r="P3" s="4261">
        <v>0</v>
      </c>
      <c r="Q3" s="4261" t="s">
        <v>627</v>
      </c>
      <c r="R3" s="4261" t="s">
        <v>627</v>
      </c>
      <c r="S3" s="4261" t="s">
        <v>4161</v>
      </c>
    </row>
    <row r="4" spans="1:19">
      <c r="A4" s="4261" t="s">
        <v>4160</v>
      </c>
      <c r="B4" s="4261" t="s">
        <v>4060</v>
      </c>
      <c r="C4" s="4261" t="s">
        <v>4159</v>
      </c>
      <c r="D4" s="4261">
        <v>21772.59</v>
      </c>
      <c r="E4" s="4261">
        <v>58000</v>
      </c>
      <c r="F4" s="4261" t="s">
        <v>4102</v>
      </c>
      <c r="G4" s="4261" t="s">
        <v>4101</v>
      </c>
      <c r="H4" s="4261">
        <v>2.66</v>
      </c>
      <c r="I4" s="4261" t="s">
        <v>4100</v>
      </c>
      <c r="J4" s="4262">
        <v>45905</v>
      </c>
      <c r="K4" s="4261" t="s">
        <v>4099</v>
      </c>
      <c r="L4" s="4261">
        <v>290000</v>
      </c>
      <c r="M4" s="4261">
        <v>290000</v>
      </c>
      <c r="N4" s="4261">
        <v>8879.67</v>
      </c>
      <c r="O4" s="4261">
        <v>50000</v>
      </c>
      <c r="P4" s="4261">
        <v>0</v>
      </c>
      <c r="Q4" s="4261" t="s">
        <v>627</v>
      </c>
      <c r="R4" s="4261" t="s">
        <v>627</v>
      </c>
      <c r="S4" s="4261" t="s">
        <v>4158</v>
      </c>
    </row>
    <row r="5" spans="1:19" s="4263" customFormat="1">
      <c r="A5" s="4264" t="s">
        <v>4157</v>
      </c>
      <c r="B5" s="4264" t="s">
        <v>4060</v>
      </c>
      <c r="C5" s="4264" t="s">
        <v>4156</v>
      </c>
      <c r="D5" s="4264">
        <v>25897.21</v>
      </c>
      <c r="E5" s="4264">
        <v>51794</v>
      </c>
      <c r="F5" s="4264" t="s">
        <v>4102</v>
      </c>
      <c r="G5" s="4264" t="s">
        <v>4101</v>
      </c>
      <c r="H5" s="4264">
        <v>2</v>
      </c>
      <c r="I5" s="4264" t="s">
        <v>4100</v>
      </c>
      <c r="J5" s="4265">
        <v>45832</v>
      </c>
      <c r="K5" s="4264" t="s">
        <v>4099</v>
      </c>
      <c r="L5" s="4264">
        <v>208000</v>
      </c>
      <c r="M5" s="4264">
        <v>208000</v>
      </c>
      <c r="N5" s="4264">
        <v>5354.5</v>
      </c>
      <c r="O5" s="4264">
        <v>40159</v>
      </c>
      <c r="P5" s="4264">
        <v>0</v>
      </c>
      <c r="Q5" s="4264" t="s">
        <v>627</v>
      </c>
      <c r="R5" s="4264" t="s">
        <v>627</v>
      </c>
      <c r="S5" s="4264" t="s">
        <v>4155</v>
      </c>
    </row>
    <row r="6" spans="1:19">
      <c r="A6" s="4261" t="s">
        <v>4154</v>
      </c>
      <c r="B6" s="4261" t="s">
        <v>4060</v>
      </c>
      <c r="C6" s="4261" t="s">
        <v>4153</v>
      </c>
      <c r="D6" s="4261">
        <v>27422.21</v>
      </c>
      <c r="E6" s="4261">
        <v>69104</v>
      </c>
      <c r="F6" s="4261" t="s">
        <v>4102</v>
      </c>
      <c r="G6" s="4261" t="s">
        <v>4101</v>
      </c>
      <c r="H6" s="4261">
        <v>2.52</v>
      </c>
      <c r="I6" s="4261" t="s">
        <v>4100</v>
      </c>
      <c r="J6" s="4262">
        <v>45673</v>
      </c>
      <c r="K6" s="4261" t="s">
        <v>4099</v>
      </c>
      <c r="L6" s="4261">
        <v>400800</v>
      </c>
      <c r="M6" s="4261">
        <v>400800</v>
      </c>
      <c r="N6" s="4261">
        <v>9743.93</v>
      </c>
      <c r="O6" s="4261">
        <v>58000</v>
      </c>
      <c r="P6" s="4261">
        <v>0</v>
      </c>
      <c r="Q6" s="4261" t="s">
        <v>627</v>
      </c>
      <c r="R6" s="4261" t="s">
        <v>627</v>
      </c>
      <c r="S6" s="4261" t="s">
        <v>4118</v>
      </c>
    </row>
    <row r="7" spans="1:19">
      <c r="A7" s="4261" t="s">
        <v>4152</v>
      </c>
      <c r="B7" s="4261" t="s">
        <v>4060</v>
      </c>
      <c r="C7" s="4261" t="s">
        <v>4151</v>
      </c>
      <c r="D7" s="4261">
        <v>63672.49</v>
      </c>
      <c r="E7" s="4261">
        <v>178283</v>
      </c>
      <c r="F7" s="4261" t="s">
        <v>4102</v>
      </c>
      <c r="G7" s="4261" t="s">
        <v>4101</v>
      </c>
      <c r="H7" s="4261">
        <v>2.8</v>
      </c>
      <c r="I7" s="4261" t="s">
        <v>4100</v>
      </c>
      <c r="J7" s="4262">
        <v>45638</v>
      </c>
      <c r="K7" s="4261" t="s">
        <v>4099</v>
      </c>
      <c r="L7" s="4261">
        <v>1105400</v>
      </c>
      <c r="M7" s="4261">
        <v>1105400</v>
      </c>
      <c r="N7" s="4261">
        <v>11573.81</v>
      </c>
      <c r="O7" s="4261">
        <v>62003</v>
      </c>
      <c r="P7" s="4261">
        <v>0</v>
      </c>
      <c r="Q7" s="4261" t="s">
        <v>627</v>
      </c>
      <c r="R7" s="4261" t="s">
        <v>627</v>
      </c>
      <c r="S7" s="4261" t="s">
        <v>4118</v>
      </c>
    </row>
    <row r="8" spans="1:19" s="4263" customFormat="1">
      <c r="A8" s="4264" t="s">
        <v>4150</v>
      </c>
      <c r="B8" s="4264" t="s">
        <v>4060</v>
      </c>
      <c r="C8" s="4264" t="s">
        <v>4149</v>
      </c>
      <c r="D8" s="4264">
        <v>30414.3</v>
      </c>
      <c r="E8" s="4264">
        <v>60828</v>
      </c>
      <c r="F8" s="4264" t="s">
        <v>4102</v>
      </c>
      <c r="G8" s="4264" t="s">
        <v>4101</v>
      </c>
      <c r="H8" s="4264">
        <v>2</v>
      </c>
      <c r="I8" s="4264" t="s">
        <v>4100</v>
      </c>
      <c r="J8" s="4265">
        <v>45625</v>
      </c>
      <c r="K8" s="4264" t="s">
        <v>4099</v>
      </c>
      <c r="L8" s="4264">
        <v>243200</v>
      </c>
      <c r="M8" s="4264">
        <v>243450</v>
      </c>
      <c r="N8" s="4264">
        <v>5336.31</v>
      </c>
      <c r="O8" s="4264">
        <v>40023</v>
      </c>
      <c r="P8" s="4264">
        <v>0.1</v>
      </c>
      <c r="Q8" s="4264">
        <v>279680</v>
      </c>
      <c r="R8" s="4264" t="s">
        <v>627</v>
      </c>
      <c r="S8" s="4264" t="s">
        <v>4148</v>
      </c>
    </row>
    <row r="9" spans="1:19">
      <c r="A9" s="4261" t="s">
        <v>4147</v>
      </c>
      <c r="B9" s="4261" t="s">
        <v>4060</v>
      </c>
      <c r="C9" s="4261" t="s">
        <v>4146</v>
      </c>
      <c r="D9" s="4261">
        <v>33303.120000000003</v>
      </c>
      <c r="E9" s="4261">
        <v>72100</v>
      </c>
      <c r="F9" s="4261" t="s">
        <v>4102</v>
      </c>
      <c r="G9" s="4261" t="s">
        <v>4101</v>
      </c>
      <c r="H9" s="4261" t="s">
        <v>4145</v>
      </c>
      <c r="I9" s="4261" t="s">
        <v>4100</v>
      </c>
      <c r="J9" s="4262">
        <v>45588</v>
      </c>
      <c r="K9" s="4261" t="s">
        <v>4099</v>
      </c>
      <c r="L9" s="4261">
        <v>401300</v>
      </c>
      <c r="M9" s="4261">
        <v>401300</v>
      </c>
      <c r="N9" s="4261">
        <v>8033.28</v>
      </c>
      <c r="O9" s="4261">
        <v>55659</v>
      </c>
      <c r="P9" s="4261">
        <v>0</v>
      </c>
      <c r="Q9" s="4261">
        <v>461495</v>
      </c>
      <c r="R9" s="4261" t="s">
        <v>627</v>
      </c>
      <c r="S9" s="4261" t="s">
        <v>4144</v>
      </c>
    </row>
    <row r="10" spans="1:19">
      <c r="A10" s="4261" t="s">
        <v>4143</v>
      </c>
      <c r="B10" s="4261" t="s">
        <v>4060</v>
      </c>
      <c r="C10" s="4261" t="s">
        <v>4142</v>
      </c>
      <c r="D10" s="4261">
        <v>21607.59</v>
      </c>
      <c r="E10" s="4261">
        <v>54019</v>
      </c>
      <c r="F10" s="4261" t="s">
        <v>4102</v>
      </c>
      <c r="G10" s="4261" t="s">
        <v>4101</v>
      </c>
      <c r="H10" s="4261">
        <v>2.5</v>
      </c>
      <c r="I10" s="4261" t="s">
        <v>4100</v>
      </c>
      <c r="J10" s="4262">
        <v>45596</v>
      </c>
      <c r="K10" s="4261" t="s">
        <v>4099</v>
      </c>
      <c r="L10" s="4261">
        <v>270000</v>
      </c>
      <c r="M10" s="4261">
        <v>270000</v>
      </c>
      <c r="N10" s="4261">
        <v>8330.41</v>
      </c>
      <c r="O10" s="4261">
        <v>49982</v>
      </c>
      <c r="P10" s="4261">
        <v>0</v>
      </c>
      <c r="Q10" s="4261">
        <v>351000</v>
      </c>
      <c r="R10" s="4261">
        <v>92000</v>
      </c>
      <c r="S10" s="4261" t="s">
        <v>4141</v>
      </c>
    </row>
    <row r="11" spans="1:19" s="4263" customFormat="1">
      <c r="A11" s="4264" t="s">
        <v>4140</v>
      </c>
      <c r="B11" s="4264" t="s">
        <v>4060</v>
      </c>
      <c r="C11" s="4264" t="s">
        <v>4139</v>
      </c>
      <c r="D11" s="4264">
        <v>25777.5</v>
      </c>
      <c r="E11" s="4264">
        <v>56711</v>
      </c>
      <c r="F11" s="4264" t="s">
        <v>4102</v>
      </c>
      <c r="G11" s="4264" t="s">
        <v>4101</v>
      </c>
      <c r="H11" s="4264">
        <v>2.2000000000000002</v>
      </c>
      <c r="I11" s="4264" t="s">
        <v>4100</v>
      </c>
      <c r="J11" s="4265">
        <v>45295</v>
      </c>
      <c r="K11" s="4264" t="s">
        <v>4099</v>
      </c>
      <c r="L11" s="4264">
        <v>223000</v>
      </c>
      <c r="M11" s="4264">
        <v>223000</v>
      </c>
      <c r="N11" s="4264">
        <v>5767.3</v>
      </c>
      <c r="O11" s="4264">
        <v>39322</v>
      </c>
      <c r="P11" s="4264">
        <v>0</v>
      </c>
      <c r="Q11" s="4264">
        <v>256450</v>
      </c>
      <c r="R11" s="4264">
        <v>72000</v>
      </c>
      <c r="S11" s="4264" t="s">
        <v>4138</v>
      </c>
    </row>
    <row r="12" spans="1:19">
      <c r="A12" s="4261" t="s">
        <v>4137</v>
      </c>
      <c r="B12" s="4261" t="s">
        <v>4060</v>
      </c>
      <c r="C12" s="4261" t="s">
        <v>4136</v>
      </c>
      <c r="D12" s="4261">
        <v>24857.29</v>
      </c>
      <c r="E12" s="4261">
        <v>69600</v>
      </c>
      <c r="F12" s="4261" t="s">
        <v>4102</v>
      </c>
      <c r="G12" s="4261" t="s">
        <v>4101</v>
      </c>
      <c r="H12" s="4261">
        <v>2.8</v>
      </c>
      <c r="I12" s="4261" t="s">
        <v>4100</v>
      </c>
      <c r="J12" s="4262">
        <v>45295</v>
      </c>
      <c r="K12" s="4261" t="s">
        <v>4099</v>
      </c>
      <c r="L12" s="4261">
        <v>335000</v>
      </c>
      <c r="M12" s="4261">
        <v>385250</v>
      </c>
      <c r="N12" s="4261">
        <v>10332.31</v>
      </c>
      <c r="O12" s="4261">
        <v>55352</v>
      </c>
      <c r="P12" s="4261">
        <v>15</v>
      </c>
      <c r="Q12" s="4261">
        <v>385250</v>
      </c>
      <c r="R12" s="4261">
        <v>83000</v>
      </c>
      <c r="S12" s="4261" t="s">
        <v>4135</v>
      </c>
    </row>
    <row r="13" spans="1:19">
      <c r="A13" s="4261" t="s">
        <v>4134</v>
      </c>
      <c r="B13" s="4261" t="s">
        <v>4060</v>
      </c>
      <c r="C13" s="4261" t="s">
        <v>4133</v>
      </c>
      <c r="D13" s="4261">
        <v>24300.84</v>
      </c>
      <c r="E13" s="4261">
        <v>53522</v>
      </c>
      <c r="F13" s="4261" t="s">
        <v>4107</v>
      </c>
      <c r="G13" s="4261" t="s">
        <v>4132</v>
      </c>
      <c r="H13" s="4261" t="s">
        <v>4131</v>
      </c>
      <c r="I13" s="4261" t="s">
        <v>4100</v>
      </c>
      <c r="J13" s="4262">
        <v>45286</v>
      </c>
      <c r="K13" s="4261" t="s">
        <v>4099</v>
      </c>
      <c r="L13" s="4261">
        <v>303000</v>
      </c>
      <c r="M13" s="4261">
        <v>348450</v>
      </c>
      <c r="N13" s="4261">
        <v>9559.34</v>
      </c>
      <c r="O13" s="4261">
        <v>65104</v>
      </c>
      <c r="P13" s="4261">
        <v>15</v>
      </c>
      <c r="Q13" s="4261">
        <v>348450</v>
      </c>
      <c r="R13" s="4261">
        <v>95000</v>
      </c>
      <c r="S13" s="4261" t="s">
        <v>4130</v>
      </c>
    </row>
    <row r="14" spans="1:19">
      <c r="A14" s="4261" t="s">
        <v>4129</v>
      </c>
      <c r="B14" s="4261" t="s">
        <v>4060</v>
      </c>
      <c r="C14" s="4261" t="s">
        <v>4128</v>
      </c>
      <c r="D14" s="4261">
        <v>70124.929999999993</v>
      </c>
      <c r="E14" s="4261">
        <v>168318</v>
      </c>
      <c r="F14" s="4261" t="s">
        <v>4107</v>
      </c>
      <c r="G14" s="4261" t="s">
        <v>4127</v>
      </c>
      <c r="H14" s="4261" t="s">
        <v>4126</v>
      </c>
      <c r="I14" s="4261" t="s">
        <v>4100</v>
      </c>
      <c r="J14" s="4262">
        <v>45230</v>
      </c>
      <c r="K14" s="4261" t="s">
        <v>4099</v>
      </c>
      <c r="L14" s="4261">
        <v>660000</v>
      </c>
      <c r="M14" s="4261">
        <v>759000</v>
      </c>
      <c r="N14" s="4261">
        <v>7215.69</v>
      </c>
      <c r="O14" s="4261">
        <v>45093</v>
      </c>
      <c r="P14" s="4261">
        <v>15</v>
      </c>
      <c r="Q14" s="4261" t="s">
        <v>627</v>
      </c>
      <c r="R14" s="4261">
        <v>92000</v>
      </c>
      <c r="S14" s="4261" t="s">
        <v>4125</v>
      </c>
    </row>
    <row r="15" spans="1:19">
      <c r="A15" s="4261" t="s">
        <v>4124</v>
      </c>
      <c r="B15" s="4261" t="s">
        <v>4060</v>
      </c>
      <c r="C15" s="4261" t="s">
        <v>4123</v>
      </c>
      <c r="D15" s="4261">
        <v>58385.05</v>
      </c>
      <c r="E15" s="4261">
        <v>124684</v>
      </c>
      <c r="F15" s="4261" t="s">
        <v>4102</v>
      </c>
      <c r="G15" s="4261" t="s">
        <v>4122</v>
      </c>
      <c r="H15" s="4261" t="s">
        <v>4121</v>
      </c>
      <c r="I15" s="4261" t="s">
        <v>4100</v>
      </c>
      <c r="J15" s="4262">
        <v>45230</v>
      </c>
      <c r="K15" s="4261" t="s">
        <v>4099</v>
      </c>
      <c r="L15" s="4261">
        <v>510000</v>
      </c>
      <c r="M15" s="4261">
        <v>544000</v>
      </c>
      <c r="N15" s="4261">
        <v>6211.64</v>
      </c>
      <c r="O15" s="4261">
        <v>43630</v>
      </c>
      <c r="P15" s="4261">
        <v>6.67</v>
      </c>
      <c r="Q15" s="4261" t="s">
        <v>627</v>
      </c>
      <c r="R15" s="4261">
        <v>92000</v>
      </c>
      <c r="S15" s="4261" t="s">
        <v>4118</v>
      </c>
    </row>
    <row r="16" spans="1:19">
      <c r="A16" s="4261" t="s">
        <v>4120</v>
      </c>
      <c r="B16" s="4261" t="s">
        <v>4060</v>
      </c>
      <c r="C16" s="4261" t="s">
        <v>4119</v>
      </c>
      <c r="D16" s="4261">
        <v>100648.77</v>
      </c>
      <c r="E16" s="4261">
        <v>110714</v>
      </c>
      <c r="F16" s="4261" t="s">
        <v>4102</v>
      </c>
      <c r="G16" s="4261" t="s">
        <v>4115</v>
      </c>
      <c r="H16" s="4261">
        <v>1.1000000000000001</v>
      </c>
      <c r="I16" s="4261" t="s">
        <v>4100</v>
      </c>
      <c r="J16" s="4262">
        <v>45223</v>
      </c>
      <c r="K16" s="4261" t="s">
        <v>4099</v>
      </c>
      <c r="L16" s="4261">
        <v>338000</v>
      </c>
      <c r="M16" s="4261">
        <v>338000</v>
      </c>
      <c r="N16" s="4261">
        <v>2238.81</v>
      </c>
      <c r="O16" s="4261">
        <v>30529</v>
      </c>
      <c r="P16" s="4261">
        <v>0</v>
      </c>
      <c r="Q16" s="4261">
        <v>388700</v>
      </c>
      <c r="R16" s="4261">
        <v>64000</v>
      </c>
      <c r="S16" s="4261" t="s">
        <v>4118</v>
      </c>
    </row>
    <row r="17" spans="1:19">
      <c r="A17" s="4261" t="s">
        <v>4117</v>
      </c>
      <c r="B17" s="4261" t="s">
        <v>4060</v>
      </c>
      <c r="C17" s="4261" t="s">
        <v>4116</v>
      </c>
      <c r="D17" s="4261">
        <v>34192.129999999997</v>
      </c>
      <c r="E17" s="4261">
        <v>82061</v>
      </c>
      <c r="F17" s="4261" t="s">
        <v>4102</v>
      </c>
      <c r="G17" s="4261" t="s">
        <v>4115</v>
      </c>
      <c r="H17" s="4261" t="s">
        <v>4114</v>
      </c>
      <c r="I17" s="4261" t="s">
        <v>4100</v>
      </c>
      <c r="J17" s="4262">
        <v>45217</v>
      </c>
      <c r="K17" s="4261" t="s">
        <v>4099</v>
      </c>
      <c r="L17" s="4261">
        <v>349000</v>
      </c>
      <c r="M17" s="4261">
        <v>401350</v>
      </c>
      <c r="N17" s="4261">
        <v>7825.39</v>
      </c>
      <c r="O17" s="4261">
        <v>48909</v>
      </c>
      <c r="P17" s="4261">
        <v>15</v>
      </c>
      <c r="Q17" s="4261">
        <v>401350</v>
      </c>
      <c r="R17" s="4261">
        <v>78000</v>
      </c>
      <c r="S17" s="4261" t="s">
        <v>4113</v>
      </c>
    </row>
    <row r="18" spans="1:19">
      <c r="A18" s="4261" t="s">
        <v>4112</v>
      </c>
      <c r="B18" s="4261" t="s">
        <v>4060</v>
      </c>
      <c r="C18" s="4261" t="s">
        <v>4111</v>
      </c>
      <c r="D18" s="4261">
        <v>35876.58</v>
      </c>
      <c r="E18" s="4261">
        <v>78928</v>
      </c>
      <c r="F18" s="4261" t="s">
        <v>4102</v>
      </c>
      <c r="G18" s="4261" t="s">
        <v>4101</v>
      </c>
      <c r="H18" s="4261">
        <v>2.2000000000000002</v>
      </c>
      <c r="I18" s="4261" t="s">
        <v>4100</v>
      </c>
      <c r="J18" s="4262">
        <v>45097</v>
      </c>
      <c r="K18" s="4261" t="s">
        <v>4099</v>
      </c>
      <c r="L18" s="4261">
        <v>301000</v>
      </c>
      <c r="M18" s="4261">
        <v>316000</v>
      </c>
      <c r="N18" s="4261">
        <v>5871.98</v>
      </c>
      <c r="O18" s="4261">
        <v>40036</v>
      </c>
      <c r="P18" s="4261">
        <v>4.9800000000000004</v>
      </c>
      <c r="Q18" s="4261">
        <v>346150</v>
      </c>
      <c r="R18" s="4261">
        <v>72000</v>
      </c>
      <c r="S18" s="4261" t="s">
        <v>4110</v>
      </c>
    </row>
    <row r="19" spans="1:19">
      <c r="A19" s="4261" t="s">
        <v>4109</v>
      </c>
      <c r="B19" s="4261" t="s">
        <v>4060</v>
      </c>
      <c r="C19" s="4261" t="s">
        <v>4108</v>
      </c>
      <c r="D19" s="4261">
        <v>120616.06</v>
      </c>
      <c r="E19" s="4261">
        <v>125500</v>
      </c>
      <c r="F19" s="4261" t="s">
        <v>4107</v>
      </c>
      <c r="G19" s="4261" t="s">
        <v>4106</v>
      </c>
      <c r="H19" s="4261">
        <v>1.04</v>
      </c>
      <c r="I19" s="4261" t="s">
        <v>4100</v>
      </c>
      <c r="J19" s="4262">
        <v>45097</v>
      </c>
      <c r="K19" s="4261" t="s">
        <v>4099</v>
      </c>
      <c r="L19" s="4261">
        <v>500000</v>
      </c>
      <c r="M19" s="4261">
        <v>500000</v>
      </c>
      <c r="N19" s="4261">
        <v>2763.59</v>
      </c>
      <c r="O19" s="4261">
        <v>39841</v>
      </c>
      <c r="P19" s="4261">
        <v>0</v>
      </c>
      <c r="Q19" s="4261">
        <v>575000</v>
      </c>
      <c r="R19" s="4261">
        <v>83000</v>
      </c>
      <c r="S19" s="4261" t="s">
        <v>4105</v>
      </c>
    </row>
    <row r="20" spans="1:19">
      <c r="A20" s="4261" t="s">
        <v>4104</v>
      </c>
      <c r="B20" s="4261" t="s">
        <v>4060</v>
      </c>
      <c r="C20" s="4261" t="s">
        <v>4103</v>
      </c>
      <c r="D20" s="4261">
        <v>16944.580000000002</v>
      </c>
      <c r="E20" s="4261">
        <v>52000</v>
      </c>
      <c r="F20" s="4261" t="s">
        <v>4102</v>
      </c>
      <c r="G20" s="4261" t="s">
        <v>4101</v>
      </c>
      <c r="H20" s="4261">
        <v>3.07</v>
      </c>
      <c r="I20" s="4261" t="s">
        <v>4100</v>
      </c>
      <c r="J20" s="4262">
        <v>45052</v>
      </c>
      <c r="K20" s="4261" t="s">
        <v>4099</v>
      </c>
      <c r="L20" s="4261">
        <v>239000</v>
      </c>
      <c r="M20" s="4261">
        <v>274850</v>
      </c>
      <c r="N20" s="4261">
        <v>10813.68</v>
      </c>
      <c r="O20" s="4261">
        <v>52856</v>
      </c>
      <c r="P20" s="4261">
        <v>15</v>
      </c>
      <c r="Q20" s="4261">
        <v>274850</v>
      </c>
      <c r="R20" s="4261">
        <v>85000</v>
      </c>
      <c r="S20" s="4261" t="s">
        <v>4098</v>
      </c>
    </row>
  </sheetData>
  <phoneticPr fontId="13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07" t="str">
        <f>项目基本情况!B1</f>
        <v>北京市房地产抵押价值预评估</v>
      </c>
      <c r="C37" s="4307"/>
      <c r="D37" s="4307"/>
      <c r="E37" s="4307"/>
      <c r="F37" s="4307"/>
      <c r="G37" s="4307"/>
      <c r="H37" s="4307"/>
      <c r="I37" s="430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94" zoomScaleNormal="100" zoomScaleSheetLayoutView="100" zoomScalePageLayoutView="80" workbookViewId="0">
      <selection activeCell="G16" sqref="G1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56" t="str">
        <f>项目基本情况!S2</f>
        <v>北京市房地产</v>
      </c>
      <c r="B2" s="4457"/>
      <c r="C2" s="4457"/>
      <c r="D2" s="4457"/>
      <c r="E2" s="4457"/>
      <c r="F2" s="4457"/>
      <c r="G2" s="4457"/>
      <c r="H2" s="4457"/>
      <c r="I2" s="4458"/>
    </row>
    <row r="3" spans="1:12" ht="12.75">
      <c r="A3" s="4460" t="s">
        <v>1242</v>
      </c>
      <c r="B3" s="4461"/>
      <c r="C3" s="4461"/>
      <c r="D3" s="4461"/>
      <c r="E3" s="4461"/>
      <c r="F3" s="4461"/>
      <c r="G3" s="4461"/>
      <c r="H3" s="4461"/>
      <c r="I3" s="4461"/>
    </row>
    <row r="4" spans="1:12" ht="14.25">
      <c r="A4" s="1255" t="s">
        <v>1243</v>
      </c>
      <c r="B4" s="1256" t="s">
        <v>1244</v>
      </c>
      <c r="C4" s="3543" t="s">
        <v>4386</v>
      </c>
      <c r="D4" s="3543" t="s">
        <v>4387</v>
      </c>
      <c r="E4" s="4465" t="s">
        <v>1245</v>
      </c>
      <c r="F4" s="4466"/>
      <c r="G4" s="4466"/>
      <c r="H4" s="4466"/>
      <c r="I4" s="446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448" t="s">
        <v>1246</v>
      </c>
      <c r="B5" s="4426">
        <v>25</v>
      </c>
      <c r="C5" s="4462"/>
      <c r="D5" s="4459"/>
      <c r="E5" s="49" t="s">
        <v>1247</v>
      </c>
      <c r="F5" s="1257"/>
      <c r="G5" s="1257"/>
      <c r="H5" s="1257"/>
      <c r="I5" s="924"/>
    </row>
    <row r="6" spans="1:12" ht="12.75">
      <c r="A6" s="4448"/>
      <c r="B6" s="4426"/>
      <c r="C6" s="4464"/>
      <c r="D6" s="4459"/>
      <c r="E6" s="49" t="s">
        <v>1248</v>
      </c>
      <c r="F6" s="1257"/>
      <c r="G6" s="1257"/>
      <c r="H6" s="1257"/>
      <c r="I6" s="924"/>
    </row>
    <row r="7" spans="1:12" ht="12.75">
      <c r="A7" s="4448"/>
      <c r="B7" s="4426"/>
      <c r="C7" s="4463"/>
      <c r="D7" s="4459"/>
      <c r="E7" s="49" t="s">
        <v>1249</v>
      </c>
      <c r="F7" s="1257"/>
      <c r="G7" s="1257"/>
      <c r="H7" s="1257"/>
      <c r="I7" s="924"/>
    </row>
    <row r="8" spans="1:12" ht="12.75">
      <c r="A8" s="4448" t="s">
        <v>1250</v>
      </c>
      <c r="B8" s="4426">
        <v>15</v>
      </c>
      <c r="C8" s="4462"/>
      <c r="D8" s="4459"/>
      <c r="E8" s="49" t="s">
        <v>1251</v>
      </c>
      <c r="F8" s="1257"/>
      <c r="G8" s="1257"/>
      <c r="H8" s="1257"/>
      <c r="I8" s="924"/>
    </row>
    <row r="9" spans="1:12" ht="12.75">
      <c r="A9" s="4448"/>
      <c r="B9" s="4426"/>
      <c r="C9" s="4463"/>
      <c r="D9" s="4459"/>
      <c r="E9" s="49" t="s">
        <v>1252</v>
      </c>
      <c r="F9" s="1257"/>
      <c r="G9" s="1257"/>
      <c r="H9" s="1257"/>
      <c r="I9" s="924"/>
    </row>
    <row r="10" spans="1:12" ht="12.75">
      <c r="A10" s="4448" t="s">
        <v>1253</v>
      </c>
      <c r="B10" s="4426">
        <v>15</v>
      </c>
      <c r="C10" s="4462"/>
      <c r="D10" s="4459"/>
      <c r="E10" s="49" t="s">
        <v>1254</v>
      </c>
      <c r="F10" s="1257"/>
      <c r="G10" s="1257"/>
      <c r="H10" s="1257"/>
      <c r="I10" s="924"/>
    </row>
    <row r="11" spans="1:12" ht="12.75">
      <c r="A11" s="4448"/>
      <c r="B11" s="4426"/>
      <c r="C11" s="4463"/>
      <c r="D11" s="4459"/>
      <c r="E11" s="49" t="s">
        <v>1255</v>
      </c>
      <c r="F11" s="1257"/>
      <c r="G11" s="1257"/>
      <c r="H11" s="1257"/>
      <c r="I11" s="924"/>
    </row>
    <row r="12" spans="1:12" ht="12.75">
      <c r="A12" s="4448" t="s">
        <v>1256</v>
      </c>
      <c r="B12" s="4426">
        <v>15</v>
      </c>
      <c r="C12" s="4462"/>
      <c r="D12" s="4459"/>
      <c r="E12" s="49" t="s">
        <v>1257</v>
      </c>
      <c r="F12" s="1257"/>
      <c r="G12" s="1257"/>
      <c r="H12" s="1257"/>
      <c r="I12" s="924"/>
    </row>
    <row r="13" spans="1:12" ht="12.75">
      <c r="A13" s="4448"/>
      <c r="B13" s="4426"/>
      <c r="C13" s="4463"/>
      <c r="D13" s="4459"/>
      <c r="E13" s="49" t="s">
        <v>1258</v>
      </c>
      <c r="F13" s="1257"/>
      <c r="G13" s="1257"/>
      <c r="H13" s="1257"/>
      <c r="I13" s="924"/>
    </row>
    <row r="14" spans="1:12" ht="12.75">
      <c r="A14" s="4448" t="s">
        <v>1259</v>
      </c>
      <c r="B14" s="4426">
        <v>30</v>
      </c>
      <c r="C14" s="4462">
        <v>5</v>
      </c>
      <c r="D14" s="4459">
        <v>5</v>
      </c>
      <c r="E14" s="49" t="s">
        <v>1260</v>
      </c>
      <c r="F14" s="1257"/>
      <c r="G14" s="1257"/>
      <c r="H14" s="1257"/>
      <c r="I14" s="924"/>
    </row>
    <row r="15" spans="1:12" ht="12.75">
      <c r="A15" s="4448"/>
      <c r="B15" s="4426"/>
      <c r="C15" s="4464"/>
      <c r="D15" s="4459"/>
      <c r="E15" s="49" t="s">
        <v>1261</v>
      </c>
      <c r="F15" s="1257"/>
      <c r="G15" s="1257"/>
      <c r="H15" s="1257"/>
      <c r="I15" s="924"/>
    </row>
    <row r="16" spans="1:12" ht="12.75">
      <c r="A16" s="4448"/>
      <c r="B16" s="4426"/>
      <c r="C16" s="4463"/>
      <c r="D16" s="4459"/>
      <c r="E16" s="49" t="s">
        <v>1262</v>
      </c>
      <c r="F16" s="1257"/>
      <c r="G16" s="1257"/>
      <c r="H16" s="1257"/>
      <c r="I16" s="924"/>
    </row>
    <row r="17" spans="1:36" ht="15">
      <c r="A17" s="1258" t="s">
        <v>1263</v>
      </c>
      <c r="B17" s="3542"/>
      <c r="C17" s="3624">
        <f>SUM(C5:C16)</f>
        <v>5</v>
      </c>
      <c r="D17" s="3624">
        <f>SUM(D5:D16)</f>
        <v>5</v>
      </c>
      <c r="E17" s="47"/>
      <c r="F17" s="47"/>
      <c r="G17" s="47"/>
      <c r="H17" s="47"/>
      <c r="I17" s="47"/>
      <c r="K17" s="186"/>
      <c r="L17" s="186" t="s">
        <v>1264</v>
      </c>
      <c r="M17" s="186" t="s">
        <v>1265</v>
      </c>
    </row>
    <row r="18" spans="1:36" ht="31.9" customHeight="1" thickBot="1">
      <c r="A18" s="1259" t="s">
        <v>1266</v>
      </c>
      <c r="B18" s="1182"/>
      <c r="C18" s="3625">
        <f>ROUND(C17/SUM(C17:D17),2)</f>
        <v>0.5</v>
      </c>
      <c r="D18" s="3625">
        <f>1-C18</f>
        <v>0.5</v>
      </c>
      <c r="E18" s="4487" t="s">
        <v>2035</v>
      </c>
      <c r="F18" s="4488"/>
      <c r="G18" s="4488"/>
      <c r="H18" s="4488"/>
      <c r="I18" s="4488"/>
      <c r="K18" s="186" t="s">
        <v>1267</v>
      </c>
      <c r="L18" s="2665">
        <f>IF(C1="",'数据-汇总表'!E3,SUMIF(项目类型,C1,'数据-汇总表'!E17:E26)+SUMIF(项目类型,C1,'数据-汇总表'!I17:I26))</f>
        <v>82371.62</v>
      </c>
      <c r="M18" s="2665">
        <f>IF(C1="",'数据-汇总表'!E3,SUMIF(项目类型,C1,'数据-汇总表'!E17:E26))</f>
        <v>82371.62</v>
      </c>
    </row>
    <row r="19" spans="1:36" ht="15">
      <c r="A19" s="1260" t="s">
        <v>1268</v>
      </c>
      <c r="B19" s="1261" t="s">
        <v>1269</v>
      </c>
      <c r="C19" s="3626">
        <f ca="1">SUMIF(INDIRECT("'"&amp;C4&amp;"'"&amp;"!A:A"),结果表!B19,INDIRECT("'"&amp;C4&amp;"'"&amp;"!B:B"))</f>
        <v>250430</v>
      </c>
      <c r="D19" s="3627">
        <f ca="1">SUMIF(INDIRECT("'"&amp;D4&amp;"'"&amp;"!A:A"),结果表!B19,INDIRECT("'"&amp;D4&amp;"'"&amp;"!B:B"))</f>
        <v>254416</v>
      </c>
      <c r="E19" s="1260" t="s">
        <v>1270</v>
      </c>
      <c r="F19" s="1261" t="s">
        <v>1269</v>
      </c>
      <c r="G19" s="3632">
        <f ca="1">ROUND(C19*$C$18+D19*$D$18,0)</f>
        <v>252423</v>
      </c>
      <c r="H19" s="1262" t="s">
        <v>1271</v>
      </c>
      <c r="I19" s="47">
        <f ca="1">ROUND(C19*$C$18+D19*$D$18,4)</f>
        <v>252423</v>
      </c>
      <c r="K19" s="186" t="s">
        <v>1272</v>
      </c>
      <c r="L19" s="2665">
        <f>IF(C1="",'数据-汇总表'!D3,SUMIF(项目类型,C1,'数据-汇总表'!D17:D26)+SUMIF(项目类型,C1,'数据-汇总表'!H17:H27))</f>
        <v>21825.93</v>
      </c>
      <c r="M19" s="2665">
        <f>IF(C1="",'数据-汇总表'!D3,SUMIF(项目类型,C1,'数据-汇总表'!D17:D26))</f>
        <v>21825.93</v>
      </c>
    </row>
    <row r="20" spans="1:36" ht="15">
      <c r="A20" s="1263"/>
      <c r="B20" s="25" t="s">
        <v>1273</v>
      </c>
      <c r="C20" s="3628">
        <f ca="1">SUMIF(INDIRECT("'"&amp;C4&amp;"'"&amp;"!A:A"),结果表!B20,INDIRECT("'"&amp;C4&amp;"'"&amp;"!B:B"))</f>
        <v>30402</v>
      </c>
      <c r="D20" s="3629">
        <f ca="1">SUMIF(INDIRECT("'"&amp;D4&amp;"'"&amp;"!A:A"),结果表!B20,INDIRECT("'"&amp;D4&amp;"'"&amp;"!B:B"))</f>
        <v>30886</v>
      </c>
      <c r="E20" s="1263"/>
      <c r="F20" s="25" t="s">
        <v>1273</v>
      </c>
      <c r="G20" s="3633">
        <f ca="1">ROUND(C20*$C$18+D20*$D$18,0)</f>
        <v>30644</v>
      </c>
      <c r="H20" s="527" t="s">
        <v>1274</v>
      </c>
      <c r="I20" s="47">
        <f ca="1">M49</f>
        <v>249478</v>
      </c>
    </row>
    <row r="21" spans="1:36" ht="15" customHeight="1" thickBot="1">
      <c r="A21" s="312"/>
      <c r="B21" s="3384" t="s">
        <v>3618</v>
      </c>
      <c r="C21" s="3630">
        <f ca="1">SUMIF(INDIRECT("'"&amp;C4&amp;"'"&amp;"!A:A"),结果表!B21,INDIRECT("'"&amp;C4&amp;"'"&amp;"!B:B"))</f>
        <v>114740</v>
      </c>
      <c r="D21" s="3631">
        <f ca="1">SUMIF(INDIRECT("'"&amp;D4&amp;"'"&amp;"!A:A"),结果表!B21,INDIRECT("'"&amp;D4&amp;"'"&amp;"!B:B"))</f>
        <v>116566</v>
      </c>
      <c r="E21" s="1263"/>
      <c r="F21" s="26" t="s">
        <v>1275</v>
      </c>
      <c r="G21" s="3633">
        <f ca="1">ROUND(C21*$C$18+D21*$D$18,0)</f>
        <v>115653</v>
      </c>
      <c r="H21" s="527" t="s">
        <v>1274</v>
      </c>
      <c r="I21" s="47"/>
    </row>
    <row r="22" spans="1:36" ht="15" thickBot="1">
      <c r="A22" s="1200" t="s">
        <v>1276</v>
      </c>
      <c r="B22" s="1264"/>
      <c r="C22" s="2588"/>
      <c r="D22" s="3881">
        <f ca="1">IF(C19&lt;D19,D19/C19-1,C19/D19-1)</f>
        <v>1.5916623407738584E-2</v>
      </c>
      <c r="E22" s="3375"/>
      <c r="F22" s="3377"/>
      <c r="G22" s="3634">
        <f ca="1">ROUND(G19/('数据-汇总表'!D3/666.67),0)</f>
        <v>7710</v>
      </c>
      <c r="H22" s="3376" t="s">
        <v>3616</v>
      </c>
      <c r="I22" s="47"/>
    </row>
    <row r="23" spans="1:36" ht="13.5" thickBot="1">
      <c r="A23" s="464"/>
      <c r="B23" s="464"/>
      <c r="C23" s="464"/>
      <c r="D23" s="464"/>
      <c r="E23" s="47"/>
      <c r="F23" s="47"/>
      <c r="G23" s="47"/>
      <c r="H23" s="47"/>
      <c r="I23" s="47"/>
    </row>
    <row r="24" spans="1:36" ht="14.25">
      <c r="A24" s="4433" t="s">
        <v>1277</v>
      </c>
      <c r="B24" s="1261" t="s">
        <v>1269</v>
      </c>
      <c r="C24" s="3632">
        <f>IF(B30=0,0,D30)</f>
        <v>0</v>
      </c>
      <c r="D24" s="3635"/>
      <c r="E24" s="47"/>
      <c r="F24" s="47"/>
      <c r="G24" s="47"/>
      <c r="H24" s="47"/>
      <c r="I24" s="47"/>
    </row>
    <row r="25" spans="1:36" ht="14.25">
      <c r="A25" s="4434"/>
      <c r="B25" s="3385" t="s">
        <v>3619</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252423</v>
      </c>
      <c r="D32" s="1267" t="s">
        <v>4394</v>
      </c>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1287</v>
      </c>
      <c r="F34" s="3643"/>
      <c r="G34" s="47"/>
      <c r="H34" s="47"/>
      <c r="I34" s="47"/>
    </row>
    <row r="35" spans="1:19" ht="15.75" thickBot="1">
      <c r="A35" s="1275"/>
      <c r="B35" s="1276" t="s">
        <v>1288</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1289</v>
      </c>
      <c r="F35" s="3644"/>
      <c r="G35" s="47"/>
      <c r="H35" s="47"/>
      <c r="I35" s="47"/>
    </row>
    <row r="36" spans="1:19" ht="15.75" thickBot="1">
      <c r="A36" s="4451" t="s">
        <v>1290</v>
      </c>
      <c r="B36" s="1278" t="s">
        <v>1291</v>
      </c>
      <c r="C36" s="3645"/>
      <c r="D36" s="1279"/>
      <c r="E36" s="1203"/>
      <c r="F36" s="1280"/>
      <c r="G36" s="47"/>
      <c r="H36" s="47"/>
      <c r="I36" s="47"/>
    </row>
    <row r="37" spans="1:19" ht="15.75" thickBot="1">
      <c r="A37" s="4452"/>
      <c r="B37" s="1191" t="s">
        <v>1292</v>
      </c>
      <c r="C37" s="3646"/>
      <c r="D37" s="763"/>
      <c r="E37" s="763"/>
      <c r="F37" s="1280"/>
      <c r="G37" s="47"/>
      <c r="H37" s="47"/>
      <c r="I37" s="47"/>
    </row>
    <row r="38" spans="1:19" ht="15.75" thickBot="1">
      <c r="A38" s="4453"/>
      <c r="B38" s="1281" t="s">
        <v>1293</v>
      </c>
      <c r="C38" s="3647">
        <f>E40+E41</f>
        <v>2945</v>
      </c>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f>'数据-汇总表'!G20</f>
        <v>14766.66</v>
      </c>
      <c r="C40" s="3649">
        <f>42001*0.15*0.25</f>
        <v>1575.0374999999999</v>
      </c>
      <c r="D40" s="4300">
        <v>3.0499999999999999E-2</v>
      </c>
      <c r="E40" s="3643">
        <f>ROUND(B40*C40*(1+D40)/10000,0)</f>
        <v>2397</v>
      </c>
      <c r="F40" s="1280"/>
      <c r="G40" s="47"/>
      <c r="H40" s="47"/>
      <c r="I40" s="47"/>
    </row>
    <row r="41" spans="1:19" ht="14.25">
      <c r="A41" s="1286" t="s">
        <v>1301</v>
      </c>
      <c r="B41" s="3648">
        <f>'数据-汇总表'!G21</f>
        <v>2024</v>
      </c>
      <c r="C41" s="3649">
        <f>42001*0.25*0.25</f>
        <v>2625.0625</v>
      </c>
      <c r="D41" s="3649">
        <v>3.0499999999999999E-2</v>
      </c>
      <c r="E41" s="3643">
        <f>ROUND(B41*C41*(1+D41)/10000,0)</f>
        <v>548</v>
      </c>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30" t="s">
        <v>1304</v>
      </c>
      <c r="B45" s="4431"/>
      <c r="C45" s="4432"/>
      <c r="D45" s="56">
        <f ca="1">ROUND(H101*F45,0)</f>
        <v>252423</v>
      </c>
      <c r="E45" s="57" t="s">
        <v>1305</v>
      </c>
      <c r="F45" s="58">
        <v>1</v>
      </c>
      <c r="G45" s="59" t="s">
        <v>1306</v>
      </c>
      <c r="H45" s="47"/>
      <c r="I45" s="47"/>
      <c r="J45" s="4442" t="s">
        <v>1307</v>
      </c>
      <c r="K45" s="4442"/>
      <c r="L45" s="4442"/>
      <c r="M45" s="4442"/>
      <c r="N45" s="4442"/>
      <c r="O45" s="4442"/>
    </row>
    <row r="46" spans="1:19" ht="14.25" customHeight="1">
      <c r="A46" s="4427" t="s">
        <v>1308</v>
      </c>
      <c r="B46" s="4428"/>
      <c r="C46" s="4428"/>
      <c r="D46" s="4428"/>
      <c r="E46" s="4428"/>
      <c r="F46" s="4428"/>
      <c r="G46" s="4429"/>
      <c r="H46" s="1294"/>
      <c r="I46" s="60"/>
      <c r="J46" s="1848">
        <v>1</v>
      </c>
      <c r="K46" s="4443" t="s">
        <v>1309</v>
      </c>
      <c r="L46" s="4443"/>
      <c r="M46" s="4444"/>
      <c r="N46" s="4444"/>
      <c r="O46" s="4444"/>
    </row>
    <row r="47" spans="1:19" ht="12" customHeight="1">
      <c r="A47" s="61" t="s">
        <v>1310</v>
      </c>
      <c r="B47" s="62"/>
      <c r="C47" s="63"/>
      <c r="D47" s="724" t="s">
        <v>1311</v>
      </c>
      <c r="E47" s="186" t="s">
        <v>1312</v>
      </c>
      <c r="F47" s="64" t="s">
        <v>1313</v>
      </c>
      <c r="G47" s="1863" t="s">
        <v>1314</v>
      </c>
      <c r="H47" s="1864"/>
      <c r="I47" s="60"/>
      <c r="J47" s="1848">
        <v>2</v>
      </c>
      <c r="K47" s="4443" t="s">
        <v>1315</v>
      </c>
      <c r="L47" s="4443"/>
      <c r="M47" s="4445">
        <f>'数据-取费表'!B2</f>
        <v>46091</v>
      </c>
      <c r="N47" s="4445"/>
      <c r="O47" s="4445"/>
    </row>
    <row r="48" spans="1:19" ht="25.5">
      <c r="A48" s="4454" t="s">
        <v>1316</v>
      </c>
      <c r="B48" s="4455"/>
      <c r="C48" s="4455"/>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43" t="s">
        <v>1318</v>
      </c>
      <c r="L48" s="4443"/>
      <c r="M48" s="4446">
        <f ca="1">H101</f>
        <v>252423</v>
      </c>
      <c r="N48" s="4446"/>
      <c r="O48" s="4446"/>
      <c r="R48" s="3401" t="s">
        <v>3633</v>
      </c>
      <c r="S48" s="3402"/>
    </row>
    <row r="49" spans="1:35" ht="25.5" customHeight="1">
      <c r="A49" s="3536" t="s">
        <v>1319</v>
      </c>
      <c r="B49" s="4425" t="s">
        <v>1320</v>
      </c>
      <c r="C49" s="4425"/>
      <c r="D49" s="3653">
        <v>0</v>
      </c>
      <c r="E49" s="207" t="s">
        <v>1321</v>
      </c>
      <c r="F49" s="3530" t="s">
        <v>26</v>
      </c>
      <c r="G49" s="4497"/>
      <c r="H49" s="3396" t="s">
        <v>2038</v>
      </c>
      <c r="I49" s="3397"/>
      <c r="J49" s="1848">
        <v>4</v>
      </c>
      <c r="K49" s="4443" t="str">
        <f>IF(项目基本情况!E8="房地产抵押价值","房地产抵押价值","抵押担保权已注销时的房地产抵押价值")</f>
        <v>房地产抵押价值</v>
      </c>
      <c r="L49" s="4443"/>
      <c r="M49" s="4446">
        <f ca="1">IF(项目基本情况!E8="房地产抵押价值",H107,H109)</f>
        <v>249478</v>
      </c>
      <c r="N49" s="4446"/>
      <c r="O49" s="4446"/>
      <c r="R49" s="3403" t="s">
        <v>3634</v>
      </c>
      <c r="S49" s="3401" t="s">
        <v>3635</v>
      </c>
    </row>
    <row r="50" spans="1:35" ht="25.5" customHeight="1">
      <c r="A50" s="3537"/>
      <c r="B50" s="4425" t="s">
        <v>1322</v>
      </c>
      <c r="C50" s="4425"/>
      <c r="D50" s="3654"/>
      <c r="E50" s="214"/>
      <c r="F50" s="3530"/>
      <c r="G50" s="4498"/>
      <c r="H50" s="1302" t="s">
        <v>2039</v>
      </c>
      <c r="I50" s="3397"/>
      <c r="J50" s="4442" t="s">
        <v>1323</v>
      </c>
      <c r="K50" s="4442"/>
      <c r="L50" s="4442"/>
      <c r="M50" s="4442"/>
      <c r="N50" s="4442"/>
      <c r="O50" s="4442"/>
      <c r="R50" s="3403" t="s">
        <v>3636</v>
      </c>
      <c r="S50" s="3401" t="s">
        <v>3637</v>
      </c>
    </row>
    <row r="51" spans="1:35" ht="20.45" customHeight="1">
      <c r="A51" s="3538"/>
      <c r="B51" s="4425" t="s">
        <v>1324</v>
      </c>
      <c r="C51" s="4425"/>
      <c r="D51" s="709"/>
      <c r="E51" s="210"/>
      <c r="F51" s="3530"/>
      <c r="G51" s="4499"/>
      <c r="H51" s="1302" t="s">
        <v>2040</v>
      </c>
      <c r="I51" s="3397"/>
      <c r="J51" s="1849" t="s">
        <v>1325</v>
      </c>
      <c r="K51" s="4443" t="s">
        <v>1326</v>
      </c>
      <c r="L51" s="4443"/>
      <c r="M51" s="1849" t="s">
        <v>1327</v>
      </c>
      <c r="N51" s="1849" t="s">
        <v>1328</v>
      </c>
      <c r="O51" s="1849" t="s">
        <v>1329</v>
      </c>
      <c r="R51" s="3403" t="s">
        <v>3638</v>
      </c>
      <c r="S51" s="3402" t="s">
        <v>3639</v>
      </c>
    </row>
    <row r="52" spans="1:35" ht="24" customHeight="1">
      <c r="A52" s="1700" t="s">
        <v>1330</v>
      </c>
      <c r="B52" s="4425" t="s">
        <v>1331</v>
      </c>
      <c r="C52" s="4425"/>
      <c r="D52" s="709">
        <f ca="1">ROUND(D45*F52/(1+F52),0)</f>
        <v>7352</v>
      </c>
      <c r="E52" s="899" t="s">
        <v>1332</v>
      </c>
      <c r="F52" s="1867">
        <v>0.03</v>
      </c>
      <c r="G52" s="894" t="s">
        <v>3680</v>
      </c>
      <c r="H52" s="1861"/>
      <c r="I52" s="1295"/>
      <c r="J52" s="1848">
        <v>1</v>
      </c>
      <c r="K52" s="4447" t="s">
        <v>1333</v>
      </c>
      <c r="L52" s="4447"/>
      <c r="M52" s="3656">
        <f>IF(D48&lt;=0,0,D48)</f>
        <v>0</v>
      </c>
      <c r="N52" s="1848" t="str">
        <f>E48</f>
        <v>销售额×税（费）率</v>
      </c>
      <c r="O52" s="3563">
        <f>F48</f>
        <v>0</v>
      </c>
      <c r="R52" s="3401" t="s">
        <v>3640</v>
      </c>
      <c r="S52" s="3401" t="s">
        <v>3644</v>
      </c>
    </row>
    <row r="53" spans="1:35" ht="12" customHeight="1">
      <c r="A53" s="1700" t="s">
        <v>1334</v>
      </c>
      <c r="B53" s="4449" t="s">
        <v>2186</v>
      </c>
      <c r="C53" s="4450"/>
      <c r="D53" s="709">
        <f ca="1">IF(G53="2016年5月1日之前项目",ROUND(D45*F53/(1+F53),0),H63)</f>
        <v>20842</v>
      </c>
      <c r="E53" s="899" t="str">
        <f>IF(G53="2016年5月1日之前项目","全额计税","进销项计算")</f>
        <v>进销项计算</v>
      </c>
      <c r="F53" s="1867">
        <f>IF(G53="2016年5月1日之前项目",5%,9%)</f>
        <v>0.09</v>
      </c>
      <c r="G53" s="3617"/>
      <c r="H53" s="1861"/>
      <c r="I53" s="1295"/>
      <c r="J53" s="1848">
        <v>2</v>
      </c>
      <c r="K53" s="4447" t="s">
        <v>1335</v>
      </c>
      <c r="L53" s="4447"/>
      <c r="M53" s="3656">
        <f t="shared" ref="M53:O54" ca="1" si="0">D55</f>
        <v>126</v>
      </c>
      <c r="N53" s="1848" t="str">
        <f t="shared" si="0"/>
        <v>销售额×税（费）率</v>
      </c>
      <c r="O53" s="3563" t="str">
        <f t="shared" si="0"/>
        <v>免征</v>
      </c>
      <c r="R53" s="3401" t="s">
        <v>3641</v>
      </c>
      <c r="S53" s="3402" t="s">
        <v>3648</v>
      </c>
    </row>
    <row r="54" spans="1:35" ht="12" customHeight="1">
      <c r="A54" s="1700" t="s">
        <v>1336</v>
      </c>
      <c r="B54" s="4449" t="s">
        <v>2187</v>
      </c>
      <c r="C54" s="4450"/>
      <c r="D54" s="709">
        <f ca="1">IF(G54="2016年5月1日之前项目",C68,H63)</f>
        <v>20842</v>
      </c>
      <c r="E54" s="3550" t="str">
        <f>IF(G54="2016年5月1日之前项目","差额计税","进销项计算")</f>
        <v>进销项计算</v>
      </c>
      <c r="F54" s="1867">
        <f>IF(G54="2016年5月1日之前项目",5%,9%)</f>
        <v>0.09</v>
      </c>
      <c r="G54" s="3617"/>
      <c r="H54" s="1869"/>
      <c r="I54" s="1295"/>
      <c r="J54" s="1848">
        <v>3</v>
      </c>
      <c r="K54" s="4447" t="s">
        <v>1337</v>
      </c>
      <c r="L54" s="4447"/>
      <c r="M54" s="3656" t="e">
        <f t="shared" ca="1" si="0"/>
        <v>#VALUE!</v>
      </c>
      <c r="N54" s="1848" t="str">
        <f t="shared" si="0"/>
        <v>增值额×税（费）率</v>
      </c>
      <c r="O54" s="3564" t="str">
        <f t="shared" si="0"/>
        <v>免征</v>
      </c>
      <c r="P54" s="47"/>
      <c r="R54" s="3403" t="s">
        <v>3642</v>
      </c>
      <c r="S54" s="3402" t="s">
        <v>3645</v>
      </c>
    </row>
    <row r="55" spans="1:35" ht="24" customHeight="1">
      <c r="A55" s="4482" t="s">
        <v>1338</v>
      </c>
      <c r="B55" s="4455"/>
      <c r="C55" s="4455"/>
      <c r="D55" s="3652">
        <f ca="1">IF(H55="个人住宅",0,ROUND(D45*I55,0))</f>
        <v>126</v>
      </c>
      <c r="E55" s="899" t="s">
        <v>1339</v>
      </c>
      <c r="F55" s="1867" t="str">
        <f>IF(H55="正常",I55,"免征")</f>
        <v>免征</v>
      </c>
      <c r="G55" s="1868"/>
      <c r="H55" s="1866"/>
      <c r="I55" s="65">
        <f>'数据-取费表'!B50</f>
        <v>5.0000000000000001E-4</v>
      </c>
      <c r="J55" s="1848">
        <f>IF(H59="非个人房产","",4)</f>
        <v>4</v>
      </c>
      <c r="K55" s="4447" t="str">
        <f>IF(H59="非个人房产","——","个人所得税")</f>
        <v>个人所得税</v>
      </c>
      <c r="L55" s="4447"/>
      <c r="M55" s="3657">
        <f ca="1">D59</f>
        <v>2524</v>
      </c>
      <c r="N55" s="1478" t="str">
        <f>E59</f>
        <v>差额计税</v>
      </c>
      <c r="O55" s="3565">
        <f>F59</f>
        <v>0.01</v>
      </c>
      <c r="R55" s="3403" t="s">
        <v>3643</v>
      </c>
      <c r="S55" s="3402" t="s">
        <v>3646</v>
      </c>
    </row>
    <row r="56" spans="1:35" ht="24.75">
      <c r="A56" s="4482" t="s">
        <v>1340</v>
      </c>
      <c r="B56" s="4455"/>
      <c r="C56" s="4455"/>
      <c r="D56" s="4256"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502" t="str">
        <f>IF(项目基本情况!K6="上海银行","其他处置费用","")</f>
        <v/>
      </c>
      <c r="L56" s="4503"/>
      <c r="M56" s="3656" t="str">
        <f>IF(项目基本情况!K6="上海银行",M69,"")</f>
        <v/>
      </c>
      <c r="N56" s="4502" t="str">
        <f>IF(项目基本情况!K6="上海银行","包含处置中涉及的律师、诉讼、拍卖、评估等费用","")</f>
        <v/>
      </c>
      <c r="O56" s="4506"/>
      <c r="R56" s="3402"/>
      <c r="S56" s="3402" t="s">
        <v>3647</v>
      </c>
    </row>
    <row r="57" spans="1:35" ht="12.75">
      <c r="A57" s="1700" t="s">
        <v>1319</v>
      </c>
      <c r="B57" s="4449" t="s">
        <v>1343</v>
      </c>
      <c r="C57" s="4450"/>
      <c r="D57" s="3653">
        <v>0</v>
      </c>
      <c r="E57" s="207" t="s">
        <v>1321</v>
      </c>
      <c r="F57" s="186"/>
      <c r="G57" s="1868"/>
      <c r="H57" s="1872"/>
      <c r="I57" s="1296"/>
      <c r="J57" s="4447">
        <f>IF(AND(J55="",J56=""),4,IF(项目基本情况!K6="上海银行",结果表!J56+1,结果表!J55+1))</f>
        <v>5</v>
      </c>
      <c r="K57" s="4447" t="s">
        <v>1344</v>
      </c>
      <c r="L57" s="1850" t="s">
        <v>1345</v>
      </c>
      <c r="M57" s="1851"/>
      <c r="N57" s="3658">
        <f ca="1">SUMIF(M52:M56,"&lt;9e307")</f>
        <v>2650</v>
      </c>
      <c r="O57" s="1852"/>
      <c r="P57" s="1952">
        <f ca="1">N57/M49</f>
        <v>1.0622179109981641E-2</v>
      </c>
      <c r="R57" s="4416" t="s">
        <v>3691</v>
      </c>
      <c r="S57" s="4417"/>
    </row>
    <row r="58" spans="1:35" ht="24.75">
      <c r="A58" s="1700" t="s">
        <v>1330</v>
      </c>
      <c r="B58" s="4449" t="s">
        <v>1346</v>
      </c>
      <c r="C58" s="4425"/>
      <c r="D58" s="3652">
        <f ca="1">IF(H58="转让取得",C81,C97)</f>
        <v>75727</v>
      </c>
      <c r="E58" s="899" t="s">
        <v>1341</v>
      </c>
      <c r="F58" s="186" t="s">
        <v>26</v>
      </c>
      <c r="G58" s="1868"/>
      <c r="H58" s="1871"/>
      <c r="I58" s="1296"/>
      <c r="J58" s="4447"/>
      <c r="K58" s="4447"/>
      <c r="L58" s="1850" t="s">
        <v>1347</v>
      </c>
      <c r="M58" s="1853"/>
      <c r="N58" s="1854" t="str">
        <f ca="1">NUMBERSTRING(INT(N57*10000),2)&amp;"元整"</f>
        <v>贰仟陆佰伍拾万元整</v>
      </c>
      <c r="O58" s="1855"/>
      <c r="R58" s="4418"/>
      <c r="S58" s="4419"/>
    </row>
    <row r="59" spans="1:35" ht="24.75" thickBot="1">
      <c r="A59" s="4495" t="s">
        <v>1348</v>
      </c>
      <c r="B59" s="4496"/>
      <c r="C59" s="4496"/>
      <c r="D59" s="3655">
        <f ca="1">IF(H59="非个人房产","——",IF(H59="个人住宅（满五唯一有凭证）",0,IF(H59="个人其他（无凭证）",ROUND(D45/(1+'数据-取费表'!C43)*F59,0),ROUND(C67*F59,0))))</f>
        <v>2524</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93">
        <f>J57+1</f>
        <v>6</v>
      </c>
      <c r="K59" s="4447" t="s">
        <v>1349</v>
      </c>
      <c r="L59" s="1848" t="s">
        <v>1345</v>
      </c>
      <c r="M59" s="1856"/>
      <c r="N59" s="2589">
        <f ca="1">M49-N57</f>
        <v>246828</v>
      </c>
      <c r="O59" s="1857"/>
      <c r="R59" s="3401" t="s">
        <v>3649</v>
      </c>
      <c r="S59" s="3401" t="s">
        <v>3650</v>
      </c>
    </row>
    <row r="60" spans="1:35" ht="12" customHeight="1" thickBot="1">
      <c r="A60" s="1297"/>
      <c r="B60" s="464"/>
      <c r="C60" s="464"/>
      <c r="D60" s="464"/>
      <c r="E60" s="1110"/>
      <c r="F60" s="1296"/>
      <c r="G60" s="1296"/>
      <c r="H60" s="60"/>
      <c r="I60" s="47"/>
      <c r="J60" s="4494"/>
      <c r="K60" s="4447"/>
      <c r="L60" s="1850" t="s">
        <v>1347</v>
      </c>
      <c r="M60" s="1853"/>
      <c r="N60" s="1854" t="str">
        <f ca="1">NUMBERSTRING(INT(N59*10000),2)&amp;"元整"</f>
        <v>贰拾肆亿陆仟捌佰贰拾捌万元整</v>
      </c>
      <c r="O60" s="1855"/>
      <c r="R60" s="3401" t="s">
        <v>3651</v>
      </c>
      <c r="S60" s="3401" t="s">
        <v>3690</v>
      </c>
    </row>
    <row r="61" spans="1:35" ht="14.25" thickBot="1">
      <c r="A61" s="4423" t="s">
        <v>3688</v>
      </c>
      <c r="B61" s="4424"/>
      <c r="C61" s="4424"/>
      <c r="D61" s="4424"/>
      <c r="E61" s="3555"/>
      <c r="F61" s="4489" t="s">
        <v>3689</v>
      </c>
      <c r="G61" s="4490"/>
      <c r="H61" s="4490"/>
      <c r="I61" s="4491"/>
      <c r="J61" s="3539">
        <f>J59+1</f>
        <v>7</v>
      </c>
      <c r="K61" s="4447" t="s">
        <v>1350</v>
      </c>
      <c r="L61" s="4447"/>
      <c r="M61" s="1858"/>
      <c r="N61" s="2590">
        <f ca="1">ROUND(N59*10000/'数据-汇总表'!E3,0)</f>
        <v>29965</v>
      </c>
      <c r="O61" s="1859"/>
    </row>
    <row r="62" spans="1:35" ht="13.5" customHeight="1">
      <c r="A62" s="3561" t="s">
        <v>3701</v>
      </c>
      <c r="B62" s="3562" t="s">
        <v>3702</v>
      </c>
      <c r="C62" s="2409" t="s">
        <v>3700</v>
      </c>
      <c r="D62" s="3551" t="s">
        <v>3692</v>
      </c>
      <c r="E62" s="3556" t="s">
        <v>3694</v>
      </c>
      <c r="F62" s="3567" t="s">
        <v>3703</v>
      </c>
      <c r="G62" s="3568" t="s">
        <v>3683</v>
      </c>
      <c r="H62" s="3569" t="s">
        <v>3704</v>
      </c>
      <c r="I62" s="3570" t="s">
        <v>3685</v>
      </c>
    </row>
    <row r="63" spans="1:35" ht="12.75">
      <c r="A63" s="70" t="s">
        <v>328</v>
      </c>
      <c r="B63" s="3558" t="s">
        <v>3696</v>
      </c>
      <c r="C63" s="3659">
        <f ca="1">ROUND(C64+C65,0)</f>
        <v>252423</v>
      </c>
      <c r="D63" s="3552"/>
      <c r="E63" s="4420" t="s">
        <v>3693</v>
      </c>
      <c r="F63" s="4253">
        <v>1</v>
      </c>
      <c r="G63" s="4254" t="s">
        <v>4057</v>
      </c>
      <c r="H63" s="3178">
        <f ca="1">H64-H66</f>
        <v>20842</v>
      </c>
      <c r="I63" s="2680"/>
      <c r="J63" s="4504" t="s">
        <v>1354</v>
      </c>
      <c r="K63" s="889" t="s">
        <v>1355</v>
      </c>
      <c r="L63" s="3674">
        <f ca="1">IF(M49&gt;10000,M49*0.5%,IF(AND(M49&gt;1000,M49&lt;=10000),M49*1%,IF(AND(M49&gt;100,M49&lt;=1000),M49*3%,IF(AND(M49&gt;10,M49&lt;=100),M49*5%,M49*8%))))</f>
        <v>1247.3900000000001</v>
      </c>
      <c r="M63" s="2665">
        <f ca="1">ROUND(L63,1)</f>
        <v>1247.4000000000001</v>
      </c>
      <c r="N63" s="1860"/>
      <c r="Z63" s="1254"/>
      <c r="AI63" s="1197"/>
    </row>
    <row r="64" spans="1:35" ht="14.25" customHeight="1">
      <c r="A64" s="67" t="s">
        <v>323</v>
      </c>
      <c r="B64" s="3559" t="s">
        <v>3697</v>
      </c>
      <c r="C64" s="3541">
        <f ca="1">D45</f>
        <v>252423</v>
      </c>
      <c r="D64" s="4238" t="s">
        <v>4052</v>
      </c>
      <c r="E64" s="4421"/>
      <c r="F64" s="4253">
        <v>2</v>
      </c>
      <c r="G64" s="4254" t="s">
        <v>3681</v>
      </c>
      <c r="H64" s="3178">
        <f ca="1">ROUND(H65*I64/(1+I64),0)</f>
        <v>20842</v>
      </c>
      <c r="I64" s="3571">
        <v>0.09</v>
      </c>
      <c r="J64" s="4504"/>
      <c r="K64" s="889" t="s">
        <v>1356</v>
      </c>
      <c r="L64" s="3674">
        <f ca="1">IF(M49&gt;2000,M49*0.5%,IF(AND(M49&gt;1000,M49&lt;=2000),M49*0.6%,IF(AND(M49&gt;500,M49&lt;=1000),M49*0.7%,IF(AND(M49&gt;200,M49&lt;=500),M49*0.8%,IF(AND(M49&gt;100,M49&lt;=200),M49*0.9%,IF(AND(M49&gt;50,M49&lt;=100),M49*1%,IF(AND(M49&gt;20,M49&lt;=50),M49*1.5%,IF(AND(M49&gt;10,M49&lt;=20),M49*2%,IF(AND(M49&gt;1,M49&lt;=10),M49*2.5%)))))))))</f>
        <v>1247.3900000000001</v>
      </c>
      <c r="M64" s="2665">
        <f t="shared" ref="M64:M65" ca="1" si="1">ROUND(L64,1)</f>
        <v>1247.4000000000001</v>
      </c>
      <c r="N64" s="1861" t="s">
        <v>1357</v>
      </c>
      <c r="Z64" s="1254"/>
      <c r="AI64" s="1197"/>
    </row>
    <row r="65" spans="1:35" ht="14.25" customHeight="1">
      <c r="A65" s="67" t="s">
        <v>324</v>
      </c>
      <c r="B65" s="3559" t="s">
        <v>3698</v>
      </c>
      <c r="C65" s="3660"/>
      <c r="D65" s="3553"/>
      <c r="E65" s="4421"/>
      <c r="F65" s="67" t="s">
        <v>323</v>
      </c>
      <c r="G65" s="3572" t="s">
        <v>3684</v>
      </c>
      <c r="H65" s="3178">
        <f ca="1">D45</f>
        <v>252423</v>
      </c>
      <c r="I65" s="4240" t="s">
        <v>4053</v>
      </c>
      <c r="J65" s="4504"/>
      <c r="K65" s="889" t="s">
        <v>1358</v>
      </c>
      <c r="L65" s="3674">
        <f ca="1">IF(M49&gt;1000,M49*0.1%,IF(AND(M49&gt;500,M49&lt;=1000),M49*0.5%,IF(AND(M49&gt;50,M49&lt;=500),M49*1%,IF(AND(M49&gt;1,M49&lt;=50),M49*1.5%))))</f>
        <v>249.47800000000001</v>
      </c>
      <c r="M65" s="2665">
        <f t="shared" ca="1" si="1"/>
        <v>249.5</v>
      </c>
      <c r="N65" s="1861" t="s">
        <v>1357</v>
      </c>
      <c r="Z65" s="1254"/>
      <c r="AI65" s="1197"/>
    </row>
    <row r="66" spans="1:35" ht="14.25" customHeight="1">
      <c r="A66" s="70" t="s">
        <v>325</v>
      </c>
      <c r="B66" s="3560" t="s">
        <v>3699</v>
      </c>
      <c r="C66" s="3660"/>
      <c r="D66" s="4239" t="s">
        <v>4052</v>
      </c>
      <c r="E66" s="4421"/>
      <c r="F66" s="4255">
        <v>3</v>
      </c>
      <c r="G66" s="4254" t="s">
        <v>3682</v>
      </c>
      <c r="H66" s="3213">
        <f>ROUND(H67*I67,0)+ROUND(H68*I68,0)</f>
        <v>0</v>
      </c>
      <c r="I66" s="4094"/>
      <c r="J66" s="4504"/>
      <c r="K66" s="889" t="s">
        <v>1359</v>
      </c>
      <c r="L66" s="3674">
        <f ca="1">M49*0.5%</f>
        <v>1247.3900000000001</v>
      </c>
      <c r="M66" s="2665">
        <f ca="1">IF(L66&gt;0.5,0.5,ROUND(L66,0))</f>
        <v>0.5</v>
      </c>
      <c r="N66" s="1861" t="s">
        <v>1360</v>
      </c>
      <c r="Z66" s="1254"/>
      <c r="AI66" s="1197"/>
    </row>
    <row r="67" spans="1:35" ht="14.25" customHeight="1">
      <c r="A67" s="70" t="s">
        <v>326</v>
      </c>
      <c r="B67" s="3557" t="s">
        <v>3695</v>
      </c>
      <c r="C67" s="3541">
        <f ca="1">C63-C66</f>
        <v>252423</v>
      </c>
      <c r="D67" s="3553"/>
      <c r="E67" s="4421"/>
      <c r="F67" s="67" t="s">
        <v>323</v>
      </c>
      <c r="G67" s="3572" t="s">
        <v>3686</v>
      </c>
      <c r="H67" s="3649"/>
      <c r="I67" s="3571">
        <v>0.09</v>
      </c>
      <c r="J67" s="4504"/>
      <c r="K67" s="889" t="s">
        <v>1361</v>
      </c>
      <c r="L67" s="3674">
        <f ca="1">IF(M49&gt;=10000,(8.25+(M49-10000)*0.01%),IF(AND(M49&gt;=8000,M49&lt;10000),(7.85+(M49-8000)*0.02%),IF(AND(M49&gt;=5000,M49&lt;8000),(6.65+(M49-5000)*0.04%),IF(AND(M49&gt;=2000,M49&lt;5000),(4.25+(PM49-2000)*0.08%),IF(AND(M49&gt;=1000,M49&lt;2000),(2.75+(M49-1000)*0.15%),IF(AND(M49&gt;=100,M49&lt;1000),(0.5+(M49-100)*0.25%),IF(AND(M49&gt;0,M49&lt;100),M49*0.5%)))))))</f>
        <v>32.197800000000001</v>
      </c>
      <c r="M67" s="2665">
        <f ca="1">ROUND(L67*0.9,1)</f>
        <v>29</v>
      </c>
      <c r="N67" s="1860"/>
      <c r="Z67" s="1254"/>
      <c r="AI67" s="1197"/>
    </row>
    <row r="68" spans="1:35" ht="14.25" customHeight="1" thickBot="1">
      <c r="A68" s="72" t="s">
        <v>327</v>
      </c>
      <c r="B68" s="4252" t="s">
        <v>4056</v>
      </c>
      <c r="C68" s="3547">
        <f ca="1">IF(C67&lt;=0,0,ROUND(C67*D68/(1+D68),0))</f>
        <v>12020</v>
      </c>
      <c r="D68" s="3554">
        <v>0.05</v>
      </c>
      <c r="E68" s="4422"/>
      <c r="F68" s="3566" t="s">
        <v>324</v>
      </c>
      <c r="G68" s="3573" t="s">
        <v>3687</v>
      </c>
      <c r="H68" s="3651"/>
      <c r="I68" s="3574">
        <v>0.06</v>
      </c>
      <c r="J68" s="4504"/>
      <c r="K68" s="889" t="s">
        <v>1362</v>
      </c>
      <c r="L68" s="3674">
        <f ca="1">IF(M49&gt;10000,M49*0.5%,IF(AND(M49&gt;5000,M49&lt;=10000),M49*1%,IF(AND(M49&gt;1000,M49&lt;=5000),M49*2%,IF(AND(M49&gt;200,M49&lt;=1000),M49*3%,M49*5%))))</f>
        <v>1247.3900000000001</v>
      </c>
      <c r="M68" s="2665">
        <f ca="1">ROUND(L68,1)</f>
        <v>1247.4000000000001</v>
      </c>
      <c r="N68" s="1860"/>
      <c r="Z68" s="1254"/>
      <c r="AI68" s="1197"/>
    </row>
    <row r="69" spans="1:35" ht="16.5" customHeight="1">
      <c r="A69" s="1298"/>
      <c r="B69" s="1299"/>
      <c r="C69" s="1300"/>
      <c r="D69" s="1301"/>
      <c r="E69" s="1302"/>
      <c r="F69" s="1110"/>
      <c r="G69" s="1110"/>
      <c r="H69" s="1111"/>
      <c r="I69" s="464"/>
      <c r="J69" s="4505"/>
      <c r="K69" s="889" t="s">
        <v>1363</v>
      </c>
      <c r="L69" s="3674"/>
      <c r="M69" s="2665">
        <f ca="1">ROUND(SUM(M63:M68),0)</f>
        <v>4021</v>
      </c>
      <c r="N69" s="1862">
        <f ca="1">M69/M49</f>
        <v>1.6117653660843841E-2</v>
      </c>
      <c r="Z69" s="1254"/>
      <c r="AI69" s="1197"/>
    </row>
    <row r="70" spans="1:35" s="463" customFormat="1" ht="15" thickBot="1">
      <c r="A70" s="4474" t="s">
        <v>1364</v>
      </c>
      <c r="B70" s="4475"/>
      <c r="C70" s="4475"/>
      <c r="D70" s="4475"/>
      <c r="E70" s="4475"/>
      <c r="F70" s="4475"/>
      <c r="G70" s="4475"/>
      <c r="H70" s="447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37" t="s">
        <v>1351</v>
      </c>
      <c r="B71" s="443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231581</v>
      </c>
      <c r="D72" s="4246"/>
      <c r="E72" s="4247" t="s">
        <v>4055</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-20842</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49" t="s">
        <v>1372</v>
      </c>
      <c r="F76" s="4425"/>
      <c r="G76" s="4425"/>
      <c r="H76" s="447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-20842</v>
      </c>
      <c r="D78" s="4244">
        <f>'数据-取费表'!B44</f>
        <v>0.12000000000000001</v>
      </c>
      <c r="E78" s="4439" t="s">
        <v>1376</v>
      </c>
      <c r="F78" s="4440"/>
      <c r="G78" s="4440"/>
      <c r="H78" s="444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252423</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-12.111265713463199</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75727</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74" t="s">
        <v>1380</v>
      </c>
      <c r="B83" s="4475"/>
      <c r="C83" s="4475"/>
      <c r="D83" s="4475"/>
      <c r="E83" s="4475"/>
      <c r="F83" s="4475"/>
      <c r="G83" s="4475"/>
      <c r="H83" s="447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37" t="s">
        <v>1351</v>
      </c>
      <c r="B84" s="443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231581</v>
      </c>
      <c r="D85" s="4246"/>
      <c r="E85" s="4251" t="s">
        <v>4054</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-20842</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3677</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507" t="s">
        <v>2033</v>
      </c>
      <c r="H90" s="4508"/>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35" t="s">
        <v>1389</v>
      </c>
      <c r="F91" s="4436"/>
      <c r="G91" s="4436"/>
      <c r="H91" s="3533" t="s">
        <v>3675</v>
      </c>
      <c r="I91" s="3664"/>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35" t="s">
        <v>1392</v>
      </c>
      <c r="F92" s="4436"/>
      <c r="G92" s="4436"/>
      <c r="H92" s="4500"/>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-20842</v>
      </c>
      <c r="D93" s="4244">
        <f>'数据-取费表'!B44</f>
        <v>0.12000000000000001</v>
      </c>
      <c r="E93" s="4483" t="s">
        <v>3678</v>
      </c>
      <c r="F93" s="4440"/>
      <c r="G93" s="4440"/>
      <c r="H93" s="444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84" t="s">
        <v>1396</v>
      </c>
      <c r="F94" s="4485"/>
      <c r="G94" s="4485"/>
      <c r="H94" s="448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252423</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-12.111265713463199</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75727</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96" t="s">
        <v>1398</v>
      </c>
      <c r="B100" s="4397"/>
      <c r="C100" s="4397"/>
      <c r="D100" s="4492"/>
      <c r="E100" s="4397" t="s">
        <v>1399</v>
      </c>
      <c r="F100" s="4397"/>
      <c r="G100" s="4397"/>
      <c r="H100" s="4492"/>
      <c r="I100" s="47"/>
    </row>
    <row r="101" spans="1:35" ht="18.75" customHeight="1">
      <c r="A101" s="4512" t="s">
        <v>1400</v>
      </c>
      <c r="B101" s="4513"/>
      <c r="C101" s="1877" t="str">
        <f>C4</f>
        <v>土地比较法-住宅、综合</v>
      </c>
      <c r="D101" s="1878" t="str">
        <f>D4</f>
        <v>假设开发法</v>
      </c>
      <c r="E101" s="4501" t="s">
        <v>1401</v>
      </c>
      <c r="F101" s="4409"/>
      <c r="G101" s="1311" t="s">
        <v>1402</v>
      </c>
      <c r="H101" s="3669">
        <f ca="1">I118</f>
        <v>252423</v>
      </c>
      <c r="I101" s="47"/>
    </row>
    <row r="102" spans="1:35" ht="18.75" customHeight="1">
      <c r="A102" s="4468" t="s">
        <v>1403</v>
      </c>
      <c r="B102" s="1876" t="s">
        <v>1402</v>
      </c>
      <c r="C102" s="3665">
        <f ca="1">C19</f>
        <v>250430</v>
      </c>
      <c r="D102" s="3666">
        <f ca="1">D19</f>
        <v>254416</v>
      </c>
      <c r="E102" s="4501"/>
      <c r="F102" s="4409"/>
      <c r="G102" s="1311" t="s">
        <v>1404</v>
      </c>
      <c r="H102" s="2766">
        <f ca="1">H118</f>
        <v>30644</v>
      </c>
      <c r="I102" s="47"/>
    </row>
    <row r="103" spans="1:35" ht="42.75" customHeight="1">
      <c r="A103" s="4468"/>
      <c r="B103" s="1876" t="s">
        <v>1404</v>
      </c>
      <c r="C103" s="3667">
        <f ca="1">C20</f>
        <v>30402</v>
      </c>
      <c r="D103" s="3668">
        <f ca="1">D20</f>
        <v>30886</v>
      </c>
      <c r="E103" s="4480" t="s">
        <v>1405</v>
      </c>
      <c r="F103" s="4481"/>
      <c r="G103" s="1312" t="s">
        <v>1406</v>
      </c>
      <c r="H103" s="3669">
        <f>IF(D36="正常操作",H104+H105+H106,H105+H106)</f>
        <v>2945</v>
      </c>
      <c r="I103" s="47"/>
    </row>
    <row r="104" spans="1:35" ht="18.75" customHeight="1">
      <c r="A104" s="4468" t="s">
        <v>1407</v>
      </c>
      <c r="B104" s="1879" t="s">
        <v>1402</v>
      </c>
      <c r="C104" s="4518">
        <f ca="1">I118</f>
        <v>252423</v>
      </c>
      <c r="D104" s="4519"/>
      <c r="E104" s="1191" t="s">
        <v>1408</v>
      </c>
      <c r="F104" s="1188"/>
      <c r="G104" s="1312" t="s">
        <v>1406</v>
      </c>
      <c r="H104" s="3670">
        <f>IF(D36="同一抵押权人同一抵押物续贷",C36&amp;"（续贷，未扣减，详见特别提示）",C36)</f>
        <v>0</v>
      </c>
      <c r="I104" s="47"/>
    </row>
    <row r="105" spans="1:35" ht="18.75" customHeight="1" thickBot="1">
      <c r="A105" s="4469"/>
      <c r="B105" s="1880" t="s">
        <v>1404</v>
      </c>
      <c r="C105" s="4520">
        <f ca="1">H118</f>
        <v>30644</v>
      </c>
      <c r="D105" s="4521"/>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2945</v>
      </c>
      <c r="I106" s="47"/>
    </row>
    <row r="107" spans="1:35" ht="18.75" customHeight="1">
      <c r="A107" s="47"/>
      <c r="B107" s="47"/>
      <c r="C107" s="47"/>
      <c r="D107" s="47"/>
      <c r="E107" s="4408" t="str">
        <f>IF(项目基本情况!E8="已注销","——","3.房地产抵押价值")</f>
        <v>3.房地产抵押价值</v>
      </c>
      <c r="F107" s="4409"/>
      <c r="G107" s="1311" t="s">
        <v>1402</v>
      </c>
      <c r="H107" s="3669">
        <f ca="1">IF(E107="——","——",H101-H103)</f>
        <v>249478</v>
      </c>
      <c r="I107" s="47"/>
    </row>
    <row r="108" spans="1:35" ht="18.75" customHeight="1">
      <c r="A108" s="47"/>
      <c r="B108" s="47"/>
      <c r="C108" s="47"/>
      <c r="D108" s="47"/>
      <c r="E108" s="4408"/>
      <c r="F108" s="4409"/>
      <c r="G108" s="1311" t="s">
        <v>1404</v>
      </c>
      <c r="H108" s="2766">
        <f ca="1">IF(H107=H101,H102,ROUND(H107*10000/'数据-汇总表'!E3,0))</f>
        <v>30287</v>
      </c>
      <c r="I108" s="47"/>
    </row>
    <row r="109" spans="1:35" ht="18.75" customHeight="1">
      <c r="A109" s="47"/>
      <c r="B109" s="47"/>
      <c r="C109" s="47"/>
      <c r="D109" s="47"/>
      <c r="E109" s="4408" t="str">
        <f>IF(项目基本情况!E8="已注销及未注销","4.抵押担保权已注销时的房地产抵押价值",IF(项目基本情况!E8="已注销","3.抵押担保权已注销时的房地产抵押价值","——"))</f>
        <v>——</v>
      </c>
      <c r="F109" s="4409"/>
      <c r="G109" s="1311" t="s">
        <v>1402</v>
      </c>
      <c r="H109" s="2761" t="str">
        <f>IF(E109="——","——",H101-H105-H106)</f>
        <v>——</v>
      </c>
      <c r="I109" s="47"/>
    </row>
    <row r="110" spans="1:35" ht="18.75" customHeight="1">
      <c r="A110" s="47"/>
      <c r="B110" s="47"/>
      <c r="C110" s="47"/>
      <c r="D110" s="47"/>
      <c r="E110" s="4408"/>
      <c r="F110" s="4409"/>
      <c r="G110" s="1311" t="s">
        <v>1404</v>
      </c>
      <c r="H110" s="2766" t="str">
        <f>IF(H109="——","——",ROUND(H109*10000/'数据-汇总表'!E3,0))</f>
        <v>——</v>
      </c>
      <c r="I110" s="47"/>
    </row>
    <row r="111" spans="1:35" ht="18.75" customHeight="1">
      <c r="A111" s="47"/>
      <c r="B111" s="47"/>
      <c r="C111" s="47"/>
      <c r="D111" s="47"/>
      <c r="E111" s="4514" t="str">
        <f>IF(项目基本情况!E9="抵押净值",IF(OR(项目基本情况!E8="已注销",项目基本情况!E8="房地产抵押价值"),"4.抵押净值","5.抵押净值"),"——")</f>
        <v>——</v>
      </c>
      <c r="F111" s="4515"/>
      <c r="G111" s="1311" t="s">
        <v>1402</v>
      </c>
      <c r="H111" s="3669" t="str">
        <f>IF(E111="——","——",N59)</f>
        <v>——</v>
      </c>
      <c r="I111" s="47"/>
    </row>
    <row r="112" spans="1:35" ht="18.75" customHeight="1" thickBot="1">
      <c r="A112" s="47"/>
      <c r="B112" s="47"/>
      <c r="C112" s="47"/>
      <c r="D112" s="47"/>
      <c r="E112" s="4516"/>
      <c r="F112" s="4517"/>
      <c r="G112" s="1314" t="s">
        <v>1404</v>
      </c>
      <c r="H112" s="3631" t="str">
        <f>IF(E111="——","——",N61)</f>
        <v>——</v>
      </c>
      <c r="I112" s="47"/>
    </row>
    <row r="113" spans="1:27" ht="18.75" customHeight="1">
      <c r="A113" s="47"/>
      <c r="B113" s="47"/>
      <c r="C113" s="47"/>
      <c r="D113" s="47"/>
      <c r="E113" s="4470" t="s">
        <v>1410</v>
      </c>
      <c r="F113" s="4470"/>
      <c r="G113" s="4470"/>
      <c r="H113" s="4470"/>
      <c r="I113" s="47"/>
    </row>
    <row r="114" spans="1:27" ht="3.75" customHeight="1">
      <c r="A114" s="464"/>
      <c r="B114" s="464"/>
      <c r="C114" s="464"/>
      <c r="D114" s="464"/>
      <c r="E114" s="1297"/>
      <c r="F114" s="1297"/>
      <c r="G114" s="1297"/>
      <c r="H114" s="1297"/>
      <c r="I114" s="464"/>
    </row>
    <row r="115" spans="1:27" ht="18.75" customHeight="1">
      <c r="A115" s="4477" t="s">
        <v>1412</v>
      </c>
      <c r="B115" s="4478"/>
      <c r="C115" s="4478"/>
      <c r="D115" s="4478"/>
      <c r="E115" s="4478"/>
      <c r="F115" s="4478"/>
      <c r="G115" s="4478"/>
      <c r="H115" s="4478"/>
      <c r="I115" s="4479"/>
    </row>
    <row r="116" spans="1:27" ht="27" customHeight="1">
      <c r="A116" s="4448" t="s">
        <v>1413</v>
      </c>
      <c r="B116" s="4471" t="s">
        <v>1414</v>
      </c>
      <c r="C116" s="4471" t="s">
        <v>1415</v>
      </c>
      <c r="D116" s="4510" t="s">
        <v>1416</v>
      </c>
      <c r="E116" s="4511"/>
      <c r="F116" s="4476"/>
      <c r="G116" s="4476"/>
      <c r="H116" s="4448" t="s">
        <v>1417</v>
      </c>
      <c r="I116" s="4448"/>
      <c r="K116" s="3032"/>
      <c r="L116" s="3033" t="s">
        <v>3469</v>
      </c>
      <c r="M116" s="3033" t="s">
        <v>3470</v>
      </c>
      <c r="N116" s="3033" t="s">
        <v>3471</v>
      </c>
    </row>
    <row r="117" spans="1:27" ht="18.75" customHeight="1">
      <c r="A117" s="4448"/>
      <c r="B117" s="4472"/>
      <c r="C117" s="4472"/>
      <c r="D117" s="1698" t="s">
        <v>1419</v>
      </c>
      <c r="E117" s="1698" t="s">
        <v>1418</v>
      </c>
      <c r="F117" s="1698" t="s">
        <v>1420</v>
      </c>
      <c r="G117" s="1698" t="s">
        <v>1418</v>
      </c>
      <c r="H117" s="1698" t="s">
        <v>1420</v>
      </c>
      <c r="I117" s="1698" t="s">
        <v>1418</v>
      </c>
      <c r="K117" s="3033" t="s">
        <v>3467</v>
      </c>
      <c r="L117" s="3672" t="e">
        <f ca="1">C34</f>
        <v>#REF!</v>
      </c>
      <c r="M117" s="3673" t="e">
        <f ca="1">C35</f>
        <v>#REF!</v>
      </c>
      <c r="N117" s="3673">
        <f ca="1">C32</f>
        <v>252423</v>
      </c>
    </row>
    <row r="118" spans="1:27" ht="24.75" customHeight="1">
      <c r="A118" s="1881" t="str">
        <f>项目基本情况!S2</f>
        <v>北京市房地产</v>
      </c>
      <c r="B118" s="2597">
        <f>M18</f>
        <v>82371.62</v>
      </c>
      <c r="C118" s="2597">
        <f>M19</f>
        <v>21825.93</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30644</v>
      </c>
      <c r="I118" s="679">
        <f ca="1">ROUND(IF(D32="总价",C32,N119*B118/10000),4)</f>
        <v>252423</v>
      </c>
      <c r="K118" s="3032"/>
      <c r="L118" s="3032"/>
      <c r="M118" s="3032"/>
      <c r="N118" s="3032"/>
    </row>
    <row r="119" spans="1:27" ht="18.75" customHeight="1">
      <c r="A119" s="4448" t="s">
        <v>1421</v>
      </c>
      <c r="B119" s="4448"/>
      <c r="C119" s="4448"/>
      <c r="D119" s="4405" t="e">
        <f ca="1">NUMBERSTRING(INT(E118*10000),2)&amp;"元整"</f>
        <v>#REF!</v>
      </c>
      <c r="E119" s="4407"/>
      <c r="F119" s="4405" t="e">
        <f ca="1">NUMBERSTRING(INT(G118*10000),2)&amp;"元整"</f>
        <v>#REF!</v>
      </c>
      <c r="G119" s="4407"/>
      <c r="H119" s="4405" t="str">
        <f ca="1">NUMBERSTRING(INT(I118*10000),2)&amp;"元整"</f>
        <v>贰拾伍亿贰仟肆佰贰拾叁万元整</v>
      </c>
      <c r="I119" s="4407"/>
      <c r="K119" s="3033" t="s">
        <v>3468</v>
      </c>
      <c r="L119" s="3673" t="e">
        <f ca="1">C34</f>
        <v>#REF!</v>
      </c>
      <c r="M119" s="3673" t="e">
        <f ca="1">C35</f>
        <v>#REF!</v>
      </c>
      <c r="N119" s="3673">
        <f ca="1">C32</f>
        <v>252423</v>
      </c>
    </row>
    <row r="120" spans="1:27" ht="18.75" hidden="1" customHeight="1">
      <c r="A120" s="4402" t="str">
        <f>IF(项目基本情况!B9="房地产市场价值","",MID(E103,3,LEN(E103)-2))</f>
        <v>估价师知悉的法定优先受偿款</v>
      </c>
      <c r="B120" s="4403"/>
      <c r="C120" s="4403"/>
      <c r="D120" s="4403"/>
      <c r="E120" s="4403"/>
      <c r="F120" s="4403"/>
      <c r="G120" s="4404"/>
      <c r="H120" s="4410">
        <f>H103</f>
        <v>2945</v>
      </c>
      <c r="I120" s="4411"/>
      <c r="J120" s="1254"/>
      <c r="K120" s="1254" t="str">
        <f>IF(H120=0,"故，本次评估不存在"&amp;A120,"故，本次评估"&amp;A120&amp;"为人民币"&amp;H120&amp;"万元整。")</f>
        <v>故，本次评估估价师知悉的法定优先受偿款为人民币2945万元整。</v>
      </c>
      <c r="L120" s="1254"/>
      <c r="M120" s="1254"/>
      <c r="N120" s="1254"/>
      <c r="O120" s="1254"/>
      <c r="P120" s="1254"/>
      <c r="Q120" s="1254"/>
      <c r="R120" s="1254"/>
      <c r="S120" s="1254"/>
    </row>
    <row r="121" spans="1:27" ht="18.75" hidden="1" customHeight="1">
      <c r="A121" s="4405" t="s">
        <v>1421</v>
      </c>
      <c r="B121" s="4406"/>
      <c r="C121" s="4406"/>
      <c r="D121" s="4406"/>
      <c r="E121" s="4406"/>
      <c r="F121" s="4406"/>
      <c r="G121" s="4407"/>
      <c r="H121" s="4412" t="str">
        <f>IF(H120=0,"零元整",NUMBERSTRING(INT(H120*10000),2)&amp;"元整")</f>
        <v>贰仟玖佰肆拾伍万元整</v>
      </c>
      <c r="I121" s="4413"/>
      <c r="AA121" s="493"/>
    </row>
    <row r="122" spans="1:27" ht="18.75" hidden="1" customHeight="1">
      <c r="A122" s="4402" t="str">
        <f>IF(项目基本情况!B9="房地产市场价值","",MID(E107,3,LEN(E107)-2))</f>
        <v>房地产抵押价值</v>
      </c>
      <c r="B122" s="4403"/>
      <c r="C122" s="4403"/>
      <c r="D122" s="4403"/>
      <c r="E122" s="4403"/>
      <c r="F122" s="4403"/>
      <c r="G122" s="4404"/>
      <c r="H122" s="4414">
        <f ca="1">H107</f>
        <v>249478</v>
      </c>
      <c r="I122" s="4415"/>
      <c r="AA122" s="493"/>
    </row>
    <row r="123" spans="1:27" ht="18.75" hidden="1" customHeight="1">
      <c r="A123" s="4405" t="s">
        <v>1421</v>
      </c>
      <c r="B123" s="4406"/>
      <c r="C123" s="4406"/>
      <c r="D123" s="4406"/>
      <c r="E123" s="4406"/>
      <c r="F123" s="4406"/>
      <c r="G123" s="4407"/>
      <c r="H123" s="4405" t="str">
        <f ca="1">NUMBERSTRING(INT(H122*10000),2)&amp;"元整"</f>
        <v>贰拾肆亿玖仟肆佰柒拾捌万元整</v>
      </c>
      <c r="I123" s="4407"/>
      <c r="AA123" s="493"/>
    </row>
    <row r="124" spans="1:27" ht="18.75" hidden="1" customHeight="1">
      <c r="A124" s="4402" t="str">
        <f>IF(项目基本情况!B9="房地产市场价值","",MID(E109,3,LEN(E109)-2))</f>
        <v/>
      </c>
      <c r="B124" s="4403"/>
      <c r="C124" s="4403"/>
      <c r="D124" s="4403"/>
      <c r="E124" s="4403"/>
      <c r="F124" s="4403"/>
      <c r="G124" s="4404"/>
      <c r="H124" s="4414" t="str">
        <f>H109</f>
        <v>——</v>
      </c>
      <c r="I124" s="4415"/>
      <c r="AA124" s="493"/>
    </row>
    <row r="125" spans="1:27" ht="18.75" hidden="1" customHeight="1">
      <c r="A125" s="4405" t="s">
        <v>1421</v>
      </c>
      <c r="B125" s="4406"/>
      <c r="C125" s="4406"/>
      <c r="D125" s="4406"/>
      <c r="E125" s="4406"/>
      <c r="F125" s="4406"/>
      <c r="G125" s="4407"/>
      <c r="H125" s="4405" t="e">
        <f>NUMBERSTRING(INT(H124*10000),2)&amp;"元整"</f>
        <v>#VALUE!</v>
      </c>
      <c r="I125" s="4407"/>
      <c r="AA125" s="493"/>
    </row>
    <row r="126" spans="1:27" ht="18.75" hidden="1" customHeight="1">
      <c r="A126" s="4402" t="str">
        <f>IF(项目基本情况!B9="房地产市场价值","",MID(E111,3,LEN(E111)-2))</f>
        <v/>
      </c>
      <c r="B126" s="4403"/>
      <c r="C126" s="4403"/>
      <c r="D126" s="4403"/>
      <c r="E126" s="4403"/>
      <c r="F126" s="4403"/>
      <c r="G126" s="4404"/>
      <c r="H126" s="4414" t="str">
        <f>H111</f>
        <v>——</v>
      </c>
      <c r="I126" s="4415"/>
      <c r="AA126" s="493"/>
    </row>
    <row r="127" spans="1:27" ht="18.75" hidden="1" customHeight="1">
      <c r="A127" s="4405" t="s">
        <v>1421</v>
      </c>
      <c r="B127" s="4406"/>
      <c r="C127" s="4406"/>
      <c r="D127" s="4406"/>
      <c r="E127" s="4406"/>
      <c r="F127" s="4406"/>
      <c r="G127" s="4407"/>
      <c r="H127" s="4405" t="e">
        <f>NUMBERSTRING(INT(H126*10000),2)&amp;"元整"</f>
        <v>#VALUE!</v>
      </c>
      <c r="I127" s="4407"/>
      <c r="AA127" s="493"/>
    </row>
    <row r="128" spans="1:27" ht="21.75" hidden="1" customHeight="1">
      <c r="A128" s="4509" t="s">
        <v>1422</v>
      </c>
      <c r="B128" s="4509"/>
      <c r="C128" s="4509"/>
      <c r="D128" s="4509"/>
      <c r="E128" s="4509"/>
      <c r="F128" s="4509"/>
      <c r="G128" s="4509"/>
      <c r="H128" s="4509"/>
      <c r="I128" s="4509"/>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11"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9</v>
      </c>
    </row>
    <row r="2" spans="1:9" s="95" customFormat="1" ht="15.75">
      <c r="A2" s="96" t="s">
        <v>1431</v>
      </c>
      <c r="B2" s="2522">
        <f ca="1">IF(C1="含税",E2+C33,E2+C32)</f>
        <v>2114</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257</v>
      </c>
      <c r="C3" s="94" t="s">
        <v>1434</v>
      </c>
      <c r="D3" s="94"/>
      <c r="E3" s="2510"/>
      <c r="F3" s="94"/>
      <c r="G3" s="94"/>
    </row>
    <row r="4" spans="1:9" s="95" customFormat="1" ht="16.5" thickBot="1">
      <c r="A4" s="2567" t="s">
        <v>3319</v>
      </c>
      <c r="B4" s="2568" t="s">
        <v>3320</v>
      </c>
      <c r="C4" s="2507" t="s">
        <v>3941</v>
      </c>
      <c r="D4" s="2543" t="s">
        <v>3325</v>
      </c>
      <c r="E4" s="2544" t="s">
        <v>3326</v>
      </c>
      <c r="F4" s="2544" t="s">
        <v>3327</v>
      </c>
      <c r="G4" s="2508" t="s">
        <v>3321</v>
      </c>
    </row>
    <row r="5" spans="1:9" s="103" customFormat="1" ht="15.75">
      <c r="A5" s="2545" t="s">
        <v>3318</v>
      </c>
      <c r="B5" s="2546" t="s">
        <v>3322</v>
      </c>
      <c r="C5" s="2520">
        <f ca="1">ROUND((C6+C9+C21+C24+C25+C28)/(1-F22-C26-C29),0)</f>
        <v>2114</v>
      </c>
      <c r="D5" s="2547"/>
      <c r="E5" s="2547"/>
      <c r="F5" s="2547"/>
      <c r="G5" s="2699" t="s">
        <v>3461</v>
      </c>
    </row>
    <row r="6" spans="1:9" s="2533" customFormat="1" ht="15">
      <c r="A6" s="2512" t="s">
        <v>3328</v>
      </c>
      <c r="B6" s="2571" t="s">
        <v>3329</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3277</v>
      </c>
      <c r="C9" s="2534">
        <f ca="1">C10+C11+C12+C13+C19+C20</f>
        <v>1647</v>
      </c>
      <c r="D9" s="2555"/>
      <c r="E9" s="2556"/>
      <c r="F9" s="2557"/>
      <c r="G9" s="2558"/>
      <c r="I9" s="109"/>
    </row>
    <row r="10" spans="1:9" s="109" customFormat="1">
      <c r="A10" s="2574" t="s">
        <v>344</v>
      </c>
      <c r="B10" s="2575" t="s">
        <v>3312</v>
      </c>
      <c r="C10" s="2521">
        <f ca="1">IF(B1="",IF(F10=100%,'数据-取费表'!M16,'数据-取费表'!O16),IF(F10=100%,INDIRECT("'数据-取费表'!m"&amp;$G$1)+INDIRECT("'数据-取费表'!t"&amp;$G$1),INDIRECT("'数据-取费表'!o"&amp;$G$1)+INDIRECT("'数据-取费表'!aq"&amp;$G$1)))</f>
        <v>0</v>
      </c>
      <c r="D10" s="2551"/>
      <c r="E10" s="144"/>
      <c r="F10" s="2559">
        <f ca="1">IF('数据-取费表'!B24=0,1,IF(B1="",'数据-取费表'!N16,INDIRECT("'数据-取费表'!n"&amp;$G$1)))</f>
        <v>0</v>
      </c>
      <c r="G10" s="156" t="s">
        <v>1467</v>
      </c>
    </row>
    <row r="11" spans="1:9" s="109" customFormat="1">
      <c r="A11" s="2574" t="s">
        <v>349</v>
      </c>
      <c r="B11" s="2575" t="s">
        <v>3313</v>
      </c>
      <c r="C11" s="2521">
        <f ca="1">ROUND(C10*F11,0)</f>
        <v>0</v>
      </c>
      <c r="D11" s="144"/>
      <c r="E11" s="144"/>
      <c r="F11" s="2532">
        <f>'数据-取费表'!B33</f>
        <v>0.02</v>
      </c>
      <c r="G11" s="3409" t="s">
        <v>3665</v>
      </c>
    </row>
    <row r="12" spans="1:9" s="109" customFormat="1">
      <c r="A12" s="2574" t="s">
        <v>350</v>
      </c>
      <c r="B12" s="2575" t="s">
        <v>3314</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0.15</v>
      </c>
      <c r="G12" s="3911" t="s">
        <v>3983</v>
      </c>
    </row>
    <row r="13" spans="1:9" s="109" customFormat="1">
      <c r="A13" s="2574" t="s">
        <v>3278</v>
      </c>
      <c r="B13" s="2575" t="s">
        <v>3315</v>
      </c>
      <c r="C13" s="2521">
        <f ca="1">C14+C17+C18</f>
        <v>1647</v>
      </c>
      <c r="D13" s="144"/>
      <c r="E13" s="2552"/>
      <c r="F13" s="2553"/>
      <c r="G13" s="156"/>
    </row>
    <row r="14" spans="1:9" s="118" customFormat="1">
      <c r="A14" s="2505" t="s">
        <v>3279</v>
      </c>
      <c r="B14" s="2576" t="s">
        <v>3311</v>
      </c>
      <c r="C14" s="2521">
        <f>IF(G14="已包含在土地购买价格中","0",IF(B1="",'数据-取费表'!B29,IF(G15="全部缴纳",C15+C16,H15)))</f>
        <v>0</v>
      </c>
      <c r="D14" s="2560"/>
      <c r="E14" s="144"/>
      <c r="F14" s="2553"/>
      <c r="G14" s="1338"/>
    </row>
    <row r="15" spans="1:9" s="109" customFormat="1">
      <c r="A15" s="2577" t="s">
        <v>353</v>
      </c>
      <c r="B15" s="2578" t="s">
        <v>1447</v>
      </c>
      <c r="C15" s="2561">
        <f ca="1">ROUND(D15*E15/10000,0)</f>
        <v>935</v>
      </c>
      <c r="D15" s="2561">
        <f ca="1">IF(B1="",'数据-汇总表'!E5,IF(INDIRECT("'数据-取费表'!c"&amp;$G$1)="住宅",INDIRECT("'数据-取费表'!k"&amp;$G$1),0))</f>
        <v>58465.54</v>
      </c>
      <c r="E15" s="2561">
        <f>'数据-取费表'!B27</f>
        <v>160</v>
      </c>
      <c r="F15" s="2553"/>
      <c r="G15" s="1339"/>
      <c r="H15" s="762"/>
      <c r="I15" s="1340" t="s">
        <v>1448</v>
      </c>
    </row>
    <row r="16" spans="1:9" s="109" customFormat="1">
      <c r="A16" s="2577" t="s">
        <v>354</v>
      </c>
      <c r="B16" s="2578" t="s">
        <v>1449</v>
      </c>
      <c r="C16" s="2561">
        <f ca="1">ROUND(D16*E16/10000,0)</f>
        <v>478</v>
      </c>
      <c r="D16" s="2561">
        <f ca="1">IF(B1="",'数据-汇总表'!E6,IF(INDIRECT("'数据-取费表'!c"&amp;$G$1)="住宅",INDIRECT("'数据-取费表'!s"&amp;$G$1),INDIRECT("'数据-取费表'!k"&amp;$G$1)+INDIRECT("'数据-取费表'!s"&amp;$G$1)))</f>
        <v>23906.079999999994</v>
      </c>
      <c r="E16" s="2561">
        <f>'数据-取费表'!B28</f>
        <v>200</v>
      </c>
      <c r="F16" s="2553"/>
      <c r="G16" s="121"/>
    </row>
    <row r="17" spans="1:7" s="109" customFormat="1">
      <c r="A17" s="2505" t="s">
        <v>3280</v>
      </c>
      <c r="B17" s="2579" t="s">
        <v>3285</v>
      </c>
      <c r="C17" s="2521">
        <f ca="1">IF(G17="已包含在土地取得成本中","0",ROUND(D17*E17/10000,0))</f>
        <v>1647</v>
      </c>
      <c r="D17" s="2562">
        <f ca="1">D15+D16</f>
        <v>82371.62</v>
      </c>
      <c r="E17" s="2562">
        <f>'数据-取费表'!B31</f>
        <v>200</v>
      </c>
      <c r="F17" s="2529"/>
      <c r="G17" s="1338"/>
    </row>
    <row r="18" spans="1:7" s="109" customFormat="1">
      <c r="A18" s="2580" t="s">
        <v>3281</v>
      </c>
      <c r="B18" s="2579" t="s">
        <v>1472</v>
      </c>
      <c r="C18" s="2521">
        <f ca="1">ROUND(E18*D18*F10/10000,0)</f>
        <v>0</v>
      </c>
      <c r="D18" s="2521">
        <f ca="1">D17</f>
        <v>82371.62</v>
      </c>
      <c r="E18" s="2521">
        <f>'数据-取费表'!B35</f>
        <v>360</v>
      </c>
      <c r="F18" s="2532"/>
      <c r="G18" s="156" t="str">
        <f ca="1">IF(F10=100%,"","按工程进度计取")</f>
        <v>按工程进度计取</v>
      </c>
    </row>
    <row r="19" spans="1:7" s="109" customFormat="1">
      <c r="A19" s="2574" t="s">
        <v>352</v>
      </c>
      <c r="B19" s="2575" t="s">
        <v>3316</v>
      </c>
      <c r="C19" s="2521">
        <f ca="1">ROUND(C10*F19,0)</f>
        <v>0</v>
      </c>
      <c r="D19" s="144"/>
      <c r="E19" s="144"/>
      <c r="F19" s="2532">
        <f>'数据-取费表'!B36</f>
        <v>1.4999999999999999E-2</v>
      </c>
      <c r="G19" s="156" t="s">
        <v>1469</v>
      </c>
    </row>
    <row r="20" spans="1:7" s="109" customFormat="1">
      <c r="A20" s="2574" t="s">
        <v>3282</v>
      </c>
      <c r="B20" s="2575" t="s">
        <v>3317</v>
      </c>
      <c r="C20" s="2521">
        <f ca="1">ROUND(C10*F20,0)</f>
        <v>0</v>
      </c>
      <c r="D20" s="2563"/>
      <c r="E20" s="140"/>
      <c r="F20" s="2532">
        <f>'数据-取费表'!B37</f>
        <v>1.4999999999999999E-2</v>
      </c>
      <c r="G20" s="156" t="s">
        <v>1469</v>
      </c>
    </row>
    <row r="21" spans="1:7" s="2533" customFormat="1" ht="15">
      <c r="A21" s="2512" t="s">
        <v>3330</v>
      </c>
      <c r="B21" s="2571" t="s">
        <v>3331</v>
      </c>
      <c r="C21" s="2534">
        <f ca="1">ROUND((C6+C9)*F21,0)</f>
        <v>33</v>
      </c>
      <c r="D21" s="2535"/>
      <c r="E21" s="2535"/>
      <c r="F21" s="2539">
        <f>'数据-取费表'!B38</f>
        <v>0.02</v>
      </c>
      <c r="G21" s="2536" t="s">
        <v>3332</v>
      </c>
    </row>
    <row r="22" spans="1:7" s="2533" customFormat="1" ht="15">
      <c r="A22" s="2512" t="s">
        <v>3333</v>
      </c>
      <c r="B22" s="2571" t="s">
        <v>3334</v>
      </c>
      <c r="C22" s="2537" t="str">
        <f>F22&amp;"V"</f>
        <v>0.06V</v>
      </c>
      <c r="D22" s="296"/>
      <c r="E22" s="2535"/>
      <c r="F22" s="2539">
        <f>'数据-取费表'!B39</f>
        <v>0.06</v>
      </c>
      <c r="G22" s="3531" t="s">
        <v>3977</v>
      </c>
    </row>
    <row r="23" spans="1:7" s="2533" customFormat="1" ht="15">
      <c r="A23" s="2512" t="s">
        <v>3335</v>
      </c>
      <c r="B23" s="2573" t="s">
        <v>3286</v>
      </c>
      <c r="C23" s="2513" t="str">
        <f ca="1">SUM(C24:C25)&amp;"+"&amp;C26&amp;"V"</f>
        <v>0+0V</v>
      </c>
      <c r="D23" s="2538"/>
      <c r="E23" s="296"/>
      <c r="F23" s="2539">
        <f ca="1">'数据-取费表'!B41</f>
        <v>3.1899999999999998E-2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3978</v>
      </c>
    </row>
    <row r="25" spans="1:7" s="109" customFormat="1">
      <c r="A25" s="2581" t="s">
        <v>1453</v>
      </c>
      <c r="B25" s="2579" t="s">
        <v>3287</v>
      </c>
      <c r="C25" s="2527">
        <f ca="1">ROUND(IF('数据-取费表'!B22&lt;=1,(C9+C21)*F23*'数据-取费表'!B23/2,(C9+C21)*(POWER((1+F23),'数据-取费表'!B23/2)-1)),0)</f>
        <v>0</v>
      </c>
      <c r="D25" s="133"/>
      <c r="E25" s="133"/>
      <c r="F25" s="2528"/>
      <c r="G25" s="3911" t="s">
        <v>3979</v>
      </c>
    </row>
    <row r="26" spans="1:7" s="109" customFormat="1">
      <c r="A26" s="2581" t="s">
        <v>348</v>
      </c>
      <c r="B26" s="2579" t="s">
        <v>1454</v>
      </c>
      <c r="C26" s="2524">
        <f ca="1">ROUND(IF('数据-取费表'!B22&lt;=1,F22*F23*'数据-取费表'!B23/2,F22*(POWER((1+F23),'数据-取费表'!B23/2)-1)),4)</f>
        <v>0</v>
      </c>
      <c r="D26" s="133"/>
      <c r="E26" s="136"/>
      <c r="F26" s="2528"/>
      <c r="G26" s="4225" t="s">
        <v>3980</v>
      </c>
    </row>
    <row r="27" spans="1:7" s="2533" customFormat="1" ht="15">
      <c r="A27" s="2512" t="s">
        <v>3336</v>
      </c>
      <c r="B27" s="2573" t="s">
        <v>3288</v>
      </c>
      <c r="C27" s="2540" t="str">
        <f ca="1">C28&amp;"+"&amp;C29&amp;"V"</f>
        <v>286+0.0102V</v>
      </c>
      <c r="D27" s="2538"/>
      <c r="E27" s="296"/>
      <c r="F27" s="2541">
        <f ca="1">IF(B1="",'数据-取费表'!Q16,INDIRECT("'数据-取费表'!q"&amp;$G$1))</f>
        <v>0.17</v>
      </c>
      <c r="G27" s="2536" t="s">
        <v>3985</v>
      </c>
    </row>
    <row r="28" spans="1:7" s="109" customFormat="1">
      <c r="A28" s="2574" t="s">
        <v>344</v>
      </c>
      <c r="B28" s="2579" t="s">
        <v>1459</v>
      </c>
      <c r="C28" s="2506">
        <f ca="1">ROUND(C6*F27*'数据-取费表'!B23/'数据-取费表'!B22+(C9+C21)*F27,0)</f>
        <v>286</v>
      </c>
      <c r="D28" s="130"/>
      <c r="E28" s="131"/>
      <c r="F28" s="2529"/>
      <c r="G28" s="3031" t="str">
        <f ca="1">IF(F10=100%,"","其中：土地取得成本产生的利润按已建工期计算")</f>
        <v>其中：土地取得成本产生的利润按已建工期计算</v>
      </c>
    </row>
    <row r="29" spans="1:7" s="109" customFormat="1">
      <c r="A29" s="2574" t="s">
        <v>345</v>
      </c>
      <c r="B29" s="2579" t="s">
        <v>1460</v>
      </c>
      <c r="C29" s="2524">
        <f ca="1">ROUND(F22*F27,4)</f>
        <v>1.0200000000000001E-2</v>
      </c>
      <c r="D29" s="130"/>
      <c r="E29" s="131"/>
      <c r="F29" s="2529"/>
      <c r="G29" s="142"/>
    </row>
    <row r="30" spans="1:7" s="2533" customFormat="1" ht="15">
      <c r="A30" s="2512" t="s">
        <v>3337</v>
      </c>
      <c r="B30" s="2571" t="s">
        <v>3338</v>
      </c>
      <c r="C30" s="2534">
        <v>0</v>
      </c>
      <c r="D30" s="296"/>
      <c r="E30" s="2514"/>
      <c r="F30" s="2539"/>
      <c r="G30" s="2542" t="s">
        <v>3289</v>
      </c>
    </row>
    <row r="31" spans="1:7" s="109" customFormat="1" ht="15.75">
      <c r="A31" s="2582">
        <v>2</v>
      </c>
      <c r="B31" s="2583" t="s">
        <v>3290</v>
      </c>
      <c r="C31" s="2525">
        <f ca="1">C57</f>
        <v>0</v>
      </c>
      <c r="D31" s="2516"/>
      <c r="E31" s="2516"/>
      <c r="F31" s="2530">
        <f>IF('数据-取费表'!B24=0,'数据-取费表'!N16,1)</f>
        <v>1</v>
      </c>
      <c r="G31" s="2517" t="s">
        <v>3799</v>
      </c>
    </row>
    <row r="32" spans="1:7" s="109" customFormat="1" ht="15.75">
      <c r="A32" s="2504" t="s">
        <v>3291</v>
      </c>
      <c r="B32" s="2503" t="s">
        <v>3292</v>
      </c>
      <c r="C32" s="2525">
        <f ca="1">C5-C31</f>
        <v>2114</v>
      </c>
      <c r="D32" s="2516"/>
      <c r="E32" s="2516"/>
      <c r="F32" s="2515"/>
      <c r="G32" s="2518" t="s">
        <v>3323</v>
      </c>
    </row>
    <row r="33" spans="1:7" s="109" customFormat="1" ht="16.5" thickBot="1">
      <c r="A33" s="2584">
        <v>4</v>
      </c>
      <c r="B33" s="2585" t="s">
        <v>3324</v>
      </c>
      <c r="C33" s="2526">
        <f ca="1">ROUND(C32*(1+F33),0)</f>
        <v>2304</v>
      </c>
      <c r="D33" s="2519"/>
      <c r="E33" s="2519"/>
      <c r="F33" s="2531">
        <f>IF(G33="其他类型公式—成本价值×（1+9%）",9%,3%)</f>
        <v>0.09</v>
      </c>
      <c r="G33" s="3532" t="s">
        <v>3674</v>
      </c>
    </row>
    <row r="34" spans="1:7" s="118" customFormat="1"/>
    <row r="35" spans="1:7" s="109" customFormat="1"/>
    <row r="36" spans="1:7" s="109" customFormat="1"/>
    <row r="37" spans="1:7" s="109" customFormat="1"/>
    <row r="38" spans="1:7" ht="15.75" thickBot="1">
      <c r="A38" s="2770" t="s">
        <v>3293</v>
      </c>
      <c r="B38" s="2771"/>
      <c r="C38" s="2771"/>
      <c r="D38" s="2771"/>
      <c r="E38" s="2771"/>
      <c r="F38" s="2771"/>
      <c r="G38" s="2772"/>
    </row>
    <row r="39" spans="1:7" ht="15.75" thickBot="1">
      <c r="A39" s="2773" t="s">
        <v>3319</v>
      </c>
      <c r="B39" s="2774" t="s">
        <v>3320</v>
      </c>
      <c r="C39" s="2775" t="s">
        <v>3941</v>
      </c>
      <c r="D39" s="2776" t="s">
        <v>3443</v>
      </c>
      <c r="E39" s="2777" t="s">
        <v>3444</v>
      </c>
      <c r="F39" s="2777" t="s">
        <v>3445</v>
      </c>
      <c r="G39" s="2778" t="s">
        <v>3321</v>
      </c>
    </row>
    <row r="40" spans="1:7" ht="15">
      <c r="A40" s="2631" t="s">
        <v>3446</v>
      </c>
      <c r="B40" s="2780" t="s">
        <v>3294</v>
      </c>
      <c r="C40" s="2781">
        <f ca="1">SUM(C41:C46)</f>
        <v>0</v>
      </c>
      <c r="D40" s="2779"/>
      <c r="E40" s="2779"/>
      <c r="F40" s="2779"/>
      <c r="G40" s="3983"/>
    </row>
    <row r="41" spans="1:7" ht="15.75">
      <c r="A41" s="2566" t="s">
        <v>3295</v>
      </c>
      <c r="B41" s="2630" t="str">
        <f t="shared" ref="B41:C43" si="0">B10</f>
        <v xml:space="preserve">  建安费用</v>
      </c>
      <c r="C41" s="2501">
        <f t="shared" ca="1" si="0"/>
        <v>0</v>
      </c>
      <c r="D41" s="2496"/>
      <c r="E41" s="2496"/>
      <c r="F41" s="2497"/>
      <c r="G41" s="3984"/>
    </row>
    <row r="42" spans="1:7" ht="15.75">
      <c r="A42" s="2566" t="s">
        <v>3296</v>
      </c>
      <c r="B42" s="2630" t="str">
        <f t="shared" si="0"/>
        <v xml:space="preserve">  前期费用</v>
      </c>
      <c r="C42" s="2501">
        <f t="shared" ca="1" si="0"/>
        <v>0</v>
      </c>
      <c r="D42" s="2496"/>
      <c r="E42" s="2496"/>
      <c r="F42" s="2497"/>
      <c r="G42" s="3984"/>
    </row>
    <row r="43" spans="1:7" ht="15.75">
      <c r="A43" s="2566" t="s">
        <v>3360</v>
      </c>
      <c r="B43" s="2570" t="str">
        <f t="shared" si="0"/>
        <v xml:space="preserve">  公共配套设施费用</v>
      </c>
      <c r="C43" s="2501">
        <f t="shared" ca="1" si="0"/>
        <v>0</v>
      </c>
      <c r="D43" s="2496"/>
      <c r="E43" s="2496"/>
      <c r="F43" s="2497"/>
      <c r="G43" s="3984"/>
    </row>
    <row r="44" spans="1:7" ht="15.75">
      <c r="A44" s="2566" t="s">
        <v>3278</v>
      </c>
      <c r="B44" s="2570" t="str">
        <f>B18</f>
        <v>红线内市政费用</v>
      </c>
      <c r="C44" s="2501">
        <f ca="1">C18</f>
        <v>0</v>
      </c>
      <c r="D44" s="2496"/>
      <c r="E44" s="2496"/>
      <c r="F44" s="2497"/>
      <c r="G44" s="3984"/>
    </row>
    <row r="45" spans="1:7" ht="15.75">
      <c r="A45" s="2581" t="s">
        <v>3297</v>
      </c>
      <c r="B45" s="2576" t="str">
        <f>B19</f>
        <v xml:space="preserve">  其他工程费</v>
      </c>
      <c r="C45" s="2506">
        <f ca="1">C19</f>
        <v>0</v>
      </c>
      <c r="D45" s="2629"/>
      <c r="E45" s="2629"/>
      <c r="F45" s="2509"/>
      <c r="G45" s="3985"/>
    </row>
    <row r="46" spans="1:7" ht="15.75">
      <c r="A46" s="2581" t="s">
        <v>3359</v>
      </c>
      <c r="B46" s="2576" t="s">
        <v>3298</v>
      </c>
      <c r="C46" s="2506">
        <f ca="1">C20</f>
        <v>0</v>
      </c>
      <c r="D46" s="2629"/>
      <c r="E46" s="2629"/>
      <c r="F46" s="2509"/>
      <c r="G46" s="3985"/>
    </row>
    <row r="47" spans="1:7" ht="15">
      <c r="A47" s="2631" t="s">
        <v>3447</v>
      </c>
      <c r="B47" s="2632" t="s">
        <v>3448</v>
      </c>
      <c r="C47" s="2633">
        <f ca="1">ROUND(C40*F47,0)</f>
        <v>0</v>
      </c>
      <c r="D47" s="2634"/>
      <c r="E47" s="2634"/>
      <c r="F47" s="2635">
        <f>F21</f>
        <v>0.02</v>
      </c>
      <c r="G47" s="2636" t="s">
        <v>3449</v>
      </c>
    </row>
    <row r="48" spans="1:7" ht="15">
      <c r="A48" s="2631" t="s">
        <v>3450</v>
      </c>
      <c r="B48" s="2632" t="s">
        <v>3451</v>
      </c>
      <c r="C48" s="2637" t="str">
        <f>F48&amp;"V建1"</f>
        <v>0.06V建1</v>
      </c>
      <c r="D48" s="2634"/>
      <c r="E48" s="2634"/>
      <c r="F48" s="2635">
        <f>F22</f>
        <v>0.06</v>
      </c>
      <c r="G48" s="4226" t="s">
        <v>3981</v>
      </c>
    </row>
    <row r="49" spans="1:7" ht="15">
      <c r="A49" s="2631" t="s">
        <v>3452</v>
      </c>
      <c r="B49" s="2638" t="s">
        <v>3358</v>
      </c>
      <c r="C49" s="2534" t="str">
        <f ca="1">C50&amp;"+"&amp;C51&amp;"V建1"</f>
        <v>0+0.0024V建1</v>
      </c>
      <c r="D49" s="296"/>
      <c r="E49" s="296"/>
      <c r="F49" s="2647">
        <f ca="1">F23</f>
        <v>3.1899999999999998E-2</v>
      </c>
      <c r="G49" s="3986" t="str">
        <f>IF('数据-取费表'!B22&lt;=1,"单利计息","复利计息")</f>
        <v>复利计息</v>
      </c>
    </row>
    <row r="50" spans="1:7">
      <c r="A50" s="2566" t="s">
        <v>3295</v>
      </c>
      <c r="B50" s="2569" t="s">
        <v>3362</v>
      </c>
      <c r="C50" s="2650">
        <f ca="1">ROUND(IF('数据-取费表'!B22&lt;=1,(C40+C47)*F49*'数据-取费表'!B22/2,(C40+C47)*(POWER((1+F49),'数据-取费表'!B22/2)-1)),0)</f>
        <v>0</v>
      </c>
      <c r="D50" s="1011"/>
      <c r="E50" s="1011"/>
      <c r="F50" s="994"/>
      <c r="G50" s="4522" t="str">
        <f ca="1">IF(F10=100%,"建设期均匀投入","已建工期均匀投入")</f>
        <v>已建工期均匀投入</v>
      </c>
    </row>
    <row r="51" spans="1:7">
      <c r="A51" s="2566" t="s">
        <v>3296</v>
      </c>
      <c r="B51" s="2570" t="s">
        <v>3301</v>
      </c>
      <c r="C51" s="2651">
        <f ca="1">ROUND(IF('数据-取费表'!B22&lt;=1,F48*F23*'数据-取费表'!B22/2,F48*(POWER((1+F23),'数据-取费表'!B22/2)-1)),4)</f>
        <v>2.3999999999999998E-3</v>
      </c>
      <c r="D51" s="1011"/>
      <c r="E51" s="1011"/>
      <c r="F51" s="994"/>
      <c r="G51" s="4523"/>
    </row>
    <row r="52" spans="1:7" ht="15">
      <c r="A52" s="2631" t="s">
        <v>3453</v>
      </c>
      <c r="B52" s="2640" t="s">
        <v>3302</v>
      </c>
      <c r="C52" s="2641" t="str">
        <f ca="1">C53&amp;"+"&amp;C54&amp;"V建1"</f>
        <v>0+0.0102V建1</v>
      </c>
      <c r="D52" s="2642"/>
      <c r="E52" s="2634"/>
      <c r="F52" s="2643">
        <f ca="1">F27</f>
        <v>0.17</v>
      </c>
      <c r="G52" s="2644" t="s">
        <v>3454</v>
      </c>
    </row>
    <row r="53" spans="1:7">
      <c r="A53" s="2566" t="s">
        <v>3299</v>
      </c>
      <c r="B53" s="2569" t="s">
        <v>3303</v>
      </c>
      <c r="C53" s="2501">
        <f ca="1">ROUND((C40+C47)*F27,0)</f>
        <v>0</v>
      </c>
      <c r="D53" s="2502"/>
      <c r="E53" s="2498"/>
      <c r="F53" s="2499"/>
      <c r="G53" s="2500"/>
    </row>
    <row r="54" spans="1:7">
      <c r="A54" s="2566" t="s">
        <v>3300</v>
      </c>
      <c r="B54" s="2569" t="s">
        <v>3304</v>
      </c>
      <c r="C54" s="2565">
        <f ca="1">ROUND(F48*F27,4)</f>
        <v>1.0200000000000001E-2</v>
      </c>
      <c r="D54" s="2502"/>
      <c r="E54" s="2498"/>
      <c r="F54" s="2499"/>
      <c r="G54" s="2500"/>
    </row>
    <row r="55" spans="1:7" ht="15">
      <c r="A55" s="2512" t="s">
        <v>3455</v>
      </c>
      <c r="B55" s="2649" t="s">
        <v>3456</v>
      </c>
      <c r="C55" s="3987">
        <v>0</v>
      </c>
      <c r="D55" s="2538"/>
      <c r="E55" s="296"/>
      <c r="F55" s="2639"/>
      <c r="G55" s="2646" t="s">
        <v>3307</v>
      </c>
    </row>
    <row r="56" spans="1:7" ht="16.5">
      <c r="A56" s="2512" t="s">
        <v>3460</v>
      </c>
      <c r="B56" s="2645" t="s">
        <v>3457</v>
      </c>
      <c r="C56" s="2534">
        <f ca="1">ROUND((C40+C47+C50+C53)/(1-F48-C51-C54),0)</f>
        <v>0</v>
      </c>
      <c r="D56" s="296"/>
      <c r="E56" s="296"/>
      <c r="F56" s="2647"/>
      <c r="G56" s="2646" t="s">
        <v>3308</v>
      </c>
    </row>
    <row r="57" spans="1:7" ht="15">
      <c r="A57" s="2512" t="s">
        <v>3424</v>
      </c>
      <c r="B57" s="2648" t="s">
        <v>3305</v>
      </c>
      <c r="C57" s="2534">
        <f ca="1">ROUND(C56*(1-F57),0)</f>
        <v>0</v>
      </c>
      <c r="D57" s="296"/>
      <c r="E57" s="296"/>
      <c r="F57" s="2647">
        <f>F31</f>
        <v>1</v>
      </c>
      <c r="G57" s="2646" t="s">
        <v>3309</v>
      </c>
    </row>
    <row r="58" spans="1:7" ht="16.5">
      <c r="A58" s="2512" t="s">
        <v>3458</v>
      </c>
      <c r="B58" s="2645" t="s">
        <v>3459</v>
      </c>
      <c r="C58" s="2534">
        <f ca="1">C56-C57</f>
        <v>0</v>
      </c>
      <c r="D58" s="296"/>
      <c r="E58" s="296"/>
      <c r="F58" s="2647"/>
      <c r="G58" s="2646" t="s">
        <v>3310</v>
      </c>
    </row>
    <row r="59" spans="1:7" ht="15.75" thickBot="1">
      <c r="A59" s="3988" t="s">
        <v>3361</v>
      </c>
      <c r="B59" s="3989" t="s">
        <v>3306</v>
      </c>
      <c r="C59" s="3990">
        <f ca="1">ROUND(C58*(1+F59),0)</f>
        <v>0</v>
      </c>
      <c r="D59" s="3991"/>
      <c r="E59" s="3991"/>
      <c r="F59" s="3992">
        <f>F33</f>
        <v>0.09</v>
      </c>
      <c r="G59" s="3993" t="s">
        <v>3982</v>
      </c>
    </row>
    <row r="60" spans="1:7" ht="14.25">
      <c r="A60" s="2494"/>
      <c r="B60" s="2495"/>
    </row>
    <row r="62" spans="1:7" ht="21" customHeight="1">
      <c r="B62" s="2564" t="s">
        <v>1498</v>
      </c>
      <c r="C62" s="166"/>
    </row>
    <row r="63" spans="1:7" ht="21" customHeight="1">
      <c r="B63" s="55" t="s">
        <v>787</v>
      </c>
      <c r="C63" s="4059">
        <f ca="1">1-C64</f>
        <v>1</v>
      </c>
    </row>
    <row r="64" spans="1:7" ht="21" customHeight="1">
      <c r="B64" s="55" t="s">
        <v>788</v>
      </c>
      <c r="C64" s="4060">
        <f ca="1">ROUND(C58/C32,3)</f>
        <v>0</v>
      </c>
      <c r="D64" s="164" t="s">
        <v>3363</v>
      </c>
    </row>
  </sheetData>
  <sheetProtection password="CEE9" sheet="1" objects="1" scenarios="1"/>
  <mergeCells count="1">
    <mergeCell ref="G50:G51"/>
  </mergeCells>
  <phoneticPr fontId="137"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9</v>
      </c>
      <c r="H1" s="3019" t="str">
        <f>IF(ISERROR(FIND("住宅",B1)),"非住宅","住宅")</f>
        <v>非住宅</v>
      </c>
    </row>
    <row r="2" spans="1:10" s="95" customFormat="1" ht="15.75">
      <c r="A2" s="96" t="s">
        <v>1431</v>
      </c>
      <c r="B2" s="3675">
        <f ca="1">ROUND(D3/10000,4)</f>
        <v>63269.256600000001</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7681</v>
      </c>
      <c r="C3" s="94" t="s">
        <v>1434</v>
      </c>
      <c r="D3" s="94">
        <f ca="1">IF(C1="含税",E2+C33,E2+C32)</f>
        <v>632692566</v>
      </c>
      <c r="E3" s="2510"/>
      <c r="F3" s="94"/>
      <c r="G3" s="94"/>
    </row>
    <row r="4" spans="1:10" s="95" customFormat="1" ht="16.5" thickBot="1">
      <c r="A4" s="2567" t="s">
        <v>3319</v>
      </c>
      <c r="B4" s="2568" t="s">
        <v>3320</v>
      </c>
      <c r="C4" s="2507" t="s">
        <v>3941</v>
      </c>
      <c r="D4" s="2543" t="s">
        <v>3325</v>
      </c>
      <c r="E4" s="2544" t="s">
        <v>3326</v>
      </c>
      <c r="F4" s="2544" t="s">
        <v>3327</v>
      </c>
      <c r="G4" s="2508" t="s">
        <v>3321</v>
      </c>
    </row>
    <row r="5" spans="1:10" s="103" customFormat="1" ht="15.75">
      <c r="A5" s="2545" t="s">
        <v>3318</v>
      </c>
      <c r="B5" s="2546" t="s">
        <v>3322</v>
      </c>
      <c r="C5" s="2520">
        <f ca="1">ROUND((C6+C9+C21+C24+C25+C28)/(1-F22-C26-C29),0)</f>
        <v>632692566</v>
      </c>
      <c r="D5" s="2547"/>
      <c r="E5" s="2547"/>
      <c r="F5" s="2547"/>
      <c r="G5" s="2699" t="s">
        <v>3461</v>
      </c>
      <c r="J5" s="95"/>
    </row>
    <row r="6" spans="1:10" s="2533" customFormat="1" ht="15">
      <c r="A6" s="2512" t="s">
        <v>3328</v>
      </c>
      <c r="B6" s="2571" t="s">
        <v>3329</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3277</v>
      </c>
      <c r="C9" s="2534">
        <f ca="1">C10+C11+C12+C13+C19+C20</f>
        <v>492942474</v>
      </c>
      <c r="D9" s="2555"/>
      <c r="E9" s="2556"/>
      <c r="F9" s="2557"/>
      <c r="G9" s="2558"/>
      <c r="J9" s="95"/>
    </row>
    <row r="10" spans="1:10" s="109" customFormat="1" ht="15">
      <c r="A10" s="2574" t="s">
        <v>344</v>
      </c>
      <c r="B10" s="2575" t="s">
        <v>3312</v>
      </c>
      <c r="C10" s="2521">
        <f ca="1">ROUND(IF(B1="",SUMPRODUCT('数据-取费表'!K6:K14,'数据-取费表'!L6:L14),INDIRECT("'数据-取费表'!l"&amp;$G$1)*INDIRECT("'数据-取费表'!k"&amp;$G$1)+'数据-取费表'!L14*INDIRECT("'数据-取费表'!S"&amp;$G$1)),0)</f>
        <v>453779190</v>
      </c>
      <c r="D10" s="2551"/>
      <c r="E10" s="144"/>
      <c r="F10" s="2559">
        <f ca="1">IF('数据-取费表'!B24=0,1,IF(B1="",'数据-取费表'!N16,INDIRECT("'数据-取费表'!n"&amp;$G$1)))</f>
        <v>0</v>
      </c>
      <c r="G10" s="156" t="s">
        <v>1467</v>
      </c>
      <c r="J10" s="95"/>
    </row>
    <row r="11" spans="1:10" s="109" customFormat="1" ht="15">
      <c r="A11" s="2574" t="s">
        <v>349</v>
      </c>
      <c r="B11" s="2575" t="s">
        <v>3313</v>
      </c>
      <c r="C11" s="2521">
        <f ca="1">ROUND(C10*F11,0)</f>
        <v>9075584</v>
      </c>
      <c r="D11" s="144"/>
      <c r="E11" s="144"/>
      <c r="F11" s="2532">
        <f>'数据-取费表'!B33</f>
        <v>0.02</v>
      </c>
      <c r="G11" s="156" t="s">
        <v>1469</v>
      </c>
      <c r="J11" s="95"/>
    </row>
    <row r="12" spans="1:10" s="109" customFormat="1" ht="15">
      <c r="A12" s="2574" t="s">
        <v>350</v>
      </c>
      <c r="B12" s="2575" t="s">
        <v>3314</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0.15</v>
      </c>
      <c r="G12" s="3911" t="s">
        <v>3984</v>
      </c>
      <c r="J12" s="95"/>
    </row>
    <row r="13" spans="1:10" s="109" customFormat="1" ht="15">
      <c r="A13" s="2574" t="s">
        <v>3278</v>
      </c>
      <c r="B13" s="2575" t="s">
        <v>3315</v>
      </c>
      <c r="C13" s="2521">
        <f ca="1">C14+C17+C18</f>
        <v>16474324</v>
      </c>
      <c r="D13" s="144"/>
      <c r="E13" s="2552"/>
      <c r="F13" s="2553"/>
      <c r="G13" s="156"/>
      <c r="J13" s="95"/>
    </row>
    <row r="14" spans="1:10" s="118" customFormat="1" ht="15">
      <c r="A14" s="2505" t="s">
        <v>3279</v>
      </c>
      <c r="B14" s="2576" t="s">
        <v>3311</v>
      </c>
      <c r="C14" s="2521">
        <f>IF(G14="已包含在土地购买价格中","0",IF(B1="",'数据-取费表'!B29,IF(G15="全部缴纳",C15+C16,H15)))</f>
        <v>0</v>
      </c>
      <c r="D14" s="2560"/>
      <c r="E14" s="144"/>
      <c r="F14" s="2553"/>
      <c r="G14" s="1338"/>
      <c r="J14" s="95"/>
    </row>
    <row r="15" spans="1:10" s="109" customFormat="1" ht="15">
      <c r="A15" s="2577" t="s">
        <v>353</v>
      </c>
      <c r="B15" s="2578" t="s">
        <v>1447</v>
      </c>
      <c r="C15" s="2561">
        <f ca="1">ROUND(D15*E15,0)</f>
        <v>9354486</v>
      </c>
      <c r="D15" s="2561">
        <f ca="1">IF(B1="",'数据-汇总表'!E5,IF(INDIRECT("'数据-取费表'!c"&amp;$G$1)="住宅",INDIRECT("'数据-取费表'!k"&amp;$G$1),0))</f>
        <v>58465.54</v>
      </c>
      <c r="E15" s="2561">
        <f>'数据-取费表'!B27</f>
        <v>160</v>
      </c>
      <c r="F15" s="2553"/>
      <c r="G15" s="1339"/>
      <c r="H15" s="762"/>
      <c r="I15" s="1340" t="s">
        <v>1448</v>
      </c>
      <c r="J15" s="95"/>
    </row>
    <row r="16" spans="1:10" s="109" customFormat="1" ht="15">
      <c r="A16" s="2577" t="s">
        <v>354</v>
      </c>
      <c r="B16" s="2578" t="s">
        <v>1449</v>
      </c>
      <c r="C16" s="2561">
        <f ca="1">ROUND(D16*E16,0)</f>
        <v>4781216</v>
      </c>
      <c r="D16" s="2561">
        <f ca="1">IF(B1="",'数据-汇总表'!E6,IF(INDIRECT("'数据-取费表'!c"&amp;$G$1)="住宅",INDIRECT("'数据-取费表'!s"&amp;$G$1),INDIRECT("'数据-取费表'!k"&amp;$G$1)+INDIRECT("'数据-取费表'!s"&amp;$G$1)))</f>
        <v>23906.079999999994</v>
      </c>
      <c r="E16" s="2561">
        <f>'数据-取费表'!B28</f>
        <v>200</v>
      </c>
      <c r="F16" s="2553"/>
      <c r="G16" s="121"/>
      <c r="J16" s="95"/>
    </row>
    <row r="17" spans="1:10" s="109" customFormat="1" ht="15">
      <c r="A17" s="2505" t="s">
        <v>3280</v>
      </c>
      <c r="B17" s="2579" t="s">
        <v>3285</v>
      </c>
      <c r="C17" s="2521">
        <f ca="1">IF(G17="已包含在土地取得成本中","0",ROUND(D17*E17,0))</f>
        <v>16474324</v>
      </c>
      <c r="D17" s="2562">
        <f ca="1">D15+D16</f>
        <v>82371.62</v>
      </c>
      <c r="E17" s="2562">
        <f>'数据-取费表'!B31</f>
        <v>200</v>
      </c>
      <c r="F17" s="2529"/>
      <c r="G17" s="1338"/>
      <c r="J17" s="95"/>
    </row>
    <row r="18" spans="1:10" s="109" customFormat="1" ht="15">
      <c r="A18" s="2580" t="s">
        <v>3281</v>
      </c>
      <c r="B18" s="2579" t="s">
        <v>1472</v>
      </c>
      <c r="C18" s="2521">
        <f ca="1">ROUND(E18*D18*F10,0)</f>
        <v>0</v>
      </c>
      <c r="D18" s="2521">
        <f ca="1">D17</f>
        <v>82371.62</v>
      </c>
      <c r="E18" s="2521">
        <f>'数据-取费表'!B35</f>
        <v>360</v>
      </c>
      <c r="F18" s="2532"/>
      <c r="G18" s="156" t="str">
        <f ca="1">IF(F10=100%,"","按工程进度计取")</f>
        <v>按工程进度计取</v>
      </c>
      <c r="J18" s="95"/>
    </row>
    <row r="19" spans="1:10" s="109" customFormat="1" ht="15">
      <c r="A19" s="2574" t="s">
        <v>352</v>
      </c>
      <c r="B19" s="2575" t="s">
        <v>3316</v>
      </c>
      <c r="C19" s="2521">
        <f ca="1">ROUND(C10*F19,0)</f>
        <v>6806688</v>
      </c>
      <c r="D19" s="144"/>
      <c r="E19" s="144"/>
      <c r="F19" s="2532">
        <f>'数据-取费表'!B36</f>
        <v>1.4999999999999999E-2</v>
      </c>
      <c r="G19" s="156" t="s">
        <v>1469</v>
      </c>
      <c r="J19" s="95"/>
    </row>
    <row r="20" spans="1:10" s="109" customFormat="1" ht="15">
      <c r="A20" s="2574" t="s">
        <v>3282</v>
      </c>
      <c r="B20" s="2575" t="s">
        <v>3317</v>
      </c>
      <c r="C20" s="2521">
        <f ca="1">ROUND(C10*F20,0)</f>
        <v>6806688</v>
      </c>
      <c r="D20" s="2563"/>
      <c r="E20" s="140"/>
      <c r="F20" s="2532">
        <f>'数据-取费表'!B37</f>
        <v>1.4999999999999999E-2</v>
      </c>
      <c r="G20" s="156" t="s">
        <v>1469</v>
      </c>
      <c r="J20" s="95"/>
    </row>
    <row r="21" spans="1:10" s="2533" customFormat="1" ht="15">
      <c r="A21" s="2512" t="s">
        <v>3330</v>
      </c>
      <c r="B21" s="2571" t="s">
        <v>3331</v>
      </c>
      <c r="C21" s="2534">
        <f ca="1">ROUND((C6+C9)*F21,0)</f>
        <v>9858849</v>
      </c>
      <c r="D21" s="2535"/>
      <c r="E21" s="2535"/>
      <c r="F21" s="2539">
        <f>'数据-取费表'!B38</f>
        <v>0.02</v>
      </c>
      <c r="G21" s="2536" t="s">
        <v>3332</v>
      </c>
      <c r="J21" s="95"/>
    </row>
    <row r="22" spans="1:10" s="2533" customFormat="1" ht="15">
      <c r="A22" s="2512" t="s">
        <v>3333</v>
      </c>
      <c r="B22" s="2571" t="s">
        <v>3334</v>
      </c>
      <c r="C22" s="2537" t="str">
        <f>F22&amp;"V"</f>
        <v>0.06V</v>
      </c>
      <c r="D22" s="296"/>
      <c r="E22" s="2535"/>
      <c r="F22" s="2539">
        <f>'数据-取费表'!B39</f>
        <v>0.06</v>
      </c>
      <c r="G22" s="3531" t="s">
        <v>3977</v>
      </c>
      <c r="J22" s="95"/>
    </row>
    <row r="23" spans="1:10" s="2533" customFormat="1" ht="15">
      <c r="A23" s="2512" t="s">
        <v>3335</v>
      </c>
      <c r="B23" s="2573" t="s">
        <v>3286</v>
      </c>
      <c r="C23" s="2513" t="str">
        <f ca="1">SUM(C24:C25)&amp;"+"&amp;C26&amp;"V"</f>
        <v>0+0V</v>
      </c>
      <c r="D23" s="2538"/>
      <c r="E23" s="296"/>
      <c r="F23" s="2539">
        <f ca="1">'数据-取费表'!B41</f>
        <v>3.1899999999999998E-2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3978</v>
      </c>
      <c r="J24" s="95"/>
    </row>
    <row r="25" spans="1:10" s="109" customFormat="1" ht="15">
      <c r="A25" s="2581" t="s">
        <v>345</v>
      </c>
      <c r="B25" s="2579" t="s">
        <v>3287</v>
      </c>
      <c r="C25" s="2527">
        <f ca="1">ROUND(IF('数据-取费表'!B22&lt;=1,(C9+C21)*F23*'数据-取费表'!B23/2,(C9+C21)*(POWER((1+F23),'数据-取费表'!B23/2)-1)),0)</f>
        <v>0</v>
      </c>
      <c r="D25" s="133"/>
      <c r="E25" s="133"/>
      <c r="F25" s="2528"/>
      <c r="G25" s="3911" t="s">
        <v>3979</v>
      </c>
      <c r="J25" s="95"/>
    </row>
    <row r="26" spans="1:10" s="109" customFormat="1" ht="15">
      <c r="A26" s="2581" t="s">
        <v>348</v>
      </c>
      <c r="B26" s="2579" t="s">
        <v>1454</v>
      </c>
      <c r="C26" s="2524">
        <f ca="1">ROUND(IF('数据-取费表'!B22&lt;=1,F22*F23*'数据-取费表'!B23/2,F22*(POWER((1+F23),'数据-取费表'!B23/2)-1)),4)</f>
        <v>0</v>
      </c>
      <c r="D26" s="133"/>
      <c r="E26" s="136"/>
      <c r="F26" s="2528"/>
      <c r="G26" s="4225" t="s">
        <v>3980</v>
      </c>
      <c r="J26" s="95"/>
    </row>
    <row r="27" spans="1:10" s="2533" customFormat="1" ht="15">
      <c r="A27" s="2512" t="s">
        <v>3336</v>
      </c>
      <c r="B27" s="2573" t="s">
        <v>3288</v>
      </c>
      <c r="C27" s="2540" t="str">
        <f ca="1">C28&amp;"+"&amp;C29&amp;"V"</f>
        <v>85476225+0.0102V</v>
      </c>
      <c r="D27" s="2538"/>
      <c r="E27" s="296"/>
      <c r="F27" s="2541">
        <f ca="1">IF(B1="",'数据-取费表'!Q16,INDIRECT("'数据-取费表'!q"&amp;$G$1))</f>
        <v>0.17</v>
      </c>
      <c r="G27" s="2536" t="s">
        <v>3986</v>
      </c>
      <c r="J27" s="95"/>
    </row>
    <row r="28" spans="1:10" s="109" customFormat="1" ht="15">
      <c r="A28" s="2574" t="s">
        <v>344</v>
      </c>
      <c r="B28" s="2579" t="s">
        <v>1459</v>
      </c>
      <c r="C28" s="2506">
        <f ca="1">ROUND(C6*F27*'数据-取费表'!B23/'数据-取费表'!B22+(C9+C21)*F27,0)</f>
        <v>85476225</v>
      </c>
      <c r="D28" s="130"/>
      <c r="E28" s="131"/>
      <c r="F28" s="2529"/>
      <c r="G28" s="142" t="str">
        <f ca="1">IF(F10=100%,"","其中：土地取得成本产生的利润按已建工期计算")</f>
        <v>其中：土地取得成本产生的利润按已建工期计算</v>
      </c>
      <c r="J28" s="95"/>
    </row>
    <row r="29" spans="1:10" s="109" customFormat="1" ht="15">
      <c r="A29" s="2574" t="s">
        <v>345</v>
      </c>
      <c r="B29" s="2579" t="s">
        <v>1460</v>
      </c>
      <c r="C29" s="2524">
        <f ca="1">ROUND(F22*F27,4)</f>
        <v>1.0200000000000001E-2</v>
      </c>
      <c r="D29" s="130"/>
      <c r="E29" s="131"/>
      <c r="F29" s="2529"/>
      <c r="G29" s="142"/>
      <c r="J29" s="95"/>
    </row>
    <row r="30" spans="1:10" s="2533" customFormat="1" ht="15">
      <c r="A30" s="2512" t="s">
        <v>3337</v>
      </c>
      <c r="B30" s="2571" t="s">
        <v>3338</v>
      </c>
      <c r="C30" s="2534">
        <v>0</v>
      </c>
      <c r="D30" s="296"/>
      <c r="E30" s="2514"/>
      <c r="F30" s="2539"/>
      <c r="G30" s="2542" t="s">
        <v>3289</v>
      </c>
      <c r="J30" s="95"/>
    </row>
    <row r="31" spans="1:10" s="109" customFormat="1" ht="15.75">
      <c r="A31" s="2582">
        <v>2</v>
      </c>
      <c r="B31" s="2583" t="s">
        <v>3290</v>
      </c>
      <c r="C31" s="2525">
        <f ca="1">C57</f>
        <v>0</v>
      </c>
      <c r="D31" s="2516"/>
      <c r="E31" s="2516"/>
      <c r="F31" s="2530">
        <f>IF('数据-取费表'!B24=0,'数据-取费表'!N16,1)</f>
        <v>1</v>
      </c>
      <c r="G31" s="2517" t="s">
        <v>3798</v>
      </c>
      <c r="J31" s="95"/>
    </row>
    <row r="32" spans="1:10" s="109" customFormat="1" ht="15.75">
      <c r="A32" s="2504" t="s">
        <v>3291</v>
      </c>
      <c r="B32" s="2503" t="s">
        <v>3292</v>
      </c>
      <c r="C32" s="2525">
        <f ca="1">C5-C31</f>
        <v>632692566</v>
      </c>
      <c r="D32" s="2516"/>
      <c r="E32" s="2516"/>
      <c r="F32" s="2515"/>
      <c r="G32" s="2518" t="s">
        <v>3323</v>
      </c>
      <c r="J32" s="95"/>
    </row>
    <row r="33" spans="1:10" s="109" customFormat="1" ht="16.5" thickBot="1">
      <c r="A33" s="2584">
        <v>4</v>
      </c>
      <c r="B33" s="2585" t="s">
        <v>3324</v>
      </c>
      <c r="C33" s="2526">
        <f ca="1">ROUND(C32*(1+F33),0)</f>
        <v>689634897</v>
      </c>
      <c r="D33" s="2519"/>
      <c r="E33" s="2519"/>
      <c r="F33" s="2531">
        <f>IF(G33="其他类型公式—成本价值×（1+9%）",9%,3%)</f>
        <v>0.09</v>
      </c>
      <c r="G33" s="3532" t="s">
        <v>3674</v>
      </c>
      <c r="J33" s="95"/>
    </row>
    <row r="34" spans="1:10" s="118" customFormat="1" ht="15">
      <c r="J34" s="95"/>
    </row>
    <row r="35" spans="1:10" s="109" customFormat="1"/>
    <row r="36" spans="1:10" s="109" customFormat="1"/>
    <row r="37" spans="1:10" s="109" customFormat="1"/>
    <row r="38" spans="1:10" ht="15.75" thickBot="1">
      <c r="A38" s="2770" t="s">
        <v>3293</v>
      </c>
      <c r="B38" s="2771"/>
      <c r="C38" s="2771"/>
      <c r="D38" s="2771"/>
      <c r="E38" s="2771"/>
      <c r="F38" s="2771"/>
      <c r="G38" s="2772"/>
    </row>
    <row r="39" spans="1:10" ht="15.75" thickBot="1">
      <c r="A39" s="4110" t="s">
        <v>3319</v>
      </c>
      <c r="B39" s="2773" t="s">
        <v>3320</v>
      </c>
      <c r="C39" s="2775" t="s">
        <v>3941</v>
      </c>
      <c r="D39" s="2776" t="s">
        <v>3443</v>
      </c>
      <c r="E39" s="2777" t="s">
        <v>3444</v>
      </c>
      <c r="F39" s="2777" t="s">
        <v>3445</v>
      </c>
      <c r="G39" s="2778" t="s">
        <v>3321</v>
      </c>
    </row>
    <row r="40" spans="1:10" ht="15">
      <c r="A40" s="2632" t="s">
        <v>3446</v>
      </c>
      <c r="B40" s="4115" t="s">
        <v>3294</v>
      </c>
      <c r="C40" s="2781">
        <f ca="1">SUM(C41:C46)</f>
        <v>476468150</v>
      </c>
      <c r="D40" s="2779"/>
      <c r="E40" s="2779"/>
      <c r="F40" s="2779"/>
      <c r="G40" s="3983"/>
    </row>
    <row r="41" spans="1:10" ht="15.75">
      <c r="A41" s="4111" t="s">
        <v>3295</v>
      </c>
      <c r="B41" s="4116" t="str">
        <f t="shared" ref="B41:C43" si="0">B10</f>
        <v xml:space="preserve">  建安费用</v>
      </c>
      <c r="C41" s="2501">
        <f t="shared" ca="1" si="0"/>
        <v>453779190</v>
      </c>
      <c r="D41" s="2496"/>
      <c r="E41" s="2496"/>
      <c r="F41" s="2497"/>
      <c r="G41" s="3984"/>
    </row>
    <row r="42" spans="1:10" ht="15.75">
      <c r="A42" s="4111" t="s">
        <v>3296</v>
      </c>
      <c r="B42" s="4116" t="str">
        <f t="shared" si="0"/>
        <v xml:space="preserve">  前期费用</v>
      </c>
      <c r="C42" s="2501">
        <f t="shared" ca="1" si="0"/>
        <v>9075584</v>
      </c>
      <c r="D42" s="2496"/>
      <c r="E42" s="2496"/>
      <c r="F42" s="2497"/>
      <c r="G42" s="3984"/>
    </row>
    <row r="43" spans="1:10" ht="15.75">
      <c r="A43" s="4111" t="s">
        <v>3360</v>
      </c>
      <c r="B43" s="4117" t="str">
        <f t="shared" si="0"/>
        <v xml:space="preserve">  公共配套设施费用</v>
      </c>
      <c r="C43" s="2501">
        <f t="shared" ca="1" si="0"/>
        <v>0</v>
      </c>
      <c r="D43" s="2496"/>
      <c r="E43" s="2496"/>
      <c r="F43" s="2497"/>
      <c r="G43" s="3984"/>
    </row>
    <row r="44" spans="1:10" ht="15.75">
      <c r="A44" s="4111" t="s">
        <v>3278</v>
      </c>
      <c r="B44" s="4117" t="str">
        <f>B18</f>
        <v>红线内市政费用</v>
      </c>
      <c r="C44" s="2501">
        <f ca="1">C18</f>
        <v>0</v>
      </c>
      <c r="D44" s="2496"/>
      <c r="E44" s="2496"/>
      <c r="F44" s="2497"/>
      <c r="G44" s="3984"/>
    </row>
    <row r="45" spans="1:10" ht="15.75">
      <c r="A45" s="4112" t="s">
        <v>3297</v>
      </c>
      <c r="B45" s="4118" t="str">
        <f>B19</f>
        <v xml:space="preserve">  其他工程费</v>
      </c>
      <c r="C45" s="2506">
        <f ca="1">C19</f>
        <v>6806688</v>
      </c>
      <c r="D45" s="2629"/>
      <c r="E45" s="2629"/>
      <c r="F45" s="2509"/>
      <c r="G45" s="3985"/>
    </row>
    <row r="46" spans="1:10" ht="15.75">
      <c r="A46" s="4112" t="s">
        <v>3359</v>
      </c>
      <c r="B46" s="4118" t="s">
        <v>3298</v>
      </c>
      <c r="C46" s="2506">
        <f ca="1">C20</f>
        <v>6806688</v>
      </c>
      <c r="D46" s="2629"/>
      <c r="E46" s="2629"/>
      <c r="F46" s="2509"/>
      <c r="G46" s="3985"/>
    </row>
    <row r="47" spans="1:10" ht="15">
      <c r="A47" s="4113" t="s">
        <v>3447</v>
      </c>
      <c r="B47" s="4113" t="s">
        <v>3448</v>
      </c>
      <c r="C47" s="2633">
        <f ca="1">ROUND(C40*F47,0)</f>
        <v>9529363</v>
      </c>
      <c r="D47" s="2634"/>
      <c r="E47" s="2634"/>
      <c r="F47" s="2635">
        <f>F21</f>
        <v>0.02</v>
      </c>
      <c r="G47" s="2636" t="s">
        <v>3449</v>
      </c>
    </row>
    <row r="48" spans="1:10" ht="15">
      <c r="A48" s="4113" t="s">
        <v>3450</v>
      </c>
      <c r="B48" s="4113" t="s">
        <v>3451</v>
      </c>
      <c r="C48" s="2637" t="str">
        <f>F48&amp;"V建1"</f>
        <v>0.06V建1</v>
      </c>
      <c r="D48" s="2634"/>
      <c r="E48" s="2634"/>
      <c r="F48" s="2635">
        <f>F22</f>
        <v>0.06</v>
      </c>
      <c r="G48" s="4226" t="s">
        <v>3981</v>
      </c>
    </row>
    <row r="49" spans="1:7" ht="15">
      <c r="A49" s="4113" t="s">
        <v>3452</v>
      </c>
      <c r="B49" s="4119" t="s">
        <v>3358</v>
      </c>
      <c r="C49" s="2534" t="str">
        <f ca="1">C50&amp;"+"&amp;C51&amp;"V建1"</f>
        <v>19455817+0.0024V建1</v>
      </c>
      <c r="D49" s="296"/>
      <c r="E49" s="296"/>
      <c r="F49" s="2639">
        <f ca="1">F23</f>
        <v>3.1899999999999998E-2</v>
      </c>
      <c r="G49" s="3986" t="str">
        <f>IF('数据-取费表'!B22&lt;=1,"单利计息","复利计息")</f>
        <v>复利计息</v>
      </c>
    </row>
    <row r="50" spans="1:7">
      <c r="A50" s="4111" t="s">
        <v>3295</v>
      </c>
      <c r="B50" s="4120" t="s">
        <v>3362</v>
      </c>
      <c r="C50" s="2650">
        <f ca="1">ROUND(IF('数据-取费表'!B22&lt;=1,(C40+C47)*F49*'数据-取费表'!B22/2,(C40+C47)*(POWER((1+F49),'数据-取费表'!B22/2)-1)),0)</f>
        <v>19455817</v>
      </c>
      <c r="D50" s="1011"/>
      <c r="E50" s="1011"/>
      <c r="F50" s="994"/>
      <c r="G50" s="4522" t="str">
        <f ca="1">IF(F10=100%,"建设期均匀投入","已建工期均匀投入")</f>
        <v>已建工期均匀投入</v>
      </c>
    </row>
    <row r="51" spans="1:7">
      <c r="A51" s="4111" t="s">
        <v>3296</v>
      </c>
      <c r="B51" s="4117" t="s">
        <v>3301</v>
      </c>
      <c r="C51" s="2651">
        <f ca="1">ROUND(IF('数据-取费表'!B22&lt;=1,F48*F23*'数据-取费表'!B22/2,F48*(POWER((1+F23),'数据-取费表'!B22/2)-1)),4)</f>
        <v>2.3999999999999998E-3</v>
      </c>
      <c r="D51" s="1011"/>
      <c r="E51" s="1011"/>
      <c r="F51" s="994"/>
      <c r="G51" s="4523"/>
    </row>
    <row r="52" spans="1:7" ht="15">
      <c r="A52" s="4113" t="s">
        <v>3453</v>
      </c>
      <c r="B52" s="2770" t="s">
        <v>3302</v>
      </c>
      <c r="C52" s="2641" t="str">
        <f ca="1">C53&amp;"+"&amp;C54&amp;"V建1"</f>
        <v>82619577+0.0102V建1</v>
      </c>
      <c r="D52" s="2642"/>
      <c r="E52" s="2634"/>
      <c r="F52" s="2643">
        <f ca="1">F27</f>
        <v>0.17</v>
      </c>
      <c r="G52" s="2644" t="s">
        <v>3454</v>
      </c>
    </row>
    <row r="53" spans="1:7">
      <c r="A53" s="4111" t="s">
        <v>3295</v>
      </c>
      <c r="B53" s="4120" t="s">
        <v>3303</v>
      </c>
      <c r="C53" s="2501">
        <f ca="1">ROUND((C40+C47)*F27,0)</f>
        <v>82619577</v>
      </c>
      <c r="D53" s="2502"/>
      <c r="E53" s="2498"/>
      <c r="F53" s="2499"/>
      <c r="G53" s="2500"/>
    </row>
    <row r="54" spans="1:7">
      <c r="A54" s="4111" t="s">
        <v>3296</v>
      </c>
      <c r="B54" s="4120" t="s">
        <v>3304</v>
      </c>
      <c r="C54" s="2565">
        <f ca="1">ROUND(F48*F27,4)</f>
        <v>1.0200000000000001E-2</v>
      </c>
      <c r="D54" s="2502"/>
      <c r="E54" s="2498"/>
      <c r="F54" s="2499"/>
      <c r="G54" s="2500"/>
    </row>
    <row r="55" spans="1:7" ht="15">
      <c r="A55" s="4114" t="s">
        <v>3455</v>
      </c>
      <c r="B55" s="2512" t="s">
        <v>3456</v>
      </c>
      <c r="C55" s="3987">
        <v>0</v>
      </c>
      <c r="D55" s="2538"/>
      <c r="E55" s="296"/>
      <c r="F55" s="2639"/>
      <c r="G55" s="2646" t="s">
        <v>3307</v>
      </c>
    </row>
    <row r="56" spans="1:7" ht="16.5">
      <c r="A56" s="4114" t="s">
        <v>3460</v>
      </c>
      <c r="B56" s="4114" t="s">
        <v>3457</v>
      </c>
      <c r="C56" s="2534">
        <f ca="1">ROUND((C40+C47+C50+C53)/(1-F48-C51-C54),0)</f>
        <v>634109238</v>
      </c>
      <c r="D56" s="296"/>
      <c r="E56" s="296"/>
      <c r="F56" s="2647"/>
      <c r="G56" s="2646" t="s">
        <v>3308</v>
      </c>
    </row>
    <row r="57" spans="1:7" ht="15">
      <c r="A57" s="4114" t="s">
        <v>3424</v>
      </c>
      <c r="B57" s="4121" t="s">
        <v>3290</v>
      </c>
      <c r="C57" s="2534">
        <f ca="1">ROUND(C56*(1-F57),0)</f>
        <v>0</v>
      </c>
      <c r="D57" s="296"/>
      <c r="E57" s="296"/>
      <c r="F57" s="2647">
        <f>F31</f>
        <v>1</v>
      </c>
      <c r="G57" s="2646" t="s">
        <v>3309</v>
      </c>
    </row>
    <row r="58" spans="1:7" ht="16.5">
      <c r="A58" s="4114" t="s">
        <v>3458</v>
      </c>
      <c r="B58" s="4114" t="s">
        <v>3459</v>
      </c>
      <c r="C58" s="2534">
        <f ca="1">C56-C57</f>
        <v>634109238</v>
      </c>
      <c r="D58" s="296"/>
      <c r="E58" s="296"/>
      <c r="F58" s="2647"/>
      <c r="G58" s="2646" t="s">
        <v>3310</v>
      </c>
    </row>
    <row r="59" spans="1:7" ht="15.75" thickBot="1">
      <c r="A59" s="2645" t="s">
        <v>3361</v>
      </c>
      <c r="B59" s="4122" t="s">
        <v>3306</v>
      </c>
      <c r="C59" s="3990">
        <f ca="1">ROUND(C58*(1+F59),0)</f>
        <v>691179069</v>
      </c>
      <c r="D59" s="3991"/>
      <c r="E59" s="3991"/>
      <c r="F59" s="3992">
        <f>F33</f>
        <v>0.09</v>
      </c>
      <c r="G59" s="3993" t="s">
        <v>3982</v>
      </c>
    </row>
    <row r="60" spans="1:7" ht="14.25">
      <c r="A60" s="2494"/>
      <c r="B60" s="2495"/>
    </row>
    <row r="62" spans="1:7" ht="21" customHeight="1">
      <c r="B62" s="2564" t="s">
        <v>1498</v>
      </c>
      <c r="C62" s="166"/>
    </row>
    <row r="63" spans="1:7" ht="21" customHeight="1">
      <c r="B63" s="55" t="s">
        <v>787</v>
      </c>
      <c r="C63" s="4059">
        <f ca="1">1-C64</f>
        <v>-2.0000000000000018E-3</v>
      </c>
    </row>
    <row r="64" spans="1:7" ht="21" customHeight="1">
      <c r="B64" s="55" t="s">
        <v>788</v>
      </c>
      <c r="C64" s="4060">
        <f ca="1">ROUND(C58/C32,3)</f>
        <v>1.002</v>
      </c>
      <c r="D64" s="164" t="s">
        <v>3363</v>
      </c>
    </row>
  </sheetData>
  <sheetProtection password="CEE9" sheet="1" objects="1" scenarios="1"/>
  <mergeCells count="1">
    <mergeCell ref="G50:G51"/>
  </mergeCells>
  <phoneticPr fontId="137"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9</v>
      </c>
      <c r="H1" s="703" t="str">
        <f>IF(ISERROR(FIND("住宅",B1)),"非住宅","住宅")</f>
        <v>非住宅</v>
      </c>
    </row>
    <row r="2" spans="1:8" s="95" customFormat="1" ht="18" customHeight="1">
      <c r="A2" s="96" t="s">
        <v>1431</v>
      </c>
      <c r="B2" s="2470">
        <f ca="1">ROUND(IF(D2="——",C52/10000,C52/10000-E2),4)</f>
        <v>80555.890599999999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9780</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34766312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14135702</v>
      </c>
      <c r="D8" s="117"/>
      <c r="E8" s="115"/>
      <c r="F8" s="116"/>
      <c r="G8" s="1338"/>
    </row>
    <row r="9" spans="1:8" s="109" customFormat="1" ht="13.5" customHeight="1">
      <c r="A9" s="512" t="s">
        <v>353</v>
      </c>
      <c r="B9" s="119" t="s">
        <v>1447</v>
      </c>
      <c r="C9" s="120">
        <f ca="1">ROUND(D9*E9,0)</f>
        <v>9354486</v>
      </c>
      <c r="D9" s="538">
        <f ca="1">IF(B1="",'数据-汇总表'!E5,IF(INDIRECT("'数据-取费表'!c"&amp;$G$1)="住宅",INDIRECT("'数据-取费表'!k"&amp;$G$1),0))</f>
        <v>58465.54</v>
      </c>
      <c r="E9" s="120">
        <f>'数据-取费表'!B27</f>
        <v>160</v>
      </c>
      <c r="F9" s="116"/>
      <c r="G9" s="121"/>
    </row>
    <row r="10" spans="1:8" s="109" customFormat="1" ht="13.5" customHeight="1">
      <c r="A10" s="512" t="s">
        <v>354</v>
      </c>
      <c r="B10" s="119" t="s">
        <v>1449</v>
      </c>
      <c r="C10" s="120">
        <f ca="1">ROUND(D10*E10,0)</f>
        <v>4781216</v>
      </c>
      <c r="D10" s="538">
        <f ca="1">IF(B1="",'数据-汇总表'!E6,IF(INDIRECT("'数据-取费表'!c"&amp;$G$1)="住宅",INDIRECT("'数据-取费表'!s"&amp;$G$1),INDIRECT("'数据-取费表'!k"&amp;$G$1)+INDIRECT("'数据-取费表'!s"&amp;$G$1)))</f>
        <v>23906.079999999994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16474324</v>
      </c>
      <c r="D19" s="107">
        <f ca="1">D9+D10</f>
        <v>82371.62</v>
      </c>
      <c r="E19" s="106">
        <f>'数据-取费表'!B31</f>
        <v>200</v>
      </c>
      <c r="F19" s="126"/>
      <c r="G19" s="1338"/>
    </row>
    <row r="20" spans="1:7" s="109" customFormat="1" ht="13.5" customHeight="1">
      <c r="A20" s="150" t="s">
        <v>1510</v>
      </c>
      <c r="B20" s="105" t="s">
        <v>1511</v>
      </c>
      <c r="C20" s="127">
        <f ca="1">ROUND((C5+C19)*F20,0)</f>
        <v>1024813</v>
      </c>
      <c r="D20" s="127"/>
      <c r="E20" s="127"/>
      <c r="F20" s="128">
        <f>'数据-取费表'!B38</f>
        <v>0.02</v>
      </c>
      <c r="G20" s="129" t="s">
        <v>1512</v>
      </c>
    </row>
    <row r="21" spans="1:7" s="109" customFormat="1" ht="13.5" customHeight="1">
      <c r="A21" s="150" t="s">
        <v>1513</v>
      </c>
      <c r="B21" s="105" t="s">
        <v>1514</v>
      </c>
      <c r="C21" s="130">
        <f>F21</f>
        <v>0.06</v>
      </c>
      <c r="D21" s="131" t="s">
        <v>1515</v>
      </c>
      <c r="E21" s="127"/>
      <c r="F21" s="128">
        <f>'数据-取费表'!B39</f>
        <v>0.06</v>
      </c>
      <c r="G21" s="129" t="s">
        <v>1516</v>
      </c>
    </row>
    <row r="22" spans="1:7" s="109" customFormat="1" ht="13.5" customHeight="1">
      <c r="A22" s="150" t="s">
        <v>1517</v>
      </c>
      <c r="B22" s="105" t="s">
        <v>1518</v>
      </c>
      <c r="C22" s="127">
        <f ca="1">ROUND(SUM(C23:C25),0)</f>
        <v>4225752</v>
      </c>
      <c r="D22" s="130">
        <f ca="1">C26</f>
        <v>2.3999999999999998E-3</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2839299</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1345427</v>
      </c>
      <c r="D24" s="133"/>
      <c r="E24" s="133"/>
      <c r="F24" s="134"/>
      <c r="G24" s="135" t="s">
        <v>1522</v>
      </c>
    </row>
    <row r="25" spans="1:7" s="109" customFormat="1" ht="24">
      <c r="A25" s="513" t="s">
        <v>1445</v>
      </c>
      <c r="B25" s="110" t="s">
        <v>1523</v>
      </c>
      <c r="C25" s="133">
        <f ca="1">ROUND(IF('数据-取费表'!B22&lt;=1,C20*F22*'数据-取费表'!B22/2,C20*(POWER((1+F22),'数据-取费表'!B22/2)-1)),0)</f>
        <v>41026</v>
      </c>
      <c r="D25" s="133"/>
      <c r="E25" s="136"/>
      <c r="F25" s="134"/>
      <c r="G25" s="137" t="s">
        <v>1524</v>
      </c>
    </row>
    <row r="26" spans="1:7" s="109" customFormat="1">
      <c r="A26" s="513" t="s">
        <v>348</v>
      </c>
      <c r="B26" s="110" t="s">
        <v>1454</v>
      </c>
      <c r="C26" s="133">
        <f ca="1">ROUND(IF('数据-取费表'!B22&lt;=1,F21*F22*'数据-取费表'!B22/2,F21*(POWER((1+F22),'数据-取费表'!B22/2)-1)),4)</f>
        <v>2.3999999999999998E-3</v>
      </c>
      <c r="D26" s="133"/>
      <c r="E26" s="136"/>
      <c r="F26" s="134"/>
      <c r="G26" s="138"/>
    </row>
    <row r="27" spans="1:7" s="109" customFormat="1" ht="24.75">
      <c r="A27" s="150" t="s">
        <v>1455</v>
      </c>
      <c r="B27" s="139" t="s">
        <v>1456</v>
      </c>
      <c r="C27" s="140">
        <f ca="1">C28</f>
        <v>8885126</v>
      </c>
      <c r="D27" s="130">
        <f ca="1">C29</f>
        <v>1.0200000000000001E-2</v>
      </c>
      <c r="E27" s="131" t="s">
        <v>1457</v>
      </c>
      <c r="F27" s="141">
        <f ca="1">IF(B1="",'数据-取费表'!Q16,INDIRECT("'数据-取费表'!q"&amp;$G$1))</f>
        <v>0.17</v>
      </c>
      <c r="G27" s="142" t="s">
        <v>1458</v>
      </c>
    </row>
    <row r="28" spans="1:7" s="109" customFormat="1" ht="13.5" customHeight="1">
      <c r="A28" s="513" t="s">
        <v>344</v>
      </c>
      <c r="B28" s="143" t="s">
        <v>1459</v>
      </c>
      <c r="C28" s="144">
        <f ca="1">ROUND((C5+C19+C20)*F27,0)</f>
        <v>8885126</v>
      </c>
      <c r="D28" s="130"/>
      <c r="E28" s="131"/>
      <c r="F28" s="141"/>
      <c r="G28" s="142"/>
    </row>
    <row r="29" spans="1:7" s="109" customFormat="1" ht="13.5" customHeight="1">
      <c r="A29" s="513" t="s">
        <v>345</v>
      </c>
      <c r="B29" s="143" t="s">
        <v>1460</v>
      </c>
      <c r="C29" s="133">
        <f ca="1">ROUND(C21*F27,4)</f>
        <v>1.0200000000000001E-2</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70539844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551934231</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453779190</v>
      </c>
      <c r="D34" s="112"/>
      <c r="E34" s="115"/>
      <c r="F34" s="152"/>
      <c r="G34" s="114"/>
    </row>
    <row r="35" spans="1:7" ht="13.5" customHeight="1">
      <c r="A35" s="513" t="s">
        <v>349</v>
      </c>
      <c r="B35" s="110" t="s">
        <v>1468</v>
      </c>
      <c r="C35" s="115">
        <f ca="1">ROUND(C34*F35,0)</f>
        <v>9075584</v>
      </c>
      <c r="D35" s="115"/>
      <c r="E35" s="115"/>
      <c r="F35" s="154">
        <f>'数据-取费表'!B33</f>
        <v>0.02</v>
      </c>
      <c r="G35" s="114" t="s">
        <v>1469</v>
      </c>
    </row>
    <row r="36" spans="1:7" ht="24">
      <c r="A36" s="513" t="s">
        <v>350</v>
      </c>
      <c r="B36" s="110" t="s">
        <v>1470</v>
      </c>
      <c r="C36" s="115">
        <f ca="1">ROUND(IF(B1="",SUM('数据-取费表'!AP6:AP13)*F36,IF(INDIRECT("'数据-取费表'!c"&amp;$G$1)="住宅",INDIRECT("'数据-取费表'!k"&amp;$G$1)*INDIRECT("'数据-取费表'!l"&amp;$G$1)*F36,0)),0)</f>
        <v>52618986</v>
      </c>
      <c r="D36" s="115"/>
      <c r="E36" s="115"/>
      <c r="F36" s="154">
        <f>'数据-取费表'!B34</f>
        <v>0.15</v>
      </c>
      <c r="G36" s="155" t="s">
        <v>1471</v>
      </c>
    </row>
    <row r="37" spans="1:7" s="153" customFormat="1" ht="13.5" customHeight="1">
      <c r="A37" s="513" t="s">
        <v>351</v>
      </c>
      <c r="B37" s="110" t="s">
        <v>1472</v>
      </c>
      <c r="C37" s="144">
        <f ca="1">ROUND(E37*D37,0)</f>
        <v>29653783</v>
      </c>
      <c r="D37" s="112">
        <f ca="1">D19</f>
        <v>82371.62</v>
      </c>
      <c r="E37" s="144">
        <f>'数据-取费表'!B35</f>
        <v>360</v>
      </c>
      <c r="F37" s="154"/>
      <c r="G37" s="156"/>
    </row>
    <row r="38" spans="1:7" ht="13.5" customHeight="1">
      <c r="A38" s="513" t="s">
        <v>352</v>
      </c>
      <c r="B38" s="110" t="s">
        <v>1473</v>
      </c>
      <c r="C38" s="115">
        <f ca="1">ROUND(C34*F38,0)</f>
        <v>6806688</v>
      </c>
      <c r="D38" s="115"/>
      <c r="E38" s="115"/>
      <c r="F38" s="154">
        <f>'数据-取费表'!B36</f>
        <v>1.4999999999999999E-2</v>
      </c>
      <c r="G38" s="114" t="s">
        <v>1469</v>
      </c>
    </row>
    <row r="39" spans="1:7" s="109" customFormat="1" ht="13.5" customHeight="1">
      <c r="A39" s="150" t="s">
        <v>1474</v>
      </c>
      <c r="B39" s="105" t="s">
        <v>1475</v>
      </c>
      <c r="C39" s="127">
        <f ca="1">ROUND(C33*F20,0)</f>
        <v>11038685</v>
      </c>
      <c r="D39" s="127"/>
      <c r="E39" s="127"/>
      <c r="F39" s="128">
        <f>F20</f>
        <v>0.02</v>
      </c>
      <c r="G39" s="129" t="s">
        <v>1476</v>
      </c>
    </row>
    <row r="40" spans="1:7" s="109" customFormat="1" ht="13.5" customHeight="1">
      <c r="A40" s="150" t="s">
        <v>1477</v>
      </c>
      <c r="B40" s="105" t="s">
        <v>1478</v>
      </c>
      <c r="C40" s="130">
        <f>F21</f>
        <v>0.06</v>
      </c>
      <c r="D40" s="131" t="s">
        <v>1479</v>
      </c>
      <c r="E40" s="127"/>
      <c r="F40" s="128">
        <f>F21</f>
        <v>0.06</v>
      </c>
      <c r="G40" s="129" t="s">
        <v>1480</v>
      </c>
    </row>
    <row r="41" spans="1:7" s="109" customFormat="1" ht="13.5" customHeight="1">
      <c r="A41" s="150" t="s">
        <v>1481</v>
      </c>
      <c r="B41" s="105" t="s">
        <v>1482</v>
      </c>
      <c r="C41" s="127">
        <f ca="1">ROUND(SUM(C42:C43),0)</f>
        <v>22537355</v>
      </c>
      <c r="D41" s="130">
        <f ca="1">C44</f>
        <v>2.3999999999999998E-3</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22095446</v>
      </c>
      <c r="D42" s="133"/>
      <c r="E42" s="133"/>
      <c r="F42" s="134"/>
      <c r="G42" s="4522" t="s">
        <v>1527</v>
      </c>
    </row>
    <row r="43" spans="1:7" ht="13.5" customHeight="1">
      <c r="A43" s="513" t="s">
        <v>345</v>
      </c>
      <c r="B43" s="110" t="s">
        <v>1484</v>
      </c>
      <c r="C43" s="133">
        <f ca="1">ROUND(IF('数据-取费表'!B22&lt;=1,C39*F22*'数据-取费表'!B20/2,C39*(POWER((1+F22),'数据-取费表'!B20/2)-1)),0)</f>
        <v>441909</v>
      </c>
      <c r="D43" s="133"/>
      <c r="E43" s="133"/>
      <c r="F43" s="134"/>
      <c r="G43" s="4524"/>
    </row>
    <row r="44" spans="1:7" ht="13.5" customHeight="1">
      <c r="A44" s="513" t="s">
        <v>346</v>
      </c>
      <c r="B44" s="110" t="s">
        <v>1485</v>
      </c>
      <c r="C44" s="133">
        <f ca="1">ROUND(IF('数据-取费表'!B22&lt;=1,C40*F22*'数据-取费表'!B20/2,C40*(POWER((1+F22),'数据-取费表'!B20/2)-1)),4)</f>
        <v>2.3999999999999998E-3</v>
      </c>
      <c r="D44" s="133"/>
      <c r="E44" s="133"/>
      <c r="F44" s="134"/>
      <c r="G44" s="4523"/>
    </row>
    <row r="45" spans="1:7" s="109" customFormat="1" ht="13.5" customHeight="1">
      <c r="A45" s="150" t="s">
        <v>1486</v>
      </c>
      <c r="B45" s="139" t="s">
        <v>1456</v>
      </c>
      <c r="C45" s="140">
        <f ca="1">C46</f>
        <v>95705396</v>
      </c>
      <c r="D45" s="130">
        <f ca="1">C47</f>
        <v>1.0200000000000001E-2</v>
      </c>
      <c r="E45" s="131" t="s">
        <v>1479</v>
      </c>
      <c r="F45" s="141">
        <f ca="1">F27</f>
        <v>0.17</v>
      </c>
      <c r="G45" s="142" t="s">
        <v>1487</v>
      </c>
    </row>
    <row r="46" spans="1:7" s="109" customFormat="1" ht="13.5" customHeight="1">
      <c r="A46" s="513" t="s">
        <v>344</v>
      </c>
      <c r="B46" s="143" t="s">
        <v>1488</v>
      </c>
      <c r="C46" s="144">
        <f ca="1">ROUND((C33+C39)*F27,0)</f>
        <v>95705396</v>
      </c>
      <c r="D46" s="158"/>
      <c r="E46" s="131"/>
      <c r="F46" s="141"/>
      <c r="G46" s="142"/>
    </row>
    <row r="47" spans="1:7" s="109" customFormat="1" ht="13.5" customHeight="1">
      <c r="A47" s="513" t="s">
        <v>345</v>
      </c>
      <c r="B47" s="143" t="s">
        <v>1489</v>
      </c>
      <c r="C47" s="133">
        <f ca="1">ROUND(C40*F27,4)</f>
        <v>1.0200000000000001E-2</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735019062</v>
      </c>
      <c r="D49" s="127"/>
      <c r="E49" s="127"/>
      <c r="F49" s="159"/>
      <c r="G49" s="129" t="s">
        <v>1492</v>
      </c>
    </row>
    <row r="50" spans="1:7" s="153" customFormat="1">
      <c r="A50" s="150" t="s">
        <v>1493</v>
      </c>
      <c r="B50" s="105" t="s">
        <v>1494</v>
      </c>
      <c r="C50" s="127"/>
      <c r="D50" s="127"/>
      <c r="E50" s="127"/>
      <c r="F50" s="159">
        <f>IF('数据-取费表'!B24=0,'数据-取费表'!N16,1)</f>
        <v>1</v>
      </c>
      <c r="G50" s="142"/>
    </row>
    <row r="51" spans="1:7" ht="16.5" customHeight="1">
      <c r="A51" s="150" t="s">
        <v>1495</v>
      </c>
      <c r="B51" s="105" t="s">
        <v>1529</v>
      </c>
      <c r="C51" s="127">
        <f ca="1">ROUND(C49*F50,0)</f>
        <v>735019062</v>
      </c>
      <c r="D51" s="127"/>
      <c r="E51" s="127"/>
      <c r="F51" s="159"/>
      <c r="G51" s="129" t="s">
        <v>1496</v>
      </c>
    </row>
    <row r="52" spans="1:7" s="103" customFormat="1" ht="16.5" thickBot="1">
      <c r="A52" s="160" t="s">
        <v>1497</v>
      </c>
      <c r="B52" s="161"/>
      <c r="C52" s="162">
        <f ca="1">C31+C51</f>
        <v>805558906</v>
      </c>
      <c r="D52" s="161"/>
      <c r="E52" s="161"/>
      <c r="F52" s="161"/>
      <c r="G52" s="163"/>
    </row>
    <row r="55" spans="1:7" ht="15">
      <c r="B55" s="165" t="s">
        <v>1498</v>
      </c>
      <c r="C55" s="166"/>
    </row>
    <row r="56" spans="1:7">
      <c r="B56" s="168" t="s">
        <v>787</v>
      </c>
      <c r="C56" s="170">
        <f ca="1">1-C57</f>
        <v>8.7999999999999967E-2</v>
      </c>
    </row>
    <row r="57" spans="1:7">
      <c r="B57" s="168" t="s">
        <v>788</v>
      </c>
      <c r="C57" s="169">
        <f ca="1">ROUND(C51/C52,3)</f>
        <v>0.91200000000000003</v>
      </c>
    </row>
  </sheetData>
  <sheetProtection sheet="1" objects="1" scenarios="1" selectLockedCells="1" selectUnlockedCells="1"/>
  <mergeCells count="1">
    <mergeCell ref="G42:G44"/>
  </mergeCells>
  <phoneticPr fontId="137"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3867</v>
      </c>
      <c r="B4" s="2724" t="s">
        <v>3868</v>
      </c>
      <c r="C4" s="3569" t="s">
        <v>3806</v>
      </c>
      <c r="D4" s="2724" t="s">
        <v>3869</v>
      </c>
      <c r="E4" s="3999" t="s">
        <v>3870</v>
      </c>
      <c r="F4" s="4000"/>
      <c r="G4" s="4001"/>
      <c r="H4" s="2723" t="s">
        <v>3867</v>
      </c>
      <c r="I4" s="2724" t="s">
        <v>3868</v>
      </c>
      <c r="J4" s="3569" t="s">
        <v>3806</v>
      </c>
      <c r="K4" s="2724" t="s">
        <v>3869</v>
      </c>
      <c r="L4" s="3999" t="s">
        <v>3870</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3393</v>
      </c>
      <c r="C5" s="4093">
        <f ca="1">ROUND(C6+C10+C12,0)</f>
        <v>0</v>
      </c>
      <c r="D5" s="4002" t="s">
        <v>3873</v>
      </c>
      <c r="E5" s="4003"/>
      <c r="F5" s="4004"/>
      <c r="G5" s="4001"/>
      <c r="H5" s="183">
        <v>1</v>
      </c>
      <c r="I5" s="3913" t="s">
        <v>3393</v>
      </c>
      <c r="J5" s="4093">
        <f ca="1">ROUND(J6+J10+J12,0)</f>
        <v>0</v>
      </c>
      <c r="K5" s="4002" t="s">
        <v>3873</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3784</v>
      </c>
      <c r="C6" s="3855">
        <f ca="1">C7-C9</f>
        <v>0</v>
      </c>
      <c r="D6" s="2715" t="s">
        <v>3788</v>
      </c>
      <c r="E6" s="2713" t="s">
        <v>3391</v>
      </c>
      <c r="F6" s="3028">
        <f ca="1">INDIRECT("'数据-取费表'!u"&amp;$G$1)</f>
        <v>0</v>
      </c>
      <c r="G6" s="935"/>
      <c r="H6" s="707" t="s">
        <v>392</v>
      </c>
      <c r="I6" s="2714" t="s">
        <v>3784</v>
      </c>
      <c r="J6" s="4087">
        <f ca="1">J7-J9</f>
        <v>0</v>
      </c>
      <c r="K6" s="2715" t="s">
        <v>3788</v>
      </c>
      <c r="L6" s="2713" t="s">
        <v>3391</v>
      </c>
      <c r="M6" s="3028">
        <f ca="1">INDIRECT("'数据-取费表'!z"&amp;$G$1)</f>
        <v>0</v>
      </c>
    </row>
    <row r="7" spans="1:37" ht="18" customHeight="1">
      <c r="A7" s="4525" t="s">
        <v>391</v>
      </c>
      <c r="B7" s="4528" t="s">
        <v>3782</v>
      </c>
      <c r="C7" s="4533">
        <f ca="1">ROUND(F6*F7*F8/10000,2)</f>
        <v>0</v>
      </c>
      <c r="D7" s="4527" t="s">
        <v>3462</v>
      </c>
      <c r="E7" s="714" t="s">
        <v>682</v>
      </c>
      <c r="F7" s="2761">
        <f ca="1">IF(INDIRECT("'数据-取费表'!ah"&amp;$G$1)="",INDIRECT("'数据-取费表'!k"&amp;$G$1),INDIRECT("'数据-取费表'!ah"&amp;$G$1))</f>
        <v>0</v>
      </c>
      <c r="G7" s="935"/>
      <c r="H7" s="4525" t="s">
        <v>391</v>
      </c>
      <c r="I7" s="4528" t="s">
        <v>3782</v>
      </c>
      <c r="J7" s="4530">
        <f ca="1">ROUND(M6*M8*M7/10000,2)</f>
        <v>0</v>
      </c>
      <c r="K7" s="4527" t="s">
        <v>3462</v>
      </c>
      <c r="L7" s="186" t="s">
        <v>682</v>
      </c>
      <c r="M7" s="2761">
        <f ca="1">F7</f>
        <v>0</v>
      </c>
    </row>
    <row r="8" spans="1:37" ht="18" customHeight="1">
      <c r="A8" s="4526"/>
      <c r="B8" s="4529"/>
      <c r="C8" s="4533"/>
      <c r="D8" s="4527"/>
      <c r="E8" s="186" t="str">
        <f ca="1">IF(F8=1,"年",IF(F8=12,"月","天"))</f>
        <v>天</v>
      </c>
      <c r="F8" s="3413">
        <f ca="1">INDIRECT("'数据-取费表'!ai"&amp;$G$1)</f>
        <v>0</v>
      </c>
      <c r="G8" s="935"/>
      <c r="H8" s="4526"/>
      <c r="I8" s="4529"/>
      <c r="J8" s="4530"/>
      <c r="K8" s="4527"/>
      <c r="L8" s="186" t="str">
        <f ca="1">IF(M8=1,"年",IF(M8=12,"月","天"))</f>
        <v>天</v>
      </c>
      <c r="M8" s="3413">
        <f ca="1">INDIRECT("'数据-取费表'!ai"&amp;$G$1)</f>
        <v>0</v>
      </c>
    </row>
    <row r="9" spans="1:37" ht="18" customHeight="1">
      <c r="A9" s="2700" t="s">
        <v>3392</v>
      </c>
      <c r="B9" s="4086" t="s">
        <v>3783</v>
      </c>
      <c r="C9" s="4085">
        <f ca="1">ROUND(C7*F9,2)</f>
        <v>0</v>
      </c>
      <c r="D9" s="2715" t="s">
        <v>3787</v>
      </c>
      <c r="E9" s="186" t="s">
        <v>684</v>
      </c>
      <c r="F9" s="2767">
        <f ca="1">INDIRECT("'数据-取费表'!w"&amp;$G$1)</f>
        <v>0</v>
      </c>
      <c r="G9" s="935"/>
      <c r="H9" s="2700" t="s">
        <v>3392</v>
      </c>
      <c r="I9" s="4086" t="s">
        <v>3783</v>
      </c>
      <c r="J9" s="4087">
        <f ca="1">ROUND(J7*M9,2)</f>
        <v>0</v>
      </c>
      <c r="K9" s="2715" t="s">
        <v>3787</v>
      </c>
      <c r="L9" s="197" t="s">
        <v>684</v>
      </c>
      <c r="M9" s="2829">
        <f ca="1">INDIRECT("'数据-取费表'!ab"&amp;$G$1)</f>
        <v>0</v>
      </c>
    </row>
    <row r="10" spans="1:37" ht="18" customHeight="1">
      <c r="A10" s="707" t="s">
        <v>396</v>
      </c>
      <c r="B10" s="917" t="s">
        <v>685</v>
      </c>
      <c r="C10" s="4087">
        <f ca="1">ROUND(IF(F10="押一",C6/12*F11,IF(F10="押二",C6/12*2*F11,IF(F10="押三",C6/12*3*F11,C11*F11))),2)</f>
        <v>0</v>
      </c>
      <c r="D10" s="59" t="s">
        <v>2021</v>
      </c>
      <c r="E10" s="197" t="s">
        <v>686</v>
      </c>
      <c r="F10" s="2763"/>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3667</v>
      </c>
      <c r="B13" s="717" t="s">
        <v>3874</v>
      </c>
      <c r="C13" s="3853">
        <f ca="1">ROUND(C14+C22+C24+C26,0)</f>
        <v>0</v>
      </c>
      <c r="D13" s="4005" t="s">
        <v>3875</v>
      </c>
      <c r="E13" s="4006"/>
      <c r="F13" s="4004"/>
      <c r="G13" s="4001"/>
      <c r="H13" s="716" t="s">
        <v>3667</v>
      </c>
      <c r="I13" s="717" t="s">
        <v>3874</v>
      </c>
      <c r="J13" s="3853">
        <f ca="1">ROUND(J14+J22+J24+J26,0)</f>
        <v>0</v>
      </c>
      <c r="K13" s="4007" t="s">
        <v>3876</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4087">
        <f ca="1">ROUND(IF(AND(项目基本情况!B11="自然人",项目基本情况!B10="北京市",M56="住宅"),C6*F14,C15+C19+C20),2)</f>
        <v>0</v>
      </c>
      <c r="D14" s="900" t="s">
        <v>3436</v>
      </c>
      <c r="E14" s="900" t="str">
        <f>IF(M56="非住宅","","综合税率")</f>
        <v/>
      </c>
      <c r="F14" s="3837" t="str">
        <f>IF(M56="非住宅","",IF(F6*F7*F8/12/(1+'数据-取费表'!F30)&gt;100000,4%,2.5%))</f>
        <v/>
      </c>
      <c r="G14" s="935"/>
      <c r="H14" s="658" t="s">
        <v>392</v>
      </c>
      <c r="I14" s="2713" t="s">
        <v>3958</v>
      </c>
      <c r="J14" s="4087">
        <f ca="1">ROUND(IF(AND(项目基本情况!B11="自然人",项目基本情况!B10="北京市",M56="住宅"),J6*M14/(1+'数据-取费表'!C43),J15+J19+J20),2)</f>
        <v>0</v>
      </c>
      <c r="K14" s="2740" t="s">
        <v>3435</v>
      </c>
      <c r="L14" s="900" t="str">
        <f>E14</f>
        <v/>
      </c>
      <c r="M14" s="3837" t="str">
        <f>IF(M56="非住宅","",IF(M6*M7*M8/12/(1+'数据-取费表'!F30)&gt;100000,4%,2.5%))</f>
        <v/>
      </c>
    </row>
    <row r="15" spans="1:37" s="946" customFormat="1" ht="18" customHeight="1">
      <c r="A15" s="2700" t="s">
        <v>3394</v>
      </c>
      <c r="B15" s="2713" t="s">
        <v>3954</v>
      </c>
      <c r="C15" s="4087">
        <f ca="1">C18</f>
        <v>0</v>
      </c>
      <c r="D15" s="2430" t="s">
        <v>3963</v>
      </c>
      <c r="E15" s="4090"/>
      <c r="F15" s="4123"/>
      <c r="G15" s="945"/>
      <c r="H15" s="2700" t="s">
        <v>391</v>
      </c>
      <c r="I15" s="2713" t="s">
        <v>3954</v>
      </c>
      <c r="J15" s="4087">
        <f ca="1">J18</f>
        <v>0</v>
      </c>
      <c r="K15" s="2430" t="s">
        <v>3953</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720">
        <f ca="1">ROUND(C6*F16,2)</f>
        <v>0</v>
      </c>
      <c r="D16" s="994" t="s">
        <v>3845</v>
      </c>
      <c r="E16" s="2721" t="s">
        <v>3397</v>
      </c>
      <c r="F16" s="2765">
        <v>0.09</v>
      </c>
      <c r="G16" s="935"/>
      <c r="H16" s="2505" t="s">
        <v>3279</v>
      </c>
      <c r="I16" s="2717" t="s">
        <v>3395</v>
      </c>
      <c r="J16" s="2720">
        <f ca="1">ROUND(J6*M16,2)</f>
        <v>0</v>
      </c>
      <c r="K16" s="3979" t="s">
        <v>3851</v>
      </c>
      <c r="L16" s="2721" t="s">
        <v>3397</v>
      </c>
      <c r="M16" s="2765">
        <v>0.09</v>
      </c>
    </row>
    <row r="17" spans="1:37" s="946" customFormat="1" ht="18" customHeight="1">
      <c r="A17" s="2505" t="s">
        <v>3280</v>
      </c>
      <c r="B17" s="2717" t="s">
        <v>3396</v>
      </c>
      <c r="C17" s="2741">
        <f ca="1">ROUND(C22*F16+((C24+C26)*F17),2)</f>
        <v>0</v>
      </c>
      <c r="D17" s="3978" t="s">
        <v>3846</v>
      </c>
      <c r="E17" s="2722"/>
      <c r="F17" s="2765">
        <v>0.06</v>
      </c>
      <c r="G17" s="945"/>
      <c r="H17" s="2505" t="s">
        <v>3280</v>
      </c>
      <c r="I17" s="2717" t="s">
        <v>3396</v>
      </c>
      <c r="J17" s="2741">
        <f ca="1">ROUND(J22*M16+((J24+J26)*M17),2)</f>
        <v>0</v>
      </c>
      <c r="K17" s="3978" t="s">
        <v>3846</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3951</v>
      </c>
      <c r="B18" s="2717" t="s">
        <v>3972</v>
      </c>
      <c r="C18" s="2741">
        <f ca="1">ROUND((C16-C17)*F18,2)</f>
        <v>0</v>
      </c>
      <c r="D18" s="2740" t="s">
        <v>3973</v>
      </c>
      <c r="E18" s="186" t="s">
        <v>3974</v>
      </c>
      <c r="F18" s="2765">
        <f>'数据-取费表'!B44</f>
        <v>0.12000000000000001</v>
      </c>
      <c r="G18" s="945"/>
      <c r="H18" s="2505" t="s">
        <v>3951</v>
      </c>
      <c r="I18" s="2717" t="s">
        <v>3950</v>
      </c>
      <c r="J18" s="2741">
        <f ca="1">ROUND((J16-J17)*M18,2)</f>
        <v>0</v>
      </c>
      <c r="K18" s="2740" t="s">
        <v>3973</v>
      </c>
      <c r="L18" s="186" t="s">
        <v>3974</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3959</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3960</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3956</v>
      </c>
      <c r="C20" s="4088">
        <f ca="1">IF(AND(项目基本情况!B11="自然人",M56="住宅"),"——",ROUND(F20*F21/10000,2))</f>
        <v>0</v>
      </c>
      <c r="D20" s="207" t="s">
        <v>716</v>
      </c>
      <c r="E20" s="186" t="s">
        <v>717</v>
      </c>
      <c r="F20" s="2766">
        <f>'数据-取费表'!B53</f>
        <v>12</v>
      </c>
      <c r="G20" s="935"/>
      <c r="H20" s="4091" t="s">
        <v>666</v>
      </c>
      <c r="I20" s="927" t="s">
        <v>3956</v>
      </c>
      <c r="J20" s="4088">
        <f ca="1">ROUND(M20*M21/10000,2)</f>
        <v>0</v>
      </c>
      <c r="K20" s="207" t="s">
        <v>716</v>
      </c>
      <c r="L20" s="186" t="s">
        <v>717</v>
      </c>
      <c r="M20" s="2766">
        <f>'数据-取费表'!B53</f>
        <v>12</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3807</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3808</v>
      </c>
      <c r="F23" s="3413">
        <f ca="1">C51</f>
        <v>0</v>
      </c>
      <c r="G23" s="945"/>
      <c r="H23" s="209"/>
      <c r="I23" s="195"/>
      <c r="J23" s="3861"/>
      <c r="K23" s="3926"/>
      <c r="L23" s="2713" t="s">
        <v>3808</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3433</v>
      </c>
      <c r="E24" s="186" t="s">
        <v>729</v>
      </c>
      <c r="F24" s="2767">
        <f ca="1">INDIRECT("'数据-取费表'!Al"&amp;$G$1)</f>
        <v>0</v>
      </c>
      <c r="G24" s="935"/>
      <c r="H24" s="3859" t="s">
        <v>431</v>
      </c>
      <c r="I24" s="56" t="s">
        <v>727</v>
      </c>
      <c r="J24" s="3860">
        <f ca="1">ROUND(J37*M24,2)</f>
        <v>0</v>
      </c>
      <c r="K24" s="1776" t="s">
        <v>3811</v>
      </c>
      <c r="L24" s="186" t="s">
        <v>729</v>
      </c>
      <c r="M24" s="2767">
        <f ca="1">INDIRECT("'数据-取费表'!Al"&amp;$G$1)</f>
        <v>0</v>
      </c>
    </row>
    <row r="25" spans="1:37" ht="18" customHeight="1">
      <c r="A25" s="209"/>
      <c r="B25" s="195"/>
      <c r="C25" s="3861"/>
      <c r="D25" s="3926"/>
      <c r="E25" s="3925" t="s">
        <v>3809</v>
      </c>
      <c r="F25" s="3413">
        <f ca="1">C53</f>
        <v>0</v>
      </c>
      <c r="G25" s="935"/>
      <c r="H25" s="209"/>
      <c r="I25" s="195"/>
      <c r="J25" s="3861"/>
      <c r="K25" s="3926"/>
      <c r="L25" s="3925" t="s">
        <v>3809</v>
      </c>
      <c r="M25" s="3413">
        <f ca="1">J37</f>
        <v>0</v>
      </c>
    </row>
    <row r="26" spans="1:37" s="946" customFormat="1" ht="18" customHeight="1" thickBot="1">
      <c r="A26" s="726" t="s">
        <v>670</v>
      </c>
      <c r="B26" s="727" t="s">
        <v>713</v>
      </c>
      <c r="C26" s="2719">
        <f ca="1">ROUND(C5*F26,2)</f>
        <v>0</v>
      </c>
      <c r="D26" s="729" t="s">
        <v>3852</v>
      </c>
      <c r="E26" s="727" t="s">
        <v>729</v>
      </c>
      <c r="F26" s="2830">
        <f ca="1">INDIRECT("'数据-取费表'!Am"&amp;$G$1)</f>
        <v>0</v>
      </c>
      <c r="G26" s="945"/>
      <c r="H26" s="726" t="s">
        <v>670</v>
      </c>
      <c r="I26" s="727" t="s">
        <v>713</v>
      </c>
      <c r="J26" s="2719">
        <f ca="1">ROUND(J5*M26,2)</f>
        <v>0</v>
      </c>
      <c r="K26" s="729" t="s">
        <v>3854</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3668</v>
      </c>
      <c r="B27" s="731" t="s">
        <v>3877</v>
      </c>
      <c r="C27" s="3853">
        <f ca="1">C5-C13</f>
        <v>0</v>
      </c>
      <c r="D27" s="4009" t="s">
        <v>3878</v>
      </c>
      <c r="E27" s="4010"/>
      <c r="F27" s="4011"/>
      <c r="G27" s="498"/>
      <c r="H27" s="716" t="s">
        <v>3291</v>
      </c>
      <c r="I27" s="731" t="s">
        <v>3877</v>
      </c>
      <c r="J27" s="3853">
        <f ca="1">J5-J13</f>
        <v>0</v>
      </c>
      <c r="K27" s="4009" t="s">
        <v>3878</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28">
        <f ca="1">IF(C5&lt;&gt;0,ROUND(C27*(1-((1+F30)/(1+F28))^F29)/(F28-F30),0),0)</f>
        <v>0</v>
      </c>
      <c r="D28" s="4013" t="s">
        <v>3880</v>
      </c>
      <c r="E28" s="2725" t="s">
        <v>3881</v>
      </c>
      <c r="F28" s="2767">
        <f ca="1">INDIRECT("'数据-取费表'!I"&amp;$G$1)</f>
        <v>0</v>
      </c>
      <c r="G28" s="4001"/>
      <c r="H28" s="183" t="s">
        <v>3669</v>
      </c>
      <c r="I28" s="184" t="s">
        <v>3882</v>
      </c>
      <c r="J28" s="3928">
        <f ca="1">IF(J5&lt;&gt;0,ROUND(J27*(1-((1+M30)/(1+M28))^M29)/(M28-M30),0),0)</f>
        <v>0</v>
      </c>
      <c r="K28" s="4013" t="s">
        <v>3880</v>
      </c>
      <c r="L28" s="4014" t="s">
        <v>3881</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3883</v>
      </c>
      <c r="E29" s="2725" t="s">
        <v>3884</v>
      </c>
      <c r="F29" s="2768">
        <f ca="1">IF(INDIRECT("'数据-取费表'!af"&amp;$G$1)=0,INDIRECT("'数据-取费表'!ae"&amp;$G$1),INDIRECT("'数据-取费表'!af"&amp;$G$1))</f>
        <v>0</v>
      </c>
      <c r="G29" s="4001"/>
      <c r="H29" s="188"/>
      <c r="I29" s="189"/>
      <c r="J29" s="3929"/>
      <c r="K29" s="64" t="s">
        <v>3885</v>
      </c>
      <c r="L29" s="2725" t="s">
        <v>3884</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3886</v>
      </c>
      <c r="F30" s="2767">
        <f ca="1">INDIRECT("'数据-取费表'!v"&amp;$G$1)</f>
        <v>0</v>
      </c>
      <c r="G30" s="4001"/>
      <c r="H30" s="192"/>
      <c r="I30" s="193"/>
      <c r="J30" s="3930"/>
      <c r="K30" s="64"/>
      <c r="L30" s="2725" t="s">
        <v>3886</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3887</v>
      </c>
      <c r="C31" s="3838">
        <f ca="1">ROUND(C28*(1+F31),0)</f>
        <v>0</v>
      </c>
      <c r="D31" s="4016" t="s">
        <v>3673</v>
      </c>
      <c r="E31" s="4017" t="str">
        <f>IF(D31="其他类型公式—收益价值×（1+9%）","销项税率","征收率")</f>
        <v>销项税率</v>
      </c>
      <c r="F31" s="2767">
        <f>IF(D31="其他类型公式—收益价值×（1+9%）",9%,3%)</f>
        <v>0.09</v>
      </c>
      <c r="G31" s="498"/>
      <c r="H31" s="199" t="s">
        <v>3670</v>
      </c>
      <c r="I31" s="2725" t="s">
        <v>3888</v>
      </c>
      <c r="J31" s="2743">
        <f ca="1">ROUND(J28/(1+F28)^F29,0)</f>
        <v>0</v>
      </c>
      <c r="K31" s="3922" t="s">
        <v>3801</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3889</v>
      </c>
      <c r="E32" s="217" t="s">
        <v>3890</v>
      </c>
      <c r="F32" s="2769">
        <f ca="1">INDIRECT("'数据-取费表'!k"&amp;$G$1)</f>
        <v>0</v>
      </c>
      <c r="G32" s="498"/>
      <c r="H32" s="3831" t="s">
        <v>3671</v>
      </c>
      <c r="I32" s="3832" t="s">
        <v>3891</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3867</v>
      </c>
      <c r="B34" s="3995" t="s">
        <v>3868</v>
      </c>
      <c r="C34" s="3996" t="s">
        <v>3806</v>
      </c>
      <c r="D34" s="3995" t="s">
        <v>3869</v>
      </c>
      <c r="E34" s="3997" t="s">
        <v>3870</v>
      </c>
      <c r="F34" s="3998"/>
      <c r="G34" s="4001"/>
      <c r="H34" s="3994" t="s">
        <v>3867</v>
      </c>
      <c r="I34" s="3995" t="s">
        <v>3868</v>
      </c>
      <c r="J34" s="3996" t="s">
        <v>3806</v>
      </c>
      <c r="K34" s="3995" t="s">
        <v>3869</v>
      </c>
      <c r="L34" s="3997" t="s">
        <v>3870</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3398</v>
      </c>
      <c r="B35" s="2725" t="s">
        <v>3399</v>
      </c>
      <c r="C35" s="2743">
        <f ca="1">SUM(C36:C41)</f>
        <v>0</v>
      </c>
      <c r="D35" s="3922" t="s">
        <v>3406</v>
      </c>
      <c r="E35" s="994"/>
      <c r="F35" s="3277"/>
      <c r="G35" s="935"/>
      <c r="H35" s="3923" t="s">
        <v>3398</v>
      </c>
      <c r="I35" s="3924" t="s">
        <v>3438</v>
      </c>
      <c r="J35" s="2702">
        <f ca="1">C51</f>
        <v>0</v>
      </c>
      <c r="K35" s="2739" t="s">
        <v>3434</v>
      </c>
      <c r="L35" s="55"/>
      <c r="M35" s="2680"/>
    </row>
    <row r="36" spans="1:37" ht="18" customHeight="1">
      <c r="A36" s="2700" t="s">
        <v>3394</v>
      </c>
      <c r="B36" s="2665" t="s">
        <v>692</v>
      </c>
      <c r="C36" s="2610">
        <f ca="1">INDIRECT("'数据-取费表'!m"&amp;$G$1)+INDIRECT("'数据-取费表'!t"&amp;$G$1)</f>
        <v>0</v>
      </c>
      <c r="D36" s="899" t="s">
        <v>693</v>
      </c>
      <c r="E36" s="899"/>
      <c r="F36" s="215"/>
      <c r="G36" s="935"/>
      <c r="H36" s="2747" t="s">
        <v>3439</v>
      </c>
      <c r="I36" s="2752" t="s">
        <v>3426</v>
      </c>
      <c r="J36" s="2650">
        <f ca="1">ROUND(J35*(1-M36),0)</f>
        <v>0</v>
      </c>
      <c r="K36" s="186" t="s">
        <v>3429</v>
      </c>
      <c r="L36" s="2715" t="s">
        <v>3441</v>
      </c>
      <c r="M36" s="2767">
        <f ca="1">INDIRECT("'数据-取费表'!ad"&amp;$G$1)</f>
        <v>0</v>
      </c>
    </row>
    <row r="37" spans="1:37" ht="18" customHeight="1" thickBot="1">
      <c r="A37" s="2700" t="s">
        <v>3400</v>
      </c>
      <c r="B37" s="2717" t="s">
        <v>3853</v>
      </c>
      <c r="C37" s="2702">
        <f ca="1">ROUND(C36*F37,0)</f>
        <v>0</v>
      </c>
      <c r="D37" s="186" t="s">
        <v>696</v>
      </c>
      <c r="E37" s="186" t="s">
        <v>697</v>
      </c>
      <c r="F37" s="2765">
        <f>'数据-取费表'!B33</f>
        <v>0.02</v>
      </c>
      <c r="G37" s="935"/>
      <c r="H37" s="2748" t="s">
        <v>3440</v>
      </c>
      <c r="I37" s="3927" t="s">
        <v>3810</v>
      </c>
      <c r="J37" s="2754">
        <f ca="1">J35-J36</f>
        <v>0</v>
      </c>
      <c r="K37" s="2734" t="s">
        <v>3463</v>
      </c>
      <c r="L37" s="219"/>
      <c r="M37" s="2755"/>
    </row>
    <row r="38" spans="1:37" ht="18" customHeight="1">
      <c r="A38" s="2700" t="s">
        <v>3401</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ROUND(F39*(F32+INDIRECT("'数据-取费表'!S"&amp;$G$1))/10000,0)</f>
        <v>0</v>
      </c>
      <c r="D39" s="186" t="s">
        <v>702</v>
      </c>
      <c r="E39" s="186" t="s">
        <v>3803</v>
      </c>
      <c r="F39" s="2766">
        <f>'数据-取费表'!B35</f>
        <v>360</v>
      </c>
      <c r="G39" s="935"/>
    </row>
    <row r="40" spans="1:37" ht="18" customHeight="1">
      <c r="A40" s="2700" t="s">
        <v>3403</v>
      </c>
      <c r="B40" s="2717" t="s">
        <v>3404</v>
      </c>
      <c r="C40" s="2702">
        <f ca="1">ROUND(C36*F40,0)</f>
        <v>0</v>
      </c>
      <c r="D40" s="186" t="s">
        <v>696</v>
      </c>
      <c r="E40" s="186" t="s">
        <v>697</v>
      </c>
      <c r="F40" s="2765">
        <f>'数据-取费表'!B36</f>
        <v>1.4999999999999999E-2</v>
      </c>
      <c r="G40" s="935"/>
      <c r="H40" s="47"/>
      <c r="I40" s="47"/>
      <c r="J40" s="47"/>
      <c r="K40" s="1861"/>
      <c r="L40" s="47"/>
      <c r="M40" s="47"/>
    </row>
    <row r="41" spans="1:37" ht="18" customHeight="1">
      <c r="A41" s="2700" t="s">
        <v>3403</v>
      </c>
      <c r="B41" s="2717" t="s">
        <v>3405</v>
      </c>
      <c r="C41" s="2702">
        <f ca="1">ROUND(C36*F41,0)</f>
        <v>0</v>
      </c>
      <c r="D41" s="186" t="s">
        <v>696</v>
      </c>
      <c r="E41" s="186" t="s">
        <v>697</v>
      </c>
      <c r="F41" s="2765">
        <f>'数据-取费表'!B37</f>
        <v>1.4999999999999999E-2</v>
      </c>
      <c r="G41" s="935"/>
      <c r="H41" s="47"/>
      <c r="I41" s="47"/>
      <c r="J41" s="47"/>
      <c r="K41" s="1861"/>
      <c r="L41" s="47"/>
      <c r="M41" s="47"/>
    </row>
    <row r="42" spans="1:37" ht="18" customHeight="1">
      <c r="A42" s="199" t="s">
        <v>3413</v>
      </c>
      <c r="B42" s="2725" t="s">
        <v>3414</v>
      </c>
      <c r="C42" s="2743">
        <f ca="1">ROUND(C35*F42,0)</f>
        <v>0</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0.06V建</v>
      </c>
      <c r="D43" s="2726" t="s">
        <v>3804</v>
      </c>
      <c r="E43" s="2725" t="s">
        <v>3805</v>
      </c>
      <c r="F43" s="2767">
        <f>'数据-取费表'!B39</f>
        <v>0.06</v>
      </c>
      <c r="G43" s="935"/>
      <c r="H43" s="47"/>
      <c r="I43" s="47"/>
      <c r="J43" s="47"/>
      <c r="K43" s="1861"/>
      <c r="L43" s="47"/>
      <c r="M43" s="47"/>
    </row>
    <row r="44" spans="1:37" ht="18" customHeight="1">
      <c r="A44" s="199" t="s">
        <v>3421</v>
      </c>
      <c r="B44" s="2728" t="s">
        <v>3407</v>
      </c>
      <c r="C44" s="3416" t="str">
        <f ca="1">C45&amp;"+"&amp;C46&amp;"V建"</f>
        <v>0+0.0024V建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730</v>
      </c>
      <c r="B46" s="186" t="s">
        <v>731</v>
      </c>
      <c r="C46" s="3414">
        <f ca="1">ROUND(IF('数据-取费表'!B22&lt;=1,F43*F46*F45/2,F43*(POWER((1+F46),F45/2)-1)),4)</f>
        <v>2.3999999999999998E-3</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3422</v>
      </c>
      <c r="B47" s="2728" t="s">
        <v>3408</v>
      </c>
      <c r="C47" s="3416" t="str">
        <f ca="1">C48&amp;"+"&amp;C49&amp;"V建"</f>
        <v>0+0V建</v>
      </c>
      <c r="D47" s="2684" t="s">
        <v>3423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3409</v>
      </c>
      <c r="B50" s="2725" t="s">
        <v>3410</v>
      </c>
      <c r="C50" s="2743">
        <f>ROUND(F50/(1+'数据-取费表'!C43),4)</f>
        <v>0</v>
      </c>
      <c r="D50" s="3981" t="s">
        <v>3859</v>
      </c>
      <c r="E50" s="2725"/>
      <c r="F50" s="2767"/>
      <c r="G50" s="935"/>
      <c r="H50" s="47"/>
      <c r="I50" s="47"/>
      <c r="J50" s="47"/>
      <c r="K50" s="1861"/>
      <c r="L50" s="47"/>
      <c r="M50" s="47"/>
    </row>
    <row r="51" spans="1:18" s="935" customFormat="1" ht="18" customHeight="1">
      <c r="A51" s="199" t="s">
        <v>3411</v>
      </c>
      <c r="B51" s="2725" t="s">
        <v>3412</v>
      </c>
      <c r="C51" s="2743">
        <f ca="1">ROUND((C35+C42+C45+C48)/(1-F43-C46-C49-C50),0)</f>
        <v>0</v>
      </c>
      <c r="D51" s="2739" t="s">
        <v>3434</v>
      </c>
      <c r="E51" s="2725"/>
      <c r="F51" s="2767"/>
      <c r="K51" s="951"/>
    </row>
    <row r="52" spans="1:18" s="935" customFormat="1" ht="18" customHeight="1">
      <c r="A52" s="2729" t="s">
        <v>3425</v>
      </c>
      <c r="B52" s="2728" t="s">
        <v>3426</v>
      </c>
      <c r="C52" s="2743">
        <f ca="1">ROUND(C51*(1-F52),0)</f>
        <v>0</v>
      </c>
      <c r="D52" s="2725" t="s">
        <v>3871</v>
      </c>
      <c r="E52" s="2725" t="s">
        <v>3872</v>
      </c>
      <c r="F52" s="2767">
        <f ca="1">INDIRECT("'数据-取费表'!y"&amp;$G$1)</f>
        <v>0</v>
      </c>
      <c r="K52" s="951"/>
    </row>
    <row r="53" spans="1:18" s="935" customFormat="1" ht="18" customHeight="1" thickBot="1">
      <c r="A53" s="2730" t="s">
        <v>3427</v>
      </c>
      <c r="B53" s="2738" t="s">
        <v>3432</v>
      </c>
      <c r="C53" s="2754">
        <f ca="1">C51-C52</f>
        <v>0</v>
      </c>
      <c r="D53" s="2734" t="s">
        <v>3463</v>
      </c>
      <c r="E53" s="217"/>
      <c r="F53" s="2735"/>
      <c r="K53" s="951"/>
    </row>
    <row r="54" spans="1:18" s="935" customFormat="1" ht="18" customHeight="1" thickBot="1">
      <c r="A54" s="949"/>
      <c r="B54" s="949"/>
      <c r="C54" s="950"/>
      <c r="D54" s="949"/>
      <c r="E54" s="949"/>
      <c r="F54" s="949"/>
      <c r="I54" s="2756" t="s">
        <v>3442</v>
      </c>
      <c r="J54" s="494"/>
      <c r="O54" s="1965" t="s">
        <v>793</v>
      </c>
      <c r="P54" s="1008"/>
      <c r="Q54" s="1008"/>
      <c r="R54" s="1008"/>
    </row>
    <row r="55" spans="1:18" s="935" customFormat="1" ht="13.5"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3896</v>
      </c>
      <c r="Q55" s="4037" t="s">
        <v>3897</v>
      </c>
      <c r="R55" s="4037" t="s">
        <v>3898</v>
      </c>
    </row>
    <row r="56" spans="1:18" s="935" customFormat="1" ht="13.5" thickBot="1">
      <c r="A56" s="4022" t="s">
        <v>3867</v>
      </c>
      <c r="B56" s="4023" t="s">
        <v>3868</v>
      </c>
      <c r="C56" s="3996" t="s">
        <v>3806</v>
      </c>
      <c r="D56" s="4023" t="s">
        <v>3869</v>
      </c>
      <c r="E56" s="4024" t="s">
        <v>3870</v>
      </c>
      <c r="F56" s="701"/>
      <c r="G56" s="490"/>
      <c r="I56" s="963" t="s">
        <v>800</v>
      </c>
      <c r="J56" s="964"/>
      <c r="K56" s="965" t="s">
        <v>801</v>
      </c>
      <c r="L56" s="3898">
        <f ca="1">INDIRECT("'数据-取费表'!d"&amp;$G$1)</f>
        <v>0</v>
      </c>
      <c r="M56" s="931" t="str">
        <f>IF(ISNUMBER(FIND("住宅",C1)),"住宅","非住宅")</f>
        <v>非住宅</v>
      </c>
      <c r="O56" s="4038" t="s">
        <v>397</v>
      </c>
      <c r="P56" s="4039" t="s">
        <v>3899</v>
      </c>
      <c r="Q56" s="4041">
        <f ca="1">C28+J31</f>
        <v>0</v>
      </c>
      <c r="R56" s="4040" t="s">
        <v>3900</v>
      </c>
    </row>
    <row r="57" spans="1:18" s="935" customFormat="1" ht="42.75" thickBot="1">
      <c r="A57" s="653" t="s">
        <v>432</v>
      </c>
      <c r="B57" s="184" t="s">
        <v>3892</v>
      </c>
      <c r="C57" s="4025">
        <f ca="1">ROUND(C58+C62+C64,0)</f>
        <v>0</v>
      </c>
      <c r="D57" s="4002" t="s">
        <v>3893</v>
      </c>
      <c r="E57" s="4026"/>
      <c r="F57" s="638"/>
      <c r="G57" s="490"/>
      <c r="H57" s="491"/>
      <c r="I57" s="970" t="s">
        <v>804</v>
      </c>
      <c r="J57" s="971"/>
      <c r="K57" s="972" t="s">
        <v>805</v>
      </c>
      <c r="L57" s="3887">
        <f ca="1">INDIRECT("'数据-取费表'!f"&amp;$G$1)</f>
        <v>0</v>
      </c>
      <c r="O57" s="4038" t="s">
        <v>398</v>
      </c>
      <c r="P57" s="4039" t="s">
        <v>3901</v>
      </c>
      <c r="Q57" s="4041" t="e">
        <f ca="1">J69</f>
        <v>#DIV/0!</v>
      </c>
      <c r="R57" s="4040" t="s">
        <v>3902</v>
      </c>
    </row>
    <row r="58" spans="1:18" s="935" customFormat="1" ht="15.75" thickBot="1">
      <c r="A58" s="3864" t="s">
        <v>3793</v>
      </c>
      <c r="B58" s="2714" t="s">
        <v>3784</v>
      </c>
      <c r="C58" s="3856">
        <f ca="1">C59-C61</f>
        <v>0</v>
      </c>
      <c r="D58" s="2715" t="s">
        <v>3788</v>
      </c>
      <c r="E58" s="2737" t="s">
        <v>3431</v>
      </c>
      <c r="F58" s="3418"/>
      <c r="H58" s="491"/>
      <c r="I58" s="970" t="s">
        <v>808</v>
      </c>
      <c r="J58" s="3885"/>
      <c r="K58" s="972" t="s">
        <v>809</v>
      </c>
      <c r="L58" s="3899"/>
      <c r="O58" s="976" t="s">
        <v>399</v>
      </c>
      <c r="P58" s="968" t="s">
        <v>810</v>
      </c>
      <c r="Q58" s="3433">
        <f ca="1">C51</f>
        <v>0</v>
      </c>
      <c r="R58" s="969" t="s">
        <v>803</v>
      </c>
    </row>
    <row r="59" spans="1:18" s="935" customFormat="1" ht="13.5" thickBot="1">
      <c r="A59" s="3871" t="s">
        <v>3394</v>
      </c>
      <c r="B59" s="4534" t="s">
        <v>3782</v>
      </c>
      <c r="C59" s="4535">
        <f ca="1">ROUND(F58*F60*F59/10000,2)</f>
        <v>0</v>
      </c>
      <c r="D59" s="4527" t="s">
        <v>3462</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534"/>
      <c r="C60" s="4536"/>
      <c r="D60" s="4527"/>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3392</v>
      </c>
      <c r="B61" s="3572" t="s">
        <v>3783</v>
      </c>
      <c r="C61" s="3857">
        <f ca="1">ROUND(C59*F61,2)</f>
        <v>0</v>
      </c>
      <c r="D61" s="2715" t="s">
        <v>3787</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3439</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0</v>
      </c>
      <c r="K62" s="4531" t="s">
        <v>822</v>
      </c>
      <c r="L62" s="4532"/>
      <c r="O62" s="4038" t="s">
        <v>403</v>
      </c>
      <c r="P62" s="4042" t="s">
        <v>3906</v>
      </c>
      <c r="Q62" s="4041" t="e">
        <f ca="1">ROUND((Q56+Q57)*(1+F31),0)</f>
        <v>#DIV/0!</v>
      </c>
      <c r="R62" s="4040" t="s">
        <v>3907</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3794</v>
      </c>
      <c r="B64" s="920" t="s">
        <v>688</v>
      </c>
      <c r="C64" s="3854"/>
      <c r="D64" s="59"/>
      <c r="E64" s="925"/>
      <c r="F64" s="987"/>
      <c r="I64" s="990" t="s">
        <v>825</v>
      </c>
      <c r="J64" s="3891" t="e">
        <f ca="1">ROUND(IF(J56="钢混",J66/J59,1-(1-2%)*(J59-J66)/J59),3)</f>
        <v>#DIV/0!</v>
      </c>
      <c r="K64" s="992" t="s">
        <v>826</v>
      </c>
      <c r="L64" s="993"/>
      <c r="O64" s="4035" t="s">
        <v>1325</v>
      </c>
      <c r="P64" s="4036" t="s">
        <v>3896</v>
      </c>
      <c r="Q64" s="4037" t="s">
        <v>3897</v>
      </c>
      <c r="R64" s="4037" t="s">
        <v>3898</v>
      </c>
    </row>
    <row r="65" spans="1:18" s="935" customFormat="1" ht="25.5" thickTop="1" thickBot="1">
      <c r="A65" s="199" t="s">
        <v>3667</v>
      </c>
      <c r="B65" s="634" t="s">
        <v>3874</v>
      </c>
      <c r="C65" s="2743">
        <f ca="1">ROUND(C66+C74+C76+C78,0)</f>
        <v>0</v>
      </c>
      <c r="D65" s="634" t="s">
        <v>3894</v>
      </c>
      <c r="E65" s="637"/>
      <c r="F65" s="638"/>
      <c r="I65" s="996" t="s">
        <v>827</v>
      </c>
      <c r="J65" s="3892"/>
      <c r="K65" s="970" t="s">
        <v>828</v>
      </c>
      <c r="L65" s="3887">
        <f ca="1">IF(L57&lt;J60,"——",L57-J62)</f>
        <v>0</v>
      </c>
      <c r="O65" s="4038" t="s">
        <v>397</v>
      </c>
      <c r="P65" s="4039" t="s">
        <v>3899</v>
      </c>
      <c r="Q65" s="4041">
        <f ca="1">C28+J31</f>
        <v>0</v>
      </c>
      <c r="R65" s="4040" t="s">
        <v>3900</v>
      </c>
    </row>
    <row r="66" spans="1:18" s="935" customFormat="1" ht="24.75" thickBot="1">
      <c r="A66" s="519" t="s">
        <v>392</v>
      </c>
      <c r="B66" s="2695" t="s">
        <v>3958</v>
      </c>
      <c r="C66" s="4087">
        <f ca="1">ROUND(IF(AND(项目基本情况!B11="自然人",项目基本情况!B10="北京市",M56="住宅"),C58*F66,C67+C71+C72),2)</f>
        <v>0</v>
      </c>
      <c r="D66" s="639" t="s">
        <v>3436</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3903</v>
      </c>
      <c r="Q66" s="4043" t="e">
        <f ca="1">L69</f>
        <v>#DIV/0!</v>
      </c>
      <c r="R66" s="4040" t="s">
        <v>3904</v>
      </c>
    </row>
    <row r="67" spans="1:18" s="935" customFormat="1" ht="24.75" thickBot="1">
      <c r="A67" s="4091" t="s">
        <v>391</v>
      </c>
      <c r="B67" s="2713" t="s">
        <v>3954</v>
      </c>
      <c r="C67" s="4087">
        <f ca="1">C70</f>
        <v>0</v>
      </c>
      <c r="D67" s="2430" t="s">
        <v>3953</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3279</v>
      </c>
      <c r="B68" s="2717" t="s">
        <v>3395</v>
      </c>
      <c r="C68" s="4087">
        <f ca="1">ROUND(C58*F68,2)</f>
        <v>0</v>
      </c>
      <c r="D68" s="994" t="s">
        <v>3857</v>
      </c>
      <c r="E68" s="2721" t="s">
        <v>3397</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3280</v>
      </c>
      <c r="B69" s="2717" t="s">
        <v>3396</v>
      </c>
      <c r="C69" s="4087">
        <f ca="1">ROUND(C74*F68+((C76+C78)*F69),2)</f>
        <v>0</v>
      </c>
      <c r="D69" s="3978" t="s">
        <v>3858</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3951</v>
      </c>
      <c r="B70" s="2717" t="s">
        <v>3950</v>
      </c>
      <c r="C70" s="4087">
        <f ca="1">ROUND((C68-C69)*F70,2)</f>
        <v>0</v>
      </c>
      <c r="D70" s="2740" t="s">
        <v>3973</v>
      </c>
      <c r="E70" s="186" t="s">
        <v>3974</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3961</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8" t="s">
        <v>403</v>
      </c>
      <c r="P71" s="4042" t="s">
        <v>3906</v>
      </c>
      <c r="Q71" s="4043" t="e">
        <f ca="1">ROUND((Q65+Q66)*(1+F31),0)</f>
        <v>#DIV/0!</v>
      </c>
      <c r="R71" s="4040" t="s">
        <v>3907</v>
      </c>
    </row>
    <row r="72" spans="1:18" s="935" customFormat="1" ht="13.5" thickBot="1">
      <c r="A72" s="4091" t="s">
        <v>769</v>
      </c>
      <c r="B72" s="4083" t="s">
        <v>3956</v>
      </c>
      <c r="C72" s="4088">
        <f ca="1">IF(项目基本情况!B11="自然人","——",ROUND(F72*F73/10000,2))</f>
        <v>0</v>
      </c>
      <c r="D72" s="641" t="s">
        <v>771</v>
      </c>
      <c r="E72" s="626" t="s">
        <v>772</v>
      </c>
      <c r="F72" s="3420">
        <f t="shared" si="1"/>
        <v>12</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3430</v>
      </c>
      <c r="E74" s="3875" t="s">
        <v>3789</v>
      </c>
      <c r="F74" s="3876">
        <f ca="1">C51</f>
        <v>0</v>
      </c>
      <c r="I74" s="1009" t="s">
        <v>851</v>
      </c>
      <c r="J74" s="223">
        <v>40</v>
      </c>
      <c r="K74" s="223">
        <v>30</v>
      </c>
      <c r="L74" s="223">
        <v>50</v>
      </c>
      <c r="M74" s="1012">
        <v>0.02</v>
      </c>
      <c r="O74" s="4038" t="s">
        <v>397</v>
      </c>
      <c r="P74" s="4039" t="s">
        <v>3899</v>
      </c>
      <c r="Q74" s="4041">
        <f ca="1">C28+J31</f>
        <v>0</v>
      </c>
      <c r="R74" s="4040" t="s">
        <v>3900</v>
      </c>
    </row>
    <row r="75" spans="1:18" s="935" customFormat="1" ht="15" thickBot="1">
      <c r="A75" s="3869"/>
      <c r="B75" s="632"/>
      <c r="C75" s="3861"/>
      <c r="D75" s="3863"/>
      <c r="E75" s="626" t="s">
        <v>768</v>
      </c>
      <c r="F75" s="2767">
        <f ca="1">F22</f>
        <v>0</v>
      </c>
      <c r="O75" s="4038" t="s">
        <v>398</v>
      </c>
      <c r="P75" s="4039" t="s">
        <v>3903</v>
      </c>
      <c r="Q75" s="4043" t="e">
        <f ca="1">L69</f>
        <v>#DIV/0!</v>
      </c>
      <c r="R75" s="4040" t="s">
        <v>3905</v>
      </c>
    </row>
    <row r="76" spans="1:18" s="935" customFormat="1" ht="13.5" thickBot="1">
      <c r="A76" s="3868" t="s">
        <v>777</v>
      </c>
      <c r="B76" s="625" t="s">
        <v>727</v>
      </c>
      <c r="C76" s="3860">
        <f ca="1">ROUND(F76*F77,2)</f>
        <v>0</v>
      </c>
      <c r="D76" s="3862" t="s">
        <v>3433</v>
      </c>
      <c r="E76" s="3875" t="s">
        <v>3790</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3855</v>
      </c>
      <c r="E78" s="626" t="s">
        <v>697</v>
      </c>
      <c r="F78" s="2767">
        <f ca="1">F26</f>
        <v>0</v>
      </c>
      <c r="O78" s="976"/>
      <c r="P78" s="968"/>
      <c r="Q78" s="3433"/>
      <c r="R78" s="969"/>
    </row>
    <row r="79" spans="1:18" s="935" customFormat="1" ht="16.5" thickBot="1">
      <c r="A79" s="633" t="s">
        <v>3791</v>
      </c>
      <c r="B79" s="643" t="s">
        <v>737</v>
      </c>
      <c r="C79" s="2743">
        <f ca="1">C57-C65</f>
        <v>0</v>
      </c>
      <c r="D79" s="643" t="s">
        <v>3895</v>
      </c>
      <c r="E79" s="4027"/>
      <c r="F79" s="4028"/>
      <c r="O79" s="976" t="s">
        <v>400</v>
      </c>
      <c r="P79" s="1014" t="s">
        <v>855</v>
      </c>
      <c r="Q79" s="3433">
        <f ca="1">ROUND(Q80-Q81*Q82,0)</f>
        <v>0</v>
      </c>
      <c r="R79" s="969" t="s">
        <v>408</v>
      </c>
    </row>
    <row r="80" spans="1:18" s="935" customFormat="1" ht="13.5" thickBot="1">
      <c r="A80" s="3201" t="s">
        <v>3792</v>
      </c>
      <c r="B80" s="624" t="s">
        <v>759</v>
      </c>
      <c r="C80" s="3912" t="e">
        <f ca="1">ROUND(C79*(1-((1+F82)/(1+F80))^F81)/(F80-F82),0)</f>
        <v>#DIV/0!</v>
      </c>
      <c r="D80" s="4029" t="s">
        <v>3880</v>
      </c>
      <c r="E80" s="634" t="s">
        <v>3881</v>
      </c>
      <c r="F80" s="2767">
        <f ca="1">F28</f>
        <v>0</v>
      </c>
      <c r="O80" s="976" t="s">
        <v>405</v>
      </c>
      <c r="P80" s="1014" t="s">
        <v>856</v>
      </c>
      <c r="Q80" s="3433">
        <f ca="1">C27</f>
        <v>0</v>
      </c>
      <c r="R80" s="969" t="s">
        <v>803</v>
      </c>
    </row>
    <row r="81" spans="1:18" s="935" customFormat="1" ht="13.5" thickBot="1">
      <c r="A81" s="3202"/>
      <c r="B81" s="628"/>
      <c r="C81" s="4093"/>
      <c r="D81" s="4030" t="s">
        <v>3885</v>
      </c>
      <c r="E81" s="634" t="s">
        <v>3884</v>
      </c>
      <c r="F81" s="2768">
        <f ca="1">F29</f>
        <v>0</v>
      </c>
      <c r="O81" s="976" t="s">
        <v>406</v>
      </c>
      <c r="P81" s="1014" t="s">
        <v>857</v>
      </c>
      <c r="Q81" s="3433">
        <f ca="1">C52</f>
        <v>0</v>
      </c>
      <c r="R81" s="969" t="s">
        <v>803</v>
      </c>
    </row>
    <row r="82" spans="1:18" s="935" customFormat="1" ht="13.5" thickBot="1">
      <c r="A82" s="3203"/>
      <c r="B82" s="2783"/>
      <c r="C82" s="2783"/>
      <c r="D82" s="4031"/>
      <c r="E82" s="634" t="s">
        <v>3886</v>
      </c>
      <c r="F82" s="2762"/>
      <c r="O82" s="976" t="s">
        <v>407</v>
      </c>
      <c r="P82" s="1014" t="s">
        <v>858</v>
      </c>
      <c r="Q82" s="3430">
        <f ca="1">C88</f>
        <v>0</v>
      </c>
      <c r="R82" s="969"/>
    </row>
    <row r="83" spans="1:18" s="935" customFormat="1" ht="13.5" thickBot="1">
      <c r="A83" s="630" t="s">
        <v>3795</v>
      </c>
      <c r="B83" s="2742" t="s">
        <v>3437</v>
      </c>
      <c r="C83" s="3853" t="e">
        <f ca="1">ROUND(C80*(1+F31),0)</f>
        <v>#DIV/0!</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#DIV/0!</v>
      </c>
      <c r="D84" s="4034" t="s">
        <v>3889</v>
      </c>
      <c r="E84" s="648" t="s">
        <v>3890</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3906</v>
      </c>
      <c r="Q86" s="4041" t="e">
        <f ca="1">ROUND((Q74+Q75)*(1+F31),0)</f>
        <v>#DIV/0!</v>
      </c>
      <c r="R86" s="4040" t="s">
        <v>3907</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6"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-2.5</v>
      </c>
      <c r="G1" s="929">
        <f>MATCH(C1,'数据-取费表'!A6:A16,0)+5</f>
        <v>9</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2" customFormat="1" ht="18" customHeight="1">
      <c r="A4" s="2723" t="s">
        <v>3867</v>
      </c>
      <c r="B4" s="2724" t="s">
        <v>3868</v>
      </c>
      <c r="C4" s="3569" t="s">
        <v>3976</v>
      </c>
      <c r="D4" s="2724" t="s">
        <v>3869</v>
      </c>
      <c r="E4" s="3999" t="s">
        <v>3870</v>
      </c>
      <c r="F4" s="4061"/>
      <c r="G4" s="4050"/>
      <c r="H4" s="2723" t="s">
        <v>3867</v>
      </c>
      <c r="I4" s="2724" t="s">
        <v>3868</v>
      </c>
      <c r="J4" s="3569" t="s">
        <v>3976</v>
      </c>
      <c r="K4" s="2724" t="s">
        <v>3869</v>
      </c>
      <c r="L4" s="4063" t="s">
        <v>3870</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3393</v>
      </c>
      <c r="C5" s="4093">
        <f ca="1">C6+C10+C12</f>
        <v>0</v>
      </c>
      <c r="D5" s="4002" t="s">
        <v>3873</v>
      </c>
      <c r="E5" s="4003"/>
      <c r="F5" s="4004"/>
      <c r="G5" s="4001"/>
      <c r="H5" s="183">
        <v>1</v>
      </c>
      <c r="I5" s="184" t="s">
        <v>3908</v>
      </c>
      <c r="J5" s="4093">
        <f ca="1">J6+J10+J12</f>
        <v>0</v>
      </c>
      <c r="K5" s="4002" t="s">
        <v>3873</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3784</v>
      </c>
      <c r="C6" s="4218">
        <f ca="1">C7-C9</f>
        <v>0</v>
      </c>
      <c r="D6" s="2715" t="s">
        <v>3788</v>
      </c>
      <c r="E6" s="2713" t="s">
        <v>3971</v>
      </c>
      <c r="F6" s="3420">
        <f ca="1">INDIRECT("'数据-取费表'!u"&amp;$G$1)</f>
        <v>0</v>
      </c>
      <c r="G6" s="935"/>
      <c r="H6" s="707" t="s">
        <v>392</v>
      </c>
      <c r="I6" s="2714" t="s">
        <v>3784</v>
      </c>
      <c r="J6" s="2702">
        <f ca="1">J7-J9</f>
        <v>0</v>
      </c>
      <c r="K6" s="2715" t="s">
        <v>3788</v>
      </c>
      <c r="L6" s="2713" t="s">
        <v>3971</v>
      </c>
      <c r="M6" s="3438">
        <f ca="1">INDIRECT("'数据-取费表'!z"&amp;$G$1)</f>
        <v>0</v>
      </c>
    </row>
    <row r="7" spans="1:37" ht="18" customHeight="1">
      <c r="A7" s="4525" t="s">
        <v>391</v>
      </c>
      <c r="B7" s="4528" t="s">
        <v>3782</v>
      </c>
      <c r="C7" s="4538">
        <f ca="1">ROUND(F6*F7*F8,0)</f>
        <v>0</v>
      </c>
      <c r="D7" s="4527" t="s">
        <v>3462</v>
      </c>
      <c r="E7" s="714" t="s">
        <v>682</v>
      </c>
      <c r="F7" s="2761">
        <f ca="1">IF(INDIRECT("'数据-取费表'!ah"&amp;$G$1)="",INDIRECT("'数据-取费表'!k"&amp;$G$1),INDIRECT("'数据-取费表'!ah"&amp;$G$1))</f>
        <v>0</v>
      </c>
      <c r="G7" s="935"/>
      <c r="H7" s="4525" t="s">
        <v>391</v>
      </c>
      <c r="I7" s="4528" t="s">
        <v>3782</v>
      </c>
      <c r="J7" s="4537">
        <f ca="1">ROUND(M6*M8*M7,0)</f>
        <v>0</v>
      </c>
      <c r="K7" s="4527" t="s">
        <v>3462</v>
      </c>
      <c r="L7" s="186" t="s">
        <v>682</v>
      </c>
      <c r="M7" s="4217">
        <f ca="1">F7</f>
        <v>0</v>
      </c>
    </row>
    <row r="8" spans="1:37" ht="18" customHeight="1">
      <c r="A8" s="4526"/>
      <c r="B8" s="4529"/>
      <c r="C8" s="4538"/>
      <c r="D8" s="4527"/>
      <c r="E8" s="186" t="str">
        <f ca="1">IF(F8=1,"年",IF(F8=12,"月","天"))</f>
        <v>天</v>
      </c>
      <c r="F8" s="3413">
        <f ca="1">INDIRECT("'数据-取费表'!ai"&amp;$G$1)</f>
        <v>0</v>
      </c>
      <c r="G8" s="935"/>
      <c r="H8" s="4526"/>
      <c r="I8" s="4529"/>
      <c r="J8" s="4537"/>
      <c r="K8" s="4527"/>
      <c r="L8" s="186" t="str">
        <f ca="1">IF(M8=1,"年",IF(M8=12,"月","天"))</f>
        <v>天</v>
      </c>
      <c r="M8" s="3440">
        <f ca="1">INDIRECT("'数据-取费表'!ai"&amp;$G$1)</f>
        <v>0</v>
      </c>
    </row>
    <row r="9" spans="1:37" ht="18" customHeight="1">
      <c r="A9" s="2700" t="s">
        <v>3392</v>
      </c>
      <c r="B9" s="4086" t="s">
        <v>3783</v>
      </c>
      <c r="C9" s="4093">
        <f ca="1">ROUND(C7*F9,0)</f>
        <v>0</v>
      </c>
      <c r="D9" s="2715" t="s">
        <v>3787</v>
      </c>
      <c r="E9" s="186" t="s">
        <v>684</v>
      </c>
      <c r="F9" s="2767">
        <f ca="1">INDIRECT("'数据-取费表'!w"&amp;$G$1)</f>
        <v>0</v>
      </c>
      <c r="G9" s="935"/>
      <c r="H9" s="2700" t="s">
        <v>3392</v>
      </c>
      <c r="I9" s="4086" t="s">
        <v>3783</v>
      </c>
      <c r="J9" s="2743">
        <f ca="1">ROUND(J7*M9,0)</f>
        <v>0</v>
      </c>
      <c r="K9" s="2715" t="s">
        <v>3787</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3667</v>
      </c>
      <c r="B13" s="717" t="s">
        <v>3909</v>
      </c>
      <c r="C13" s="3853">
        <f ca="1">ROUND(C14+C22+C24+C26,0)</f>
        <v>0</v>
      </c>
      <c r="D13" s="4222" t="s">
        <v>3910</v>
      </c>
      <c r="E13" s="4006"/>
      <c r="F13" s="4004"/>
      <c r="G13" s="4001"/>
      <c r="H13" s="716" t="s">
        <v>3667</v>
      </c>
      <c r="I13" s="717" t="s">
        <v>3909</v>
      </c>
      <c r="J13" s="3853">
        <f ca="1">ROUND(J14+J22+J24+J26,0)</f>
        <v>0</v>
      </c>
      <c r="K13" s="4221" t="s">
        <v>3911</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3957</v>
      </c>
      <c r="C14" s="2702">
        <f ca="1">ROUND(IF(AND(项目基本情况!B11="自然人",项目基本情况!B10="北京市",M56="住宅"),C6*F14,C15+C19+C20),2)</f>
        <v>0</v>
      </c>
      <c r="D14" s="900" t="s">
        <v>3436</v>
      </c>
      <c r="E14" s="900" t="str">
        <f>IF(M56="非住宅","","综合税率")</f>
        <v/>
      </c>
      <c r="F14" s="3837" t="str">
        <f>IF(M56="非住宅","",IF(F6*F7*F8/12/(1+'数据-取费表'!F30)&gt;100000,4%,2.5%))</f>
        <v/>
      </c>
      <c r="G14" s="935"/>
      <c r="H14" s="658" t="s">
        <v>392</v>
      </c>
      <c r="I14" s="2713" t="s">
        <v>3962</v>
      </c>
      <c r="J14" s="2702">
        <f ca="1">ROUND(IF(AND(项目基本情况!B11="自然人",项目基本情况!B10="北京市",M56="住宅"),J6*M14/(1+'数据-取费表'!C43),J15+J19+J20),0)</f>
        <v>0</v>
      </c>
      <c r="K14" s="2740" t="s">
        <v>3435</v>
      </c>
      <c r="L14" s="900" t="str">
        <f>E14</f>
        <v/>
      </c>
      <c r="M14" s="3837" t="str">
        <f>IF(M56="非住宅","",IF(M6*M7*M8/12/(1+'数据-取费表'!F30)&gt;100000,4%,2.5%))</f>
        <v/>
      </c>
    </row>
    <row r="15" spans="1:37" s="946" customFormat="1" ht="18" customHeight="1">
      <c r="A15" s="2700" t="s">
        <v>391</v>
      </c>
      <c r="B15" s="2713" t="s">
        <v>3954</v>
      </c>
      <c r="C15" s="2702">
        <f ca="1">C18</f>
        <v>0</v>
      </c>
      <c r="D15" s="2430" t="s">
        <v>3953</v>
      </c>
      <c r="E15" s="4090"/>
      <c r="F15" s="4123"/>
      <c r="G15" s="945"/>
      <c r="H15" s="2700" t="s">
        <v>391</v>
      </c>
      <c r="I15" s="2713" t="s">
        <v>3954</v>
      </c>
      <c r="J15" s="2702">
        <f ca="1">J18</f>
        <v>0</v>
      </c>
      <c r="K15" s="2715" t="s">
        <v>3953</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650">
        <f ca="1">ROUND(C6*F16,0)</f>
        <v>0</v>
      </c>
      <c r="D16" s="994" t="s">
        <v>3847</v>
      </c>
      <c r="E16" s="2721" t="s">
        <v>3397</v>
      </c>
      <c r="F16" s="2765">
        <v>0.09</v>
      </c>
      <c r="G16" s="935"/>
      <c r="H16" s="2505" t="s">
        <v>3279</v>
      </c>
      <c r="I16" s="2717" t="s">
        <v>3395</v>
      </c>
      <c r="J16" s="2650">
        <f ca="1">ROUND(J6*M16,0)</f>
        <v>0</v>
      </c>
      <c r="K16" s="3978" t="s">
        <v>3848</v>
      </c>
      <c r="L16" s="2721" t="s">
        <v>3397</v>
      </c>
      <c r="M16" s="3436">
        <v>0.09</v>
      </c>
    </row>
    <row r="17" spans="1:37" s="946" customFormat="1" ht="18" customHeight="1">
      <c r="A17" s="2505" t="s">
        <v>3280</v>
      </c>
      <c r="B17" s="2717" t="s">
        <v>3396</v>
      </c>
      <c r="C17" s="3024">
        <f ca="1">ROUND(C22*F16+((C24+C26)*F17),0)</f>
        <v>0</v>
      </c>
      <c r="D17" s="3978" t="s">
        <v>3850</v>
      </c>
      <c r="E17" s="2722"/>
      <c r="F17" s="2765">
        <v>0.06</v>
      </c>
      <c r="G17" s="945"/>
      <c r="H17" s="2505" t="s">
        <v>3280</v>
      </c>
      <c r="I17" s="2717" t="s">
        <v>3396</v>
      </c>
      <c r="J17" s="3024">
        <f ca="1">ROUND(J22*M16+((J24+J26)*M17),0)</f>
        <v>0</v>
      </c>
      <c r="K17" s="3980" t="s">
        <v>3849</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3951</v>
      </c>
      <c r="B18" s="2717" t="s">
        <v>3950</v>
      </c>
      <c r="C18" s="3024">
        <f ca="1">ROUND((C16-C17)*F18,0)</f>
        <v>0</v>
      </c>
      <c r="D18" s="2740" t="s">
        <v>3973</v>
      </c>
      <c r="E18" s="186" t="s">
        <v>3974</v>
      </c>
      <c r="F18" s="2765">
        <f>'数据-取费表'!B44</f>
        <v>0.12000000000000001</v>
      </c>
      <c r="G18" s="945"/>
      <c r="H18" s="2505" t="s">
        <v>3951</v>
      </c>
      <c r="I18" s="2717" t="s">
        <v>3950</v>
      </c>
      <c r="J18" s="3024">
        <f ca="1">ROUND((J16-J17)*M18,0)</f>
        <v>0</v>
      </c>
      <c r="K18" s="2740" t="s">
        <v>3973</v>
      </c>
      <c r="L18" s="186" t="s">
        <v>3974</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3955</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3960</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3956</v>
      </c>
      <c r="C20" s="3025">
        <f ca="1">IF(AND(项目基本情况!B11="自然人",M56="住宅"),"——",ROUND(F20*F21,0))</f>
        <v>0</v>
      </c>
      <c r="D20" s="207" t="s">
        <v>716</v>
      </c>
      <c r="E20" s="186" t="s">
        <v>717</v>
      </c>
      <c r="F20" s="3420">
        <f>'数据-取费表'!B53</f>
        <v>12</v>
      </c>
      <c r="G20" s="935"/>
      <c r="H20" s="4091" t="s">
        <v>666</v>
      </c>
      <c r="I20" s="3925" t="s">
        <v>3956</v>
      </c>
      <c r="J20" s="3025">
        <f ca="1">ROUND(M20*M21,0)</f>
        <v>0</v>
      </c>
      <c r="K20" s="207" t="s">
        <v>716</v>
      </c>
      <c r="L20" s="186" t="s">
        <v>717</v>
      </c>
      <c r="M20" s="3438">
        <f>'数据-取费表'!B53</f>
        <v>12</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0</v>
      </c>
      <c r="D22" s="1776" t="s">
        <v>724</v>
      </c>
      <c r="E22" s="186" t="s">
        <v>697</v>
      </c>
      <c r="F22" s="2767">
        <f ca="1">INDIRECT("'数据-取费表'!Ak"&amp;$G$1)</f>
        <v>0</v>
      </c>
      <c r="G22" s="945"/>
      <c r="H22" s="3859" t="s">
        <v>396</v>
      </c>
      <c r="I22" s="56" t="s">
        <v>723</v>
      </c>
      <c r="J22" s="3879">
        <f ca="1">ROUND(J35*M22,0)</f>
        <v>0</v>
      </c>
      <c r="K22" s="1776" t="s">
        <v>724</v>
      </c>
      <c r="L22" s="186" t="s">
        <v>697</v>
      </c>
      <c r="M22" s="3901">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3808</v>
      </c>
      <c r="F23" s="3413">
        <f ca="1">C51</f>
        <v>0</v>
      </c>
      <c r="G23" s="945"/>
      <c r="H23" s="209"/>
      <c r="I23" s="195"/>
      <c r="J23" s="3880"/>
      <c r="K23" s="3926"/>
      <c r="L23" s="2713" t="s">
        <v>3808</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0</v>
      </c>
      <c r="D24" s="1776" t="s">
        <v>3433</v>
      </c>
      <c r="E24" s="186" t="s">
        <v>697</v>
      </c>
      <c r="F24" s="2767">
        <f ca="1">INDIRECT("'数据-取费表'!Al"&amp;$G$1)</f>
        <v>0</v>
      </c>
      <c r="G24" s="935"/>
      <c r="H24" s="3859" t="s">
        <v>431</v>
      </c>
      <c r="I24" s="56" t="s">
        <v>727</v>
      </c>
      <c r="J24" s="3879">
        <f ca="1">ROUND(J37*M24,0)</f>
        <v>0</v>
      </c>
      <c r="K24" s="1776" t="s">
        <v>728</v>
      </c>
      <c r="L24" s="186" t="s">
        <v>697</v>
      </c>
      <c r="M24" s="3901">
        <f ca="1">INDIRECT("'数据-取费表'!Al"&amp;$G$1)</f>
        <v>0</v>
      </c>
    </row>
    <row r="25" spans="1:37" ht="18" customHeight="1">
      <c r="A25" s="209"/>
      <c r="B25" s="195"/>
      <c r="C25" s="3880"/>
      <c r="D25" s="3926"/>
      <c r="E25" s="3925" t="s">
        <v>3809</v>
      </c>
      <c r="F25" s="3413">
        <f ca="1">C53</f>
        <v>0</v>
      </c>
      <c r="G25" s="935"/>
      <c r="H25" s="209"/>
      <c r="I25" s="195"/>
      <c r="J25" s="3880"/>
      <c r="K25" s="3926"/>
      <c r="L25" s="3925" t="s">
        <v>3809</v>
      </c>
      <c r="M25" s="3440">
        <f ca="1">J37</f>
        <v>0</v>
      </c>
    </row>
    <row r="26" spans="1:37" s="946" customFormat="1" ht="18" customHeight="1" thickBot="1">
      <c r="A26" s="726" t="s">
        <v>669</v>
      </c>
      <c r="B26" s="727" t="s">
        <v>713</v>
      </c>
      <c r="C26" s="3027">
        <f ca="1">ROUND(C5*F26,0)</f>
        <v>0</v>
      </c>
      <c r="D26" s="729" t="s">
        <v>3854</v>
      </c>
      <c r="E26" s="727" t="s">
        <v>697</v>
      </c>
      <c r="F26" s="2830">
        <f ca="1">INDIRECT("'数据-取费表'!Am"&amp;$G$1)</f>
        <v>0</v>
      </c>
      <c r="G26" s="945"/>
      <c r="H26" s="726" t="s">
        <v>669</v>
      </c>
      <c r="I26" s="727" t="s">
        <v>713</v>
      </c>
      <c r="J26" s="3027">
        <f ca="1">ROUND(J5*M26,0)</f>
        <v>0</v>
      </c>
      <c r="K26" s="729" t="s">
        <v>3854</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3291</v>
      </c>
      <c r="B27" s="731" t="s">
        <v>3912</v>
      </c>
      <c r="C27" s="3853">
        <f ca="1">C5-C13</f>
        <v>0</v>
      </c>
      <c r="D27" s="4221" t="s">
        <v>3895</v>
      </c>
      <c r="E27" s="4010"/>
      <c r="F27" s="4011"/>
      <c r="G27" s="498"/>
      <c r="H27" s="716" t="s">
        <v>3291</v>
      </c>
      <c r="I27" s="731" t="s">
        <v>3912</v>
      </c>
      <c r="J27" s="3853">
        <f ca="1">J5-J13</f>
        <v>0</v>
      </c>
      <c r="K27" s="4221" t="s">
        <v>3895</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12" t="e">
        <f ca="1">ROUND(C27*(1-((1+F30)/(1+F28))^F29)/(F28-F30),0)</f>
        <v>#DIV/0!</v>
      </c>
      <c r="D28" s="4013" t="s">
        <v>3913</v>
      </c>
      <c r="E28" s="2725" t="s">
        <v>3881</v>
      </c>
      <c r="F28" s="2767">
        <f ca="1">INDIRECT("'数据-取费表'!I"&amp;$G$1)</f>
        <v>0</v>
      </c>
      <c r="G28" s="4001"/>
      <c r="H28" s="183" t="s">
        <v>3669</v>
      </c>
      <c r="I28" s="3913" t="s">
        <v>3800</v>
      </c>
      <c r="J28" s="3928">
        <f ca="1">IF(J5&lt;&gt;0,ROUND(J27*(1-((1+M30)/(1+M28))^M29)/(M28-M30),0),0)</f>
        <v>0</v>
      </c>
      <c r="K28" s="4013" t="s">
        <v>3913</v>
      </c>
      <c r="L28" s="4014" t="s">
        <v>3881</v>
      </c>
      <c r="M28" s="3434">
        <f ca="1">INDIRECT("'数据-取费表'!I"&amp;$G$1)</f>
        <v>0</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3884</v>
      </c>
      <c r="F29" s="2768">
        <f ca="1">IF(INDIRECT("'数据-取费表'!af"&amp;$G$1)=0,INDIRECT("'数据-取费表'!ae"&amp;$G$1),INDIRECT("'数据-取费表'!af"&amp;$G$1))</f>
        <v>0</v>
      </c>
      <c r="G29" s="4001"/>
      <c r="H29" s="188"/>
      <c r="I29" s="189"/>
      <c r="J29" s="3929"/>
      <c r="K29" s="4015"/>
      <c r="L29" s="2725" t="s">
        <v>3884</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3886</v>
      </c>
      <c r="F30" s="2767">
        <f ca="1">INDIRECT("'数据-取费表'!v"&amp;$G$1)</f>
        <v>0</v>
      </c>
      <c r="G30" s="4001"/>
      <c r="H30" s="192"/>
      <c r="I30" s="193"/>
      <c r="J30" s="3930"/>
      <c r="K30" s="731"/>
      <c r="L30" s="2725" t="s">
        <v>3886</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3887</v>
      </c>
      <c r="C31" s="3838" t="e">
        <f ca="1">ROUND(C28*(1+F31),0)</f>
        <v>#DIV/0!</v>
      </c>
      <c r="D31" s="4016" t="s">
        <v>3673</v>
      </c>
      <c r="E31" s="4017" t="str">
        <f>IF(D31="其他类型公式—收益价值×（1+9%）","销项税率","征收率")</f>
        <v>销项税率</v>
      </c>
      <c r="F31" s="4047">
        <f>IF(D31="其他类型公式—收益价值×（1+9%）",9%,3%)</f>
        <v>0.09</v>
      </c>
      <c r="G31" s="498"/>
      <c r="H31" s="199" t="s">
        <v>3670</v>
      </c>
      <c r="I31" s="2725" t="s">
        <v>3888</v>
      </c>
      <c r="J31" s="2743">
        <f ca="1">ROUND(J28/(1+F28)^F29,0)</f>
        <v>0</v>
      </c>
      <c r="K31" s="2684" t="s">
        <v>3914</v>
      </c>
      <c r="L31" s="2725"/>
      <c r="M31" s="4125">
        <f ca="1">INDIRECT("'数据-取费表'!k"&amp;$G$1)</f>
        <v>0</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ROUND(C31/F32,0)</f>
        <v>#DIV/0!</v>
      </c>
      <c r="D32" s="4018" t="s">
        <v>3889</v>
      </c>
      <c r="E32" s="217" t="s">
        <v>3890</v>
      </c>
      <c r="F32" s="2769">
        <f ca="1">INDIRECT("'数据-取费表'!k"&amp;$G$1)</f>
        <v>0</v>
      </c>
      <c r="G32" s="498"/>
      <c r="H32" s="3831" t="s">
        <v>3672</v>
      </c>
      <c r="I32" s="3832" t="s">
        <v>3891</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thickBot="1">
      <c r="A34" s="3994" t="s">
        <v>3915</v>
      </c>
      <c r="B34" s="3995" t="s">
        <v>3916</v>
      </c>
      <c r="C34" s="3996" t="s">
        <v>3976</v>
      </c>
      <c r="D34" s="3995" t="s">
        <v>3917</v>
      </c>
      <c r="E34" s="3997" t="s">
        <v>3918</v>
      </c>
      <c r="F34" s="3998"/>
      <c r="G34" s="4001"/>
      <c r="H34" s="3994" t="s">
        <v>3915</v>
      </c>
      <c r="I34" s="3995" t="s">
        <v>3916</v>
      </c>
      <c r="J34" s="3996" t="s">
        <v>3976</v>
      </c>
      <c r="K34" s="3995" t="s">
        <v>3917</v>
      </c>
      <c r="L34" s="3997" t="s">
        <v>3918</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3398</v>
      </c>
      <c r="B35" s="2724" t="s">
        <v>3399</v>
      </c>
      <c r="C35" s="3415">
        <f ca="1">SUM(C36:C41)</f>
        <v>0</v>
      </c>
      <c r="D35" s="2736" t="s">
        <v>3406</v>
      </c>
      <c r="E35" s="2732"/>
      <c r="F35" s="2733"/>
      <c r="G35" s="935"/>
      <c r="H35" s="2746" t="s">
        <v>3398</v>
      </c>
      <c r="I35" s="2749" t="s">
        <v>3438</v>
      </c>
      <c r="J35" s="2750">
        <f ca="1">C51</f>
        <v>0</v>
      </c>
      <c r="K35" s="3200" t="s">
        <v>3434</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3426</v>
      </c>
      <c r="J36" s="2650">
        <f ca="1">ROUND(J35*(1-M36),0)</f>
        <v>0</v>
      </c>
      <c r="K36" s="186" t="s">
        <v>3429</v>
      </c>
      <c r="L36" s="2715" t="s">
        <v>3441</v>
      </c>
      <c r="M36" s="2767">
        <f ca="1">INDIRECT("'数据-取费表'!ad"&amp;$G$1)</f>
        <v>0</v>
      </c>
    </row>
    <row r="37" spans="1:37" ht="18" customHeight="1" thickBot="1">
      <c r="A37" s="2700" t="s">
        <v>3392</v>
      </c>
      <c r="B37" s="2665" t="s">
        <v>695</v>
      </c>
      <c r="C37" s="2702">
        <f ca="1">ROUND(C36*F37,0)</f>
        <v>0</v>
      </c>
      <c r="D37" s="186" t="s">
        <v>696</v>
      </c>
      <c r="E37" s="186" t="s">
        <v>697</v>
      </c>
      <c r="F37" s="2765">
        <f>'数据-取费表'!B33</f>
        <v>0.02</v>
      </c>
      <c r="G37" s="935"/>
      <c r="H37" s="2748" t="s">
        <v>3417</v>
      </c>
      <c r="I37" s="2753" t="s">
        <v>3428</v>
      </c>
      <c r="J37" s="2754">
        <f ca="1">J35-J36</f>
        <v>0</v>
      </c>
      <c r="K37" s="2734" t="s">
        <v>3463</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ROUND(F39*(F32+INDIRECT("'数据-取费表'!S"&amp;$G$1)),0)</f>
        <v>0</v>
      </c>
      <c r="D39" s="186" t="s">
        <v>702</v>
      </c>
      <c r="E39" s="186" t="s">
        <v>3861</v>
      </c>
      <c r="F39" s="3423">
        <f>'数据-取费表'!B35</f>
        <v>360</v>
      </c>
      <c r="G39" s="935"/>
    </row>
    <row r="40" spans="1:37" ht="18" customHeight="1">
      <c r="A40" s="2700" t="s">
        <v>668</v>
      </c>
      <c r="B40" s="2717" t="s">
        <v>3283</v>
      </c>
      <c r="C40" s="2702">
        <f ca="1">ROUND(C36*F40,0)</f>
        <v>0</v>
      </c>
      <c r="D40" s="186" t="s">
        <v>696</v>
      </c>
      <c r="E40" s="186" t="s">
        <v>697</v>
      </c>
      <c r="F40" s="2765">
        <f>'数据-取费表'!B36</f>
        <v>1.4999999999999999E-2</v>
      </c>
      <c r="G40" s="935"/>
      <c r="H40" s="47"/>
      <c r="I40" s="47"/>
      <c r="J40" s="47"/>
      <c r="K40" s="1861"/>
      <c r="L40" s="47"/>
      <c r="M40" s="47"/>
    </row>
    <row r="41" spans="1:37" ht="18" customHeight="1">
      <c r="A41" s="2700" t="s">
        <v>668</v>
      </c>
      <c r="B41" s="2717" t="s">
        <v>3284</v>
      </c>
      <c r="C41" s="2702">
        <f ca="1">ROUND(C36*F41,0)</f>
        <v>0</v>
      </c>
      <c r="D41" s="186" t="s">
        <v>696</v>
      </c>
      <c r="E41" s="186" t="s">
        <v>697</v>
      </c>
      <c r="F41" s="2765">
        <f>'数据-取费表'!B37</f>
        <v>1.4999999999999999E-2</v>
      </c>
      <c r="G41" s="935"/>
      <c r="H41" s="47"/>
      <c r="I41" s="47"/>
      <c r="J41" s="47"/>
      <c r="K41" s="1861"/>
      <c r="L41" s="47"/>
      <c r="M41" s="47"/>
    </row>
    <row r="42" spans="1:37" ht="18" customHeight="1">
      <c r="A42" s="199" t="s">
        <v>3413</v>
      </c>
      <c r="B42" s="2725" t="s">
        <v>3414</v>
      </c>
      <c r="C42" s="2743">
        <f ca="1">ROUND(C35*F42,0)</f>
        <v>0</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0.06V建</v>
      </c>
      <c r="D43" s="2726" t="s">
        <v>3419</v>
      </c>
      <c r="E43" s="2725" t="s">
        <v>3420</v>
      </c>
      <c r="F43" s="2767">
        <f>'数据-取费表'!B39</f>
        <v>0.06</v>
      </c>
      <c r="G43" s="935"/>
      <c r="H43" s="47"/>
      <c r="I43" s="47"/>
      <c r="J43" s="47"/>
      <c r="K43" s="1861"/>
      <c r="L43" s="47"/>
      <c r="M43" s="47"/>
    </row>
    <row r="44" spans="1:37" ht="18" customHeight="1">
      <c r="A44" s="199" t="s">
        <v>3421</v>
      </c>
      <c r="B44" s="2728" t="s">
        <v>3358</v>
      </c>
      <c r="C44" s="3416" t="str">
        <f ca="1">C45&amp;"+"&amp;C46&amp;"V建"</f>
        <v>0+0.0024V建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2.5</v>
      </c>
      <c r="G45" s="935"/>
      <c r="H45" s="47"/>
      <c r="I45" s="47"/>
      <c r="J45" s="47"/>
      <c r="K45" s="1861"/>
      <c r="L45" s="47"/>
      <c r="M45" s="47"/>
    </row>
    <row r="46" spans="1:37" ht="18" customHeight="1">
      <c r="A46" s="2700" t="s">
        <v>730</v>
      </c>
      <c r="B46" s="186" t="s">
        <v>731</v>
      </c>
      <c r="C46" s="3414">
        <f ca="1">ROUND(IF('数据-取费表'!B22&lt;=1,F43*F46*F45/2,F43*(POWER((1+F46),F45/2)-1)),4)</f>
        <v>2.3999999999999998E-3</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3422</v>
      </c>
      <c r="B47" s="2728" t="s">
        <v>3302</v>
      </c>
      <c r="C47" s="3416" t="str">
        <f ca="1">C48&amp;"+"&amp;C49&amp;"V建"</f>
        <v>0+0V建</v>
      </c>
      <c r="D47" s="2684" t="s">
        <v>3423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3920</v>
      </c>
      <c r="B50" s="2725" t="s">
        <v>3410</v>
      </c>
      <c r="C50" s="2743">
        <f>ROUND(F50/(1+'数据-取费表'!C43),4)</f>
        <v>0</v>
      </c>
      <c r="D50" s="3981" t="s">
        <v>3860</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3921</v>
      </c>
      <c r="B51" s="2725" t="s">
        <v>3922</v>
      </c>
      <c r="C51" s="2743">
        <f ca="1">ROUND((C35+C42+C45+C48)/(1-F43-C46-C49-C50),0)</f>
        <v>0</v>
      </c>
      <c r="D51" s="2739" t="s">
        <v>3434</v>
      </c>
      <c r="E51" s="2725"/>
      <c r="F51" s="2767"/>
      <c r="K51" s="4050"/>
      <c r="Q51" s="4045"/>
    </row>
    <row r="52" spans="1:37" s="4001" customFormat="1" ht="18" customHeight="1">
      <c r="A52" s="2729" t="s">
        <v>3424</v>
      </c>
      <c r="B52" s="2728" t="s">
        <v>3426</v>
      </c>
      <c r="C52" s="2743">
        <f ca="1">ROUND(C51*(1-F52),0)</f>
        <v>0</v>
      </c>
      <c r="D52" s="2725" t="s">
        <v>3923</v>
      </c>
      <c r="E52" s="2725" t="s">
        <v>3924</v>
      </c>
      <c r="F52" s="2767">
        <f ca="1">INDIRECT("'数据-取费表'!y"&amp;$G$1)</f>
        <v>0</v>
      </c>
      <c r="K52" s="4050"/>
      <c r="Q52" s="4045"/>
    </row>
    <row r="53" spans="1:37" s="4001" customFormat="1" ht="18" customHeight="1" thickBot="1">
      <c r="A53" s="2730" t="s">
        <v>3919</v>
      </c>
      <c r="B53" s="2738" t="s">
        <v>3432</v>
      </c>
      <c r="C53" s="2754">
        <f ca="1">C51-C52</f>
        <v>0</v>
      </c>
      <c r="D53" s="2734" t="s">
        <v>3925</v>
      </c>
      <c r="E53" s="217"/>
      <c r="F53" s="2735"/>
      <c r="K53" s="4050"/>
      <c r="Q53" s="4045"/>
    </row>
    <row r="54" spans="1:37" s="935" customFormat="1" ht="18" customHeight="1" thickBot="1">
      <c r="A54" s="949"/>
      <c r="B54" s="949"/>
      <c r="C54" s="950"/>
      <c r="D54" s="949"/>
      <c r="E54" s="949"/>
      <c r="F54" s="949"/>
      <c r="I54" s="2756" t="s">
        <v>3442</v>
      </c>
      <c r="J54" s="494"/>
      <c r="O54" s="1965" t="s">
        <v>793</v>
      </c>
      <c r="P54" s="1008"/>
      <c r="Q54" s="3428"/>
      <c r="R54" s="1008"/>
    </row>
    <row r="55" spans="1:37" s="935" customFormat="1" ht="13.5" thickBot="1">
      <c r="A55" s="2473" t="s">
        <v>3952</v>
      </c>
      <c r="C55" s="4224" t="e">
        <f ca="1">ROUND(IF(D2="含税",C83-C31,C80-C28)/10000,4)</f>
        <v>#DIV/0!</v>
      </c>
      <c r="D55" s="955" t="str">
        <f>C2</f>
        <v>万元</v>
      </c>
      <c r="E55" s="949"/>
      <c r="F55" s="949"/>
      <c r="I55" s="956" t="s">
        <v>795</v>
      </c>
      <c r="J55" s="957"/>
      <c r="K55" s="958"/>
      <c r="L55" s="3897" t="e">
        <f ca="1">IF(M56="住宅",0,IF(L57&gt;J60,L69,J69))</f>
        <v>#DIV/0!</v>
      </c>
      <c r="O55" s="4035" t="s">
        <v>1325</v>
      </c>
      <c r="P55" s="4036" t="s">
        <v>3896</v>
      </c>
      <c r="Q55" s="4056" t="s">
        <v>3897</v>
      </c>
      <c r="R55" s="4037" t="s">
        <v>3898</v>
      </c>
    </row>
    <row r="56" spans="1:37" s="935" customFormat="1" ht="13.5" thickBot="1">
      <c r="A56" s="4022" t="s">
        <v>3867</v>
      </c>
      <c r="B56" s="4023" t="s">
        <v>3868</v>
      </c>
      <c r="C56" s="3996" t="s">
        <v>3976</v>
      </c>
      <c r="D56" s="4023" t="s">
        <v>3869</v>
      </c>
      <c r="E56" s="4024" t="s">
        <v>3870</v>
      </c>
      <c r="F56" s="4051"/>
      <c r="G56" s="490"/>
      <c r="I56" s="963" t="s">
        <v>800</v>
      </c>
      <c r="J56" s="964"/>
      <c r="K56" s="965" t="s">
        <v>801</v>
      </c>
      <c r="L56" s="3898">
        <f ca="1">INDIRECT("'数据-取费表'!d"&amp;$G$1)</f>
        <v>0</v>
      </c>
      <c r="M56" s="931" t="str">
        <f>IF(ISNUMBER(FIND("住宅",C1)),"住宅","非住宅")</f>
        <v>非住宅</v>
      </c>
      <c r="O56" s="4038" t="s">
        <v>397</v>
      </c>
      <c r="P56" s="4042" t="s">
        <v>3936</v>
      </c>
      <c r="Q56" s="4043" t="e">
        <f ca="1">C28+J31</f>
        <v>#DIV/0!</v>
      </c>
      <c r="R56" s="4040" t="s">
        <v>3900</v>
      </c>
    </row>
    <row r="57" spans="1:37" s="935" customFormat="1" ht="42.75" thickBot="1">
      <c r="A57" s="652" t="s">
        <v>432</v>
      </c>
      <c r="B57" s="184" t="s">
        <v>3892</v>
      </c>
      <c r="C57" s="4025">
        <f ca="1">C58+C62+C64</f>
        <v>0</v>
      </c>
      <c r="D57" s="4002" t="s">
        <v>3926</v>
      </c>
      <c r="E57" s="4026"/>
      <c r="F57" s="4052"/>
      <c r="G57" s="490"/>
      <c r="H57" s="491"/>
      <c r="I57" s="970" t="s">
        <v>804</v>
      </c>
      <c r="J57" s="971"/>
      <c r="K57" s="972" t="s">
        <v>805</v>
      </c>
      <c r="L57" s="3887">
        <f ca="1">INDIRECT("'数据-取费表'!f"&amp;$G$1)</f>
        <v>0</v>
      </c>
      <c r="O57" s="4038" t="s">
        <v>398</v>
      </c>
      <c r="P57" s="4039" t="s">
        <v>3901</v>
      </c>
      <c r="Q57" s="4043" t="e">
        <f ca="1">J69</f>
        <v>#DIV/0!</v>
      </c>
      <c r="R57" s="4040" t="s">
        <v>3902</v>
      </c>
    </row>
    <row r="58" spans="1:37" s="935" customFormat="1" ht="15" customHeight="1" thickBot="1">
      <c r="A58" s="3864" t="s">
        <v>3797</v>
      </c>
      <c r="B58" s="2714" t="s">
        <v>3784</v>
      </c>
      <c r="C58" s="2757">
        <f ca="1">C59-C61</f>
        <v>0</v>
      </c>
      <c r="D58" s="2715" t="s">
        <v>3788</v>
      </c>
      <c r="E58" s="2737" t="s">
        <v>3431</v>
      </c>
      <c r="F58" s="2759"/>
      <c r="H58" s="491"/>
      <c r="I58" s="970" t="s">
        <v>808</v>
      </c>
      <c r="J58" s="3885"/>
      <c r="K58" s="972" t="s">
        <v>809</v>
      </c>
      <c r="L58" s="3899"/>
      <c r="O58" s="976" t="s">
        <v>399</v>
      </c>
      <c r="P58" s="4058" t="s">
        <v>3937</v>
      </c>
      <c r="Q58" s="3429">
        <f ca="1">C51</f>
        <v>0</v>
      </c>
      <c r="R58" s="969" t="s">
        <v>803</v>
      </c>
    </row>
    <row r="59" spans="1:37" s="935" customFormat="1" ht="15" customHeight="1" thickBot="1">
      <c r="A59" s="3871" t="s">
        <v>3785</v>
      </c>
      <c r="B59" s="4528" t="s">
        <v>3782</v>
      </c>
      <c r="C59" s="3912">
        <f ca="1">ROUND(F58*F60*F59,0)</f>
        <v>0</v>
      </c>
      <c r="D59" s="4527" t="s">
        <v>3462</v>
      </c>
      <c r="E59" s="698" t="s">
        <v>682</v>
      </c>
      <c r="F59" s="2760">
        <f ca="1">F7</f>
        <v>0</v>
      </c>
      <c r="H59" s="491"/>
      <c r="I59" s="970" t="s">
        <v>811</v>
      </c>
      <c r="J59" s="3903">
        <f>SUMPRODUCT((I72:I74=J56)*(J71:L71=J57)*(J72:L74))</f>
        <v>0</v>
      </c>
      <c r="K59" s="972" t="s">
        <v>812</v>
      </c>
      <c r="L59" s="3899"/>
      <c r="M59" s="978"/>
      <c r="O59" s="976" t="s">
        <v>400</v>
      </c>
      <c r="P59" s="968" t="s">
        <v>813</v>
      </c>
      <c r="Q59" s="3430" t="e">
        <f ca="1">J67</f>
        <v>#DIV/0!</v>
      </c>
      <c r="R59" s="969"/>
    </row>
    <row r="60" spans="1:37" s="935" customFormat="1" ht="15" customHeight="1" thickBot="1">
      <c r="A60" s="4124"/>
      <c r="B60" s="4529"/>
      <c r="C60" s="3852"/>
      <c r="D60" s="4527"/>
      <c r="E60" s="657" t="str">
        <f ca="1">IF(F60=1,"年",IF(F60=12,"月","天"))</f>
        <v>天</v>
      </c>
      <c r="F60" s="2761">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37" s="935" customFormat="1" ht="15" customHeight="1" thickBot="1">
      <c r="A61" s="3851" t="s">
        <v>3786</v>
      </c>
      <c r="B61" s="4086" t="s">
        <v>3783</v>
      </c>
      <c r="C61" s="2758">
        <f ca="1">ROUND(C59*F61,0)</f>
        <v>0</v>
      </c>
      <c r="D61" s="2715" t="s">
        <v>3787</v>
      </c>
      <c r="E61" s="657" t="s">
        <v>684</v>
      </c>
      <c r="F61" s="2762"/>
      <c r="I61" s="984" t="s">
        <v>817</v>
      </c>
      <c r="J61" s="3888"/>
      <c r="K61" s="984" t="s">
        <v>818</v>
      </c>
      <c r="L61" s="3902"/>
      <c r="O61" s="976" t="s">
        <v>402</v>
      </c>
      <c r="P61" s="968" t="s">
        <v>819</v>
      </c>
      <c r="Q61" s="3429">
        <f ca="1">J62</f>
        <v>-2.5</v>
      </c>
      <c r="R61" s="969" t="s">
        <v>820</v>
      </c>
    </row>
    <row r="62" spans="1:37" s="935" customFormat="1" ht="24.75" thickBot="1">
      <c r="A62" s="3874" t="s">
        <v>3439</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-2.5</v>
      </c>
      <c r="K62" s="4531" t="s">
        <v>822</v>
      </c>
      <c r="L62" s="4532"/>
      <c r="O62" s="4038" t="s">
        <v>403</v>
      </c>
      <c r="P62" s="4042" t="s">
        <v>3938</v>
      </c>
      <c r="Q62" s="4043" t="e">
        <f ca="1">ROUND((Q56+Q57)*(1+F31),0)</f>
        <v>#DIV/0!</v>
      </c>
      <c r="R62" s="4040" t="s">
        <v>3940</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5" t="s">
        <v>1325</v>
      </c>
      <c r="P64" s="4036" t="s">
        <v>3896</v>
      </c>
      <c r="Q64" s="4056" t="s">
        <v>3897</v>
      </c>
      <c r="R64" s="4037" t="s">
        <v>3898</v>
      </c>
    </row>
    <row r="65" spans="1:18" s="935" customFormat="1" ht="25.5" thickTop="1" thickBot="1">
      <c r="A65" s="199" t="s">
        <v>3927</v>
      </c>
      <c r="B65" s="634" t="s">
        <v>3909</v>
      </c>
      <c r="C65" s="2743">
        <f ca="1">ROUND(C66+C74+C76+C78,0)</f>
        <v>0</v>
      </c>
      <c r="D65" s="634" t="s">
        <v>3928</v>
      </c>
      <c r="E65" s="4053"/>
      <c r="F65" s="638"/>
      <c r="I65" s="996" t="s">
        <v>827</v>
      </c>
      <c r="J65" s="997"/>
      <c r="K65" s="970" t="s">
        <v>828</v>
      </c>
      <c r="L65" s="3887">
        <f ca="1">IF(L57&lt;J60,"——",L57-J62)</f>
        <v>2.5</v>
      </c>
      <c r="O65" s="4038" t="s">
        <v>397</v>
      </c>
      <c r="P65" s="4042" t="s">
        <v>3936</v>
      </c>
      <c r="Q65" s="4043" t="e">
        <f ca="1">C28+J31</f>
        <v>#DIV/0!</v>
      </c>
      <c r="R65" s="4040" t="s">
        <v>3900</v>
      </c>
    </row>
    <row r="66" spans="1:18" s="935" customFormat="1" ht="24.75" thickBot="1">
      <c r="A66" s="519" t="s">
        <v>392</v>
      </c>
      <c r="B66" s="2695" t="s">
        <v>3962</v>
      </c>
      <c r="C66" s="2702">
        <f ca="1">ROUND(IF(AND(项目基本情况!B11="自然人",项目基本情况!B10="北京市",M56="住宅"),C58*F66,C67+C71+C72),0)</f>
        <v>0</v>
      </c>
      <c r="D66" s="639" t="s">
        <v>3436</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3903</v>
      </c>
      <c r="Q66" s="4043" t="e">
        <f ca="1">L69</f>
        <v>#DIV/0!</v>
      </c>
      <c r="R66" s="4040" t="s">
        <v>3904</v>
      </c>
    </row>
    <row r="67" spans="1:18" s="935" customFormat="1" ht="24.75" thickBot="1">
      <c r="A67" s="2700" t="s">
        <v>391</v>
      </c>
      <c r="B67" s="2713" t="s">
        <v>3954</v>
      </c>
      <c r="C67" s="2702">
        <f ca="1">C70</f>
        <v>0</v>
      </c>
      <c r="D67" s="2715" t="s">
        <v>3953</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3279</v>
      </c>
      <c r="B68" s="2717" t="s">
        <v>3395</v>
      </c>
      <c r="C68" s="2702">
        <f ca="1">ROUND(C58*F68,0)</f>
        <v>0</v>
      </c>
      <c r="D68" s="994" t="s">
        <v>3856</v>
      </c>
      <c r="E68" s="2721" t="s">
        <v>3397</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3280</v>
      </c>
      <c r="B69" s="2717" t="s">
        <v>3396</v>
      </c>
      <c r="C69" s="2702">
        <f ca="1">ROUND(C74*F68+((C76+C78)*F69),0)</f>
        <v>0</v>
      </c>
      <c r="D69" s="3978" t="s">
        <v>3850</v>
      </c>
      <c r="E69" s="2722"/>
      <c r="F69" s="2765">
        <f>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3951</v>
      </c>
      <c r="B70" s="2717" t="s">
        <v>3950</v>
      </c>
      <c r="C70" s="2702">
        <f ca="1">ROUND((C68-C69)*F70,0)</f>
        <v>0</v>
      </c>
      <c r="D70" s="2740" t="s">
        <v>3973</v>
      </c>
      <c r="E70" s="186" t="s">
        <v>3975</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3960</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8" t="s">
        <v>403</v>
      </c>
      <c r="P71" s="4042" t="s">
        <v>3939</v>
      </c>
      <c r="Q71" s="4043" t="e">
        <f ca="1">ROUND((Q65+Q66)*(1+F31),0)</f>
        <v>#DIV/0!</v>
      </c>
      <c r="R71" s="4040" t="s">
        <v>3940</v>
      </c>
    </row>
    <row r="72" spans="1:18" s="935" customFormat="1" ht="13.5" thickBot="1">
      <c r="A72" s="4091" t="s">
        <v>769</v>
      </c>
      <c r="B72" s="4084" t="s">
        <v>3956</v>
      </c>
      <c r="C72" s="3025">
        <f ca="1">IF(项目基本情况!B11="自然人","——",ROUND(F72*F73,0))</f>
        <v>0</v>
      </c>
      <c r="D72" s="641" t="s">
        <v>771</v>
      </c>
      <c r="E72" s="626" t="s">
        <v>717</v>
      </c>
      <c r="F72" s="3420">
        <f t="shared" si="0"/>
        <v>12</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3896</v>
      </c>
      <c r="Q73" s="4056" t="s">
        <v>3897</v>
      </c>
      <c r="R73" s="4037" t="s">
        <v>3898</v>
      </c>
    </row>
    <row r="74" spans="1:18" s="935" customFormat="1" ht="13.5" thickBot="1">
      <c r="A74" s="3868" t="s">
        <v>774</v>
      </c>
      <c r="B74" s="625" t="s">
        <v>775</v>
      </c>
      <c r="C74" s="3879">
        <f ca="1">ROUND(F74*F75,0)</f>
        <v>0</v>
      </c>
      <c r="D74" s="3862" t="s">
        <v>724</v>
      </c>
      <c r="E74" s="2695" t="s">
        <v>3796</v>
      </c>
      <c r="F74" s="3876">
        <f ca="1">C51</f>
        <v>0</v>
      </c>
      <c r="I74" s="3424" t="s">
        <v>851</v>
      </c>
      <c r="J74" s="223">
        <v>40</v>
      </c>
      <c r="K74" s="223">
        <v>30</v>
      </c>
      <c r="L74" s="223">
        <v>50</v>
      </c>
      <c r="M74" s="1012">
        <v>0.02</v>
      </c>
      <c r="O74" s="4038" t="s">
        <v>397</v>
      </c>
      <c r="P74" s="4039" t="s">
        <v>3899</v>
      </c>
      <c r="Q74" s="4041" t="e">
        <f ca="1">C28+J31</f>
        <v>#DIV/0!</v>
      </c>
      <c r="R74" s="4040" t="s">
        <v>3900</v>
      </c>
    </row>
    <row r="75" spans="1:18" s="935" customFormat="1" ht="15" thickBot="1">
      <c r="A75" s="3870"/>
      <c r="B75" s="632"/>
      <c r="C75" s="3880"/>
      <c r="D75" s="3863"/>
      <c r="E75" s="626" t="s">
        <v>697</v>
      </c>
      <c r="F75" s="2767">
        <f ca="1">F22</f>
        <v>0</v>
      </c>
      <c r="O75" s="4038" t="s">
        <v>398</v>
      </c>
      <c r="P75" s="4039" t="s">
        <v>3903</v>
      </c>
      <c r="Q75" s="4057" t="e">
        <f ca="1">L69</f>
        <v>#DIV/0!</v>
      </c>
      <c r="R75" s="4040" t="s">
        <v>3905</v>
      </c>
    </row>
    <row r="76" spans="1:18" s="935" customFormat="1" ht="13.5" thickBot="1">
      <c r="A76" s="3868" t="s">
        <v>777</v>
      </c>
      <c r="B76" s="625" t="s">
        <v>727</v>
      </c>
      <c r="C76" s="3879">
        <f ca="1">ROUND(F76*F77,0)</f>
        <v>0</v>
      </c>
      <c r="D76" s="3862" t="s">
        <v>3433</v>
      </c>
      <c r="E76" s="2695" t="s">
        <v>3432</v>
      </c>
      <c r="F76" s="3877">
        <f ca="1">C53</f>
        <v>0</v>
      </c>
      <c r="O76" s="967"/>
      <c r="P76" s="968"/>
      <c r="Q76" s="3432"/>
      <c r="R76" s="969"/>
    </row>
    <row r="77" spans="1:18" s="935" customFormat="1" ht="16.5" thickBot="1">
      <c r="A77" s="3870"/>
      <c r="B77" s="632"/>
      <c r="C77" s="3880"/>
      <c r="D77" s="3863"/>
      <c r="E77" s="626" t="s">
        <v>697</v>
      </c>
      <c r="F77" s="2767">
        <f ca="1">F24</f>
        <v>0</v>
      </c>
      <c r="O77" s="976" t="s">
        <v>399</v>
      </c>
      <c r="P77" s="968" t="s">
        <v>834</v>
      </c>
      <c r="Q77" s="3433">
        <f ca="1">L60</f>
        <v>0</v>
      </c>
      <c r="R77" s="969" t="s">
        <v>854</v>
      </c>
    </row>
    <row r="78" spans="1:18" s="4001" customFormat="1" ht="13.5" thickBot="1">
      <c r="A78" s="519" t="s">
        <v>778</v>
      </c>
      <c r="B78" s="626" t="s">
        <v>713</v>
      </c>
      <c r="C78" s="2702">
        <f ca="1">ROUND(C57*F78,0)</f>
        <v>0</v>
      </c>
      <c r="D78" s="640" t="s">
        <v>3854</v>
      </c>
      <c r="E78" s="626" t="s">
        <v>697</v>
      </c>
      <c r="F78" s="2767">
        <f ca="1">F26</f>
        <v>0</v>
      </c>
      <c r="G78" s="935"/>
      <c r="H78" s="935"/>
      <c r="O78" s="976"/>
      <c r="P78" s="968"/>
      <c r="Q78" s="3433"/>
      <c r="R78" s="969"/>
    </row>
    <row r="79" spans="1:18" s="4001" customFormat="1" ht="16.5" thickBot="1">
      <c r="A79" s="633" t="s">
        <v>3929</v>
      </c>
      <c r="B79" s="643" t="s">
        <v>3877</v>
      </c>
      <c r="C79" s="2743">
        <f ca="1">C57-C65</f>
        <v>0</v>
      </c>
      <c r="D79" s="643" t="s">
        <v>3878</v>
      </c>
      <c r="E79" s="4027"/>
      <c r="F79" s="4028"/>
      <c r="O79" s="976" t="s">
        <v>400</v>
      </c>
      <c r="P79" s="1014" t="s">
        <v>3930</v>
      </c>
      <c r="Q79" s="3433">
        <f ca="1">ROUND(Q80-Q81*Q82,0)</f>
        <v>0</v>
      </c>
      <c r="R79" s="969" t="s">
        <v>408</v>
      </c>
    </row>
    <row r="80" spans="1:18" s="4001" customFormat="1" ht="13.5" thickBot="1">
      <c r="A80" s="3201" t="s">
        <v>388</v>
      </c>
      <c r="B80" s="624" t="s">
        <v>3879</v>
      </c>
      <c r="C80" s="3912" t="e">
        <f ca="1">ROUND(C79*(1-((1+F82)/(1+F80))^F81)/(F80-F82),0)</f>
        <v>#DIV/0!</v>
      </c>
      <c r="D80" s="4029" t="s">
        <v>3880</v>
      </c>
      <c r="E80" s="634" t="s">
        <v>3881</v>
      </c>
      <c r="F80" s="2767">
        <f ca="1">F28</f>
        <v>0</v>
      </c>
      <c r="O80" s="976" t="s">
        <v>405</v>
      </c>
      <c r="P80" s="1014" t="s">
        <v>3931</v>
      </c>
      <c r="Q80" s="3433">
        <f ca="1">C27</f>
        <v>0</v>
      </c>
      <c r="R80" s="969" t="s">
        <v>803</v>
      </c>
    </row>
    <row r="81" spans="1:18" s="4001" customFormat="1" ht="13.5" thickBot="1">
      <c r="A81" s="3202"/>
      <c r="B81" s="628"/>
      <c r="C81" s="4093"/>
      <c r="D81" s="4030" t="s">
        <v>3885</v>
      </c>
      <c r="E81" s="634" t="s">
        <v>3884</v>
      </c>
      <c r="F81" s="2768">
        <f ca="1">F29</f>
        <v>0</v>
      </c>
      <c r="O81" s="976" t="s">
        <v>406</v>
      </c>
      <c r="P81" s="1014" t="s">
        <v>3932</v>
      </c>
      <c r="Q81" s="3433">
        <f ca="1">C52</f>
        <v>0</v>
      </c>
      <c r="R81" s="969" t="s">
        <v>803</v>
      </c>
    </row>
    <row r="82" spans="1:18" s="4001" customFormat="1" ht="13.5" thickBot="1">
      <c r="A82" s="4054"/>
      <c r="B82" s="4055"/>
      <c r="C82" s="4055"/>
      <c r="D82" s="4031"/>
      <c r="E82" s="634" t="s">
        <v>3886</v>
      </c>
      <c r="F82" s="2762"/>
      <c r="O82" s="976" t="s">
        <v>407</v>
      </c>
      <c r="P82" s="1014" t="s">
        <v>3933</v>
      </c>
      <c r="Q82" s="3430">
        <f ca="1">C88</f>
        <v>0</v>
      </c>
      <c r="R82" s="969"/>
    </row>
    <row r="83" spans="1:18" s="4001" customFormat="1" ht="13.5" thickBot="1">
      <c r="A83" s="630"/>
      <c r="B83" s="2742" t="s">
        <v>3935</v>
      </c>
      <c r="C83" s="3853" t="e">
        <f ca="1">ROUND(C80*(1+F31),0)</f>
        <v>#DIV/0!</v>
      </c>
      <c r="D83" s="4223" t="str">
        <f>D31</f>
        <v>其他类型公式—收益价值×（1+9%）</v>
      </c>
      <c r="E83" s="1018"/>
      <c r="F83" s="4033"/>
      <c r="O83" s="976" t="s">
        <v>401</v>
      </c>
      <c r="P83" s="968" t="s">
        <v>3934</v>
      </c>
      <c r="Q83" s="3430">
        <f>L61</f>
        <v>0</v>
      </c>
      <c r="R83" s="969"/>
    </row>
    <row r="84" spans="1:18" ht="16.5" thickBot="1">
      <c r="A84" s="647" t="s">
        <v>389</v>
      </c>
      <c r="B84" s="648" t="s">
        <v>761</v>
      </c>
      <c r="C84" s="2754" t="e">
        <f ca="1">ROUND(C83/F84,0)</f>
        <v>#DIV/0!</v>
      </c>
      <c r="D84" s="4034" t="s">
        <v>3889</v>
      </c>
      <c r="E84" s="648" t="s">
        <v>3890</v>
      </c>
      <c r="F84" s="2769">
        <f ca="1">F32</f>
        <v>0</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3939</v>
      </c>
      <c r="Q86" s="4041" t="e">
        <f ca="1">ROUND((Q74+Q75)*(1+F31),0)</f>
        <v>#DIV/0!</v>
      </c>
      <c r="R86" s="4040" t="s">
        <v>3940</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7"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39" t="s">
        <v>679</v>
      </c>
      <c r="C6" s="712">
        <f ca="1">ROUND(F6*F8*F7*(1-F9),0)</f>
        <v>0</v>
      </c>
      <c r="D6" s="56" t="s">
        <v>2013</v>
      </c>
      <c r="E6" s="186" t="s">
        <v>681</v>
      </c>
      <c r="F6" s="187">
        <f ca="1">INDIRECT("'数据-取费表'!u"&amp;$G$1)</f>
        <v>0</v>
      </c>
      <c r="G6" s="935"/>
      <c r="H6" s="707" t="s">
        <v>392</v>
      </c>
      <c r="I6" s="4539" t="s">
        <v>679</v>
      </c>
      <c r="J6" s="185">
        <f ca="1">ROUND(M6*M8*M7*(1-M9),0)</f>
        <v>0</v>
      </c>
      <c r="K6" s="927" t="s">
        <v>2014</v>
      </c>
      <c r="L6" s="186" t="s">
        <v>681</v>
      </c>
      <c r="M6" s="187">
        <f ca="1">INDIRECT("'数据-取费表'!z"&amp;$G$1)</f>
        <v>0</v>
      </c>
    </row>
    <row r="7" spans="1:37" ht="18" customHeight="1">
      <c r="A7" s="711"/>
      <c r="B7" s="4540"/>
      <c r="C7" s="713"/>
      <c r="D7" s="191"/>
      <c r="E7" s="714" t="s">
        <v>682</v>
      </c>
      <c r="F7" s="187">
        <f ca="1">IF(INDIRECT("'数据-取费表'!ah"&amp;$G$1)="",INDIRECT("'数据-取费表'!k"&amp;$G$1),INDIRECT("'数据-取费表'!ah"&amp;$G$1))</f>
        <v>0</v>
      </c>
      <c r="G7" s="935"/>
      <c r="H7" s="188"/>
      <c r="I7" s="4540"/>
      <c r="J7" s="190"/>
      <c r="K7" s="191"/>
      <c r="L7" s="186" t="s">
        <v>682</v>
      </c>
      <c r="M7" s="187">
        <f ca="1">F7</f>
        <v>0</v>
      </c>
    </row>
    <row r="8" spans="1:37" ht="18" customHeight="1">
      <c r="A8" s="188"/>
      <c r="B8" s="4540"/>
      <c r="C8" s="190"/>
      <c r="D8" s="191"/>
      <c r="E8" s="186" t="s">
        <v>683</v>
      </c>
      <c r="F8" s="187">
        <f ca="1">INDIRECT("'数据-取费表'!ai"&amp;$G$1)</f>
        <v>0</v>
      </c>
      <c r="G8" s="935"/>
      <c r="H8" s="188"/>
      <c r="I8" s="4540"/>
      <c r="J8" s="190"/>
      <c r="K8" s="191"/>
      <c r="L8" s="186" t="s">
        <v>683</v>
      </c>
      <c r="M8" s="187">
        <f ca="1">INDIRECT("'数据-取费表'!ai"&amp;$G$1)</f>
        <v>0</v>
      </c>
    </row>
    <row r="9" spans="1:37" ht="18" customHeight="1">
      <c r="A9" s="188"/>
      <c r="B9" s="4541"/>
      <c r="C9" s="190"/>
      <c r="D9" s="191"/>
      <c r="E9" s="186" t="s">
        <v>684</v>
      </c>
      <c r="F9" s="196">
        <f ca="1">INDIRECT("'数据-取费表'!w"&amp;$G$1)</f>
        <v>0</v>
      </c>
      <c r="G9" s="935"/>
      <c r="H9" s="188"/>
      <c r="I9" s="454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360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0.06</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2.3999999999999998E-3</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12</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31" t="s">
        <v>822</v>
      </c>
      <c r="L53" s="4532"/>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12</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3235</v>
      </c>
      <c r="E2" s="2481"/>
      <c r="F2" s="2069"/>
      <c r="G2" s="2070"/>
      <c r="H2" s="2071"/>
      <c r="I2" s="2072"/>
      <c r="J2" s="4548" t="s">
        <v>2203</v>
      </c>
      <c r="K2" s="4549"/>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50" t="s">
        <v>2213</v>
      </c>
      <c r="K3" s="4551"/>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50" t="s">
        <v>2215</v>
      </c>
      <c r="K4" s="4551"/>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57" t="s">
        <v>3780</v>
      </c>
      <c r="B6" s="4558"/>
      <c r="C6" s="4559"/>
      <c r="D6" s="3444"/>
      <c r="E6" s="3580"/>
      <c r="F6" s="2092"/>
      <c r="G6" s="2093"/>
      <c r="H6" s="2071"/>
      <c r="I6" s="2072"/>
      <c r="J6" s="4542">
        <v>1</v>
      </c>
      <c r="K6" s="4543"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42"/>
      <c r="K7" s="4544"/>
      <c r="L7" s="2102" t="s">
        <v>2229</v>
      </c>
      <c r="M7" s="3678"/>
      <c r="N7" s="3677"/>
      <c r="O7" s="4227"/>
      <c r="P7" s="4227"/>
      <c r="Q7" s="3677">
        <v>365</v>
      </c>
      <c r="R7" s="3676">
        <f>ROUND(M7*N7*O7*P7*Q7/10000,0)</f>
        <v>0</v>
      </c>
      <c r="S7" s="2065"/>
      <c r="T7" s="2065" t="s">
        <v>2230</v>
      </c>
      <c r="U7" s="2065"/>
      <c r="V7" s="2072"/>
    </row>
    <row r="8" spans="1:22" s="2076" customFormat="1" ht="13.15" customHeight="1">
      <c r="A8" s="2106" t="s">
        <v>2231</v>
      </c>
      <c r="B8" s="4560" t="s">
        <v>2232</v>
      </c>
      <c r="C8" s="4561"/>
      <c r="D8" s="4066" t="s">
        <v>3942</v>
      </c>
      <c r="E8" s="2107" t="s">
        <v>2233</v>
      </c>
      <c r="F8" s="2108" t="s">
        <v>2234</v>
      </c>
      <c r="G8" s="2109"/>
      <c r="H8" s="2071"/>
      <c r="I8" s="2072"/>
      <c r="J8" s="4542"/>
      <c r="K8" s="4544"/>
      <c r="L8" s="2102" t="s">
        <v>2235</v>
      </c>
      <c r="M8" s="3678"/>
      <c r="N8" s="3677"/>
      <c r="O8" s="4227"/>
      <c r="P8" s="4227"/>
      <c r="Q8" s="3677">
        <v>365</v>
      </c>
      <c r="R8" s="3676">
        <f t="shared" ref="R8:R13" si="0">ROUND(M8*N8*O8*P8*Q8/10000,0)</f>
        <v>0</v>
      </c>
      <c r="S8" s="2065"/>
      <c r="T8" s="2065" t="s">
        <v>2236</v>
      </c>
      <c r="U8" s="2065"/>
      <c r="V8" s="2072"/>
    </row>
    <row r="9" spans="1:22" s="2076" customFormat="1" ht="13.15" customHeight="1">
      <c r="A9" s="2106">
        <v>1</v>
      </c>
      <c r="B9" s="4560" t="s">
        <v>2237</v>
      </c>
      <c r="C9" s="4561"/>
      <c r="D9" s="3446">
        <f>ROUND(D6*E9,0)</f>
        <v>0</v>
      </c>
      <c r="E9" s="3447"/>
      <c r="F9" s="2110" t="s">
        <v>2238</v>
      </c>
      <c r="G9" s="2093"/>
      <c r="H9" s="2071"/>
      <c r="I9" s="2072"/>
      <c r="J9" s="4542"/>
      <c r="K9" s="4544"/>
      <c r="L9" s="2102" t="s">
        <v>2239</v>
      </c>
      <c r="M9" s="3678"/>
      <c r="N9" s="3677"/>
      <c r="O9" s="4227"/>
      <c r="P9" s="4227"/>
      <c r="Q9" s="3677">
        <v>365</v>
      </c>
      <c r="R9" s="3676">
        <f t="shared" si="0"/>
        <v>0</v>
      </c>
      <c r="S9" s="2065"/>
      <c r="T9" s="2065"/>
      <c r="U9" s="2065"/>
      <c r="V9" s="2072"/>
    </row>
    <row r="10" spans="1:22" s="2076" customFormat="1" ht="13.15" customHeight="1">
      <c r="A10" s="2106">
        <v>2</v>
      </c>
      <c r="B10" s="4560" t="s">
        <v>2240</v>
      </c>
      <c r="C10" s="4561"/>
      <c r="D10" s="3446">
        <f>ROUND(D6*E10,0)</f>
        <v>0</v>
      </c>
      <c r="E10" s="3447"/>
      <c r="F10" s="3575" t="s">
        <v>3705</v>
      </c>
      <c r="G10" s="2093"/>
      <c r="H10" s="2071"/>
      <c r="I10" s="2072"/>
      <c r="J10" s="4542"/>
      <c r="K10" s="4544"/>
      <c r="L10" s="2102" t="s">
        <v>2241</v>
      </c>
      <c r="M10" s="3678"/>
      <c r="N10" s="3677"/>
      <c r="O10" s="4227"/>
      <c r="P10" s="4227"/>
      <c r="Q10" s="3677">
        <v>365</v>
      </c>
      <c r="R10" s="3676">
        <f t="shared" si="0"/>
        <v>0</v>
      </c>
      <c r="S10" s="2065"/>
      <c r="T10" s="2065"/>
      <c r="U10" s="2065"/>
      <c r="V10" s="2072"/>
    </row>
    <row r="11" spans="1:22" s="2076" customFormat="1" ht="13.15" customHeight="1">
      <c r="A11" s="2106">
        <v>3</v>
      </c>
      <c r="B11" s="4560" t="s">
        <v>2242</v>
      </c>
      <c r="C11" s="4561"/>
      <c r="D11" s="3446">
        <f>D12+D14+D15+D16</f>
        <v>0</v>
      </c>
      <c r="E11" s="3448" t="e">
        <f>D11/D6</f>
        <v>#DIV/0!</v>
      </c>
      <c r="F11" s="2108"/>
      <c r="G11" s="2109"/>
      <c r="H11" s="2071"/>
      <c r="I11" s="2072"/>
      <c r="J11" s="4542"/>
      <c r="K11" s="4544"/>
      <c r="L11" s="2102" t="s">
        <v>2243</v>
      </c>
      <c r="M11" s="3678"/>
      <c r="N11" s="3677"/>
      <c r="O11" s="4227"/>
      <c r="P11" s="4227"/>
      <c r="Q11" s="3677">
        <v>365</v>
      </c>
      <c r="R11" s="3676">
        <f t="shared" si="0"/>
        <v>0</v>
      </c>
      <c r="S11" s="2065"/>
      <c r="T11" s="2065"/>
      <c r="U11" s="2065"/>
      <c r="V11" s="2072"/>
    </row>
    <row r="12" spans="1:22" s="2076" customFormat="1" ht="13.15" customHeight="1">
      <c r="A12" s="2111" t="s">
        <v>2244</v>
      </c>
      <c r="B12" s="4554" t="s">
        <v>2245</v>
      </c>
      <c r="C12" s="4553"/>
      <c r="D12" s="3449">
        <f>ROUND(D13*1.2%*(1-30%),0)</f>
        <v>0</v>
      </c>
      <c r="E12" s="3450">
        <v>1.2E-2</v>
      </c>
      <c r="F12" s="2108" t="s">
        <v>2246</v>
      </c>
      <c r="G12" s="2109"/>
      <c r="H12" s="2071"/>
      <c r="I12" s="2072"/>
      <c r="J12" s="4542"/>
      <c r="K12" s="4544"/>
      <c r="L12" s="2102" t="s">
        <v>2247</v>
      </c>
      <c r="M12" s="3678"/>
      <c r="N12" s="3677"/>
      <c r="O12" s="4227"/>
      <c r="P12" s="4227"/>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42"/>
      <c r="K13" s="4544"/>
      <c r="L13" s="2102" t="s">
        <v>2249</v>
      </c>
      <c r="M13" s="3678"/>
      <c r="N13" s="3677"/>
      <c r="O13" s="4227"/>
      <c r="P13" s="4227"/>
      <c r="Q13" s="3677">
        <v>365</v>
      </c>
      <c r="R13" s="3676">
        <f t="shared" si="0"/>
        <v>0</v>
      </c>
      <c r="S13" s="2065"/>
      <c r="T13" s="2065"/>
      <c r="U13" s="2065"/>
      <c r="V13" s="2072"/>
    </row>
    <row r="14" spans="1:22" s="2076" customFormat="1" ht="13.15" customHeight="1">
      <c r="A14" s="2111" t="s">
        <v>2250</v>
      </c>
      <c r="B14" s="4554" t="s">
        <v>2251</v>
      </c>
      <c r="C14" s="4553"/>
      <c r="D14" s="3449">
        <f>ROUND(E14*B5/10000,0)</f>
        <v>0</v>
      </c>
      <c r="E14" s="3452"/>
      <c r="F14" s="2108" t="s">
        <v>2252</v>
      </c>
      <c r="G14" s="2109"/>
      <c r="H14" s="2071"/>
      <c r="I14" s="2072"/>
      <c r="J14" s="4542"/>
      <c r="K14" s="4545"/>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52" t="s">
        <v>3777</v>
      </c>
      <c r="C15" s="4553"/>
      <c r="D15" s="3449">
        <f>IF(F15="酒店",E48*(1+E15),IF(F15="购物中心",E67*(1+E15),IF(F15="按比例计算-酒店",E46,E65)))</f>
        <v>0</v>
      </c>
      <c r="E15" s="3450">
        <f>'数据-取费表'!B44</f>
        <v>0.12000000000000001</v>
      </c>
      <c r="F15" s="3578" t="s">
        <v>3836</v>
      </c>
      <c r="G15" s="3579"/>
      <c r="H15" s="2071"/>
      <c r="I15" s="2072"/>
      <c r="J15" s="4542">
        <v>2</v>
      </c>
      <c r="K15" s="4543"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54" t="s">
        <v>2262</v>
      </c>
      <c r="C16" s="4553"/>
      <c r="D16" s="3453">
        <f>D6*E16</f>
        <v>0</v>
      </c>
      <c r="E16" s="3454"/>
      <c r="F16" s="2110" t="s">
        <v>2263</v>
      </c>
      <c r="G16" s="2093"/>
      <c r="H16" s="2071"/>
      <c r="I16" s="2072"/>
      <c r="J16" s="4542"/>
      <c r="K16" s="4544"/>
      <c r="L16" s="2102" t="s">
        <v>2264</v>
      </c>
      <c r="M16" s="3678"/>
      <c r="N16" s="3678"/>
      <c r="O16" s="4229"/>
      <c r="P16" s="3677">
        <v>365</v>
      </c>
      <c r="Q16" s="3677"/>
      <c r="R16" s="3676">
        <f>ROUND(M16*N16*O16*P16/10000,0)</f>
        <v>0</v>
      </c>
      <c r="S16" s="2065"/>
      <c r="T16" s="2065"/>
      <c r="U16" s="2065"/>
      <c r="V16" s="2072"/>
    </row>
    <row r="17" spans="1:22" s="2076" customFormat="1" ht="13.15" customHeight="1" thickBot="1">
      <c r="A17" s="2121">
        <v>4</v>
      </c>
      <c r="B17" s="4555" t="s">
        <v>2265</v>
      </c>
      <c r="C17" s="4556"/>
      <c r="D17" s="3455">
        <f>ROUND(D6*E17,0)</f>
        <v>0</v>
      </c>
      <c r="E17" s="3456"/>
      <c r="F17" s="3576" t="s">
        <v>3706</v>
      </c>
      <c r="G17" s="2093"/>
      <c r="H17" s="2071"/>
      <c r="I17" s="2072"/>
      <c r="J17" s="4542"/>
      <c r="K17" s="4544"/>
      <c r="L17" s="2102" t="s">
        <v>2266</v>
      </c>
      <c r="M17" s="3678"/>
      <c r="N17" s="3678"/>
      <c r="O17" s="4229"/>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42"/>
      <c r="K18" s="4544"/>
      <c r="L18" s="2102" t="s">
        <v>2269</v>
      </c>
      <c r="M18" s="3678"/>
      <c r="N18" s="3678"/>
      <c r="O18" s="4229"/>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42"/>
      <c r="K19" s="4545"/>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42">
        <v>3</v>
      </c>
      <c r="K20" s="4543"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42"/>
      <c r="K21" s="4544"/>
      <c r="L21" s="2102" t="s">
        <v>2282</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42"/>
      <c r="K22" s="4544"/>
      <c r="L22" s="2102" t="s">
        <v>2286</v>
      </c>
      <c r="M22" s="3678"/>
      <c r="N22" s="3678"/>
      <c r="O22" s="4228"/>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42"/>
      <c r="K23" s="4544"/>
      <c r="L23" s="2102" t="s">
        <v>2288</v>
      </c>
      <c r="M23" s="3678"/>
      <c r="N23" s="3678"/>
      <c r="O23" s="4228"/>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42"/>
      <c r="K24" s="4545"/>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46">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47"/>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48" t="s">
        <v>2203</v>
      </c>
      <c r="K32" s="4549"/>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50" t="s">
        <v>2213</v>
      </c>
      <c r="K33" s="4551"/>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50" t="s">
        <v>2215</v>
      </c>
      <c r="K34" s="4551"/>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42">
        <v>1</v>
      </c>
      <c r="K36" s="4543"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42"/>
      <c r="K37" s="4544"/>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42"/>
      <c r="K38" s="4544"/>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42"/>
      <c r="K39" s="4544"/>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42"/>
      <c r="K40" s="4545"/>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46">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47"/>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3707</v>
      </c>
      <c r="D46" s="3586" t="s">
        <v>3778</v>
      </c>
      <c r="E46" s="3959">
        <f>ROUND(D6*G46,0)</f>
        <v>0</v>
      </c>
      <c r="F46" s="3597" t="s">
        <v>3767</v>
      </c>
      <c r="G46" s="3960">
        <v>0.05</v>
      </c>
      <c r="H46" s="2076"/>
      <c r="I46" s="2179"/>
    </row>
    <row r="47" spans="1:23" ht="13.15" customHeight="1">
      <c r="A47" s="2076"/>
      <c r="B47" s="2076"/>
      <c r="C47" s="3587" t="s">
        <v>3708</v>
      </c>
      <c r="D47" s="3588" t="s">
        <v>3709</v>
      </c>
      <c r="E47" s="4067" t="s">
        <v>3943</v>
      </c>
      <c r="F47" s="3598" t="s">
        <v>3710</v>
      </c>
      <c r="G47" s="3599" t="s">
        <v>3711</v>
      </c>
      <c r="H47" s="2066"/>
      <c r="I47" s="2179"/>
    </row>
    <row r="48" spans="1:23" ht="13.15" customHeight="1">
      <c r="C48" s="3589">
        <v>1</v>
      </c>
      <c r="D48" s="3588" t="s">
        <v>3712</v>
      </c>
      <c r="E48" s="3609">
        <f>E49-E54</f>
        <v>0</v>
      </c>
      <c r="F48" s="3588"/>
      <c r="G48" s="3599"/>
      <c r="H48" s="2066"/>
      <c r="I48" s="2179"/>
    </row>
    <row r="49" spans="1:9" ht="13.15" customHeight="1">
      <c r="C49" s="3589">
        <v>2</v>
      </c>
      <c r="D49" s="3588" t="s">
        <v>3713</v>
      </c>
      <c r="E49" s="3609">
        <f>SUM(E50:E53)</f>
        <v>0</v>
      </c>
      <c r="F49" s="3588"/>
      <c r="G49" s="3954"/>
      <c r="H49" s="2066"/>
      <c r="I49" s="2179"/>
    </row>
    <row r="50" spans="1:9" ht="13.15" customHeight="1">
      <c r="C50" s="3590" t="s">
        <v>3729</v>
      </c>
      <c r="D50" s="3591" t="s">
        <v>3714</v>
      </c>
      <c r="E50" s="3610">
        <f>R14*G50/(1+G50)</f>
        <v>0</v>
      </c>
      <c r="F50" s="3600" t="s">
        <v>3730</v>
      </c>
      <c r="G50" s="3955">
        <v>0.06</v>
      </c>
      <c r="H50" s="2066"/>
      <c r="I50" s="2179"/>
    </row>
    <row r="51" spans="1:9" ht="13.15" customHeight="1">
      <c r="C51" s="3590" t="s">
        <v>3731</v>
      </c>
      <c r="D51" s="3591" t="s">
        <v>3715</v>
      </c>
      <c r="E51" s="3610">
        <f>R19*G51/(1+G51)</f>
        <v>0</v>
      </c>
      <c r="F51" s="3600" t="s">
        <v>3732</v>
      </c>
      <c r="G51" s="3955">
        <v>0.06</v>
      </c>
      <c r="H51" s="2066"/>
      <c r="I51" s="2179"/>
    </row>
    <row r="52" spans="1:9" ht="13.15" customHeight="1">
      <c r="C52" s="3590" t="s">
        <v>3733</v>
      </c>
      <c r="D52" s="3591" t="s">
        <v>3716</v>
      </c>
      <c r="E52" s="3610">
        <f>R24*G52/(1+R24)</f>
        <v>0</v>
      </c>
      <c r="F52" s="3600" t="s">
        <v>3717</v>
      </c>
      <c r="G52" s="3955">
        <v>0.09</v>
      </c>
      <c r="H52" s="2066"/>
      <c r="I52" s="2179"/>
    </row>
    <row r="53" spans="1:9" ht="13.15" customHeight="1">
      <c r="C53" s="3590" t="s">
        <v>3734</v>
      </c>
      <c r="D53" s="3591" t="s">
        <v>3718</v>
      </c>
      <c r="E53" s="3610">
        <f>R27*G53/(1+G53)</f>
        <v>0</v>
      </c>
      <c r="F53" s="3600" t="s">
        <v>3717</v>
      </c>
      <c r="G53" s="3955">
        <v>0.09</v>
      </c>
      <c r="H53" s="2066"/>
      <c r="I53" s="2179"/>
    </row>
    <row r="54" spans="1:9" ht="13.15" customHeight="1">
      <c r="A54" s="2066" t="s">
        <v>3762</v>
      </c>
      <c r="B54" s="2179"/>
      <c r="C54" s="3589">
        <v>3</v>
      </c>
      <c r="D54" s="3588" t="s">
        <v>3719</v>
      </c>
      <c r="E54" s="3609">
        <f>E55+E56+E60</f>
        <v>0</v>
      </c>
      <c r="F54" s="3588"/>
      <c r="G54" s="3954"/>
      <c r="H54" s="2066"/>
      <c r="I54" s="2179"/>
    </row>
    <row r="55" spans="1:9" ht="13.15" customHeight="1">
      <c r="A55" s="3581">
        <v>0.05</v>
      </c>
      <c r="B55" s="3582" t="s">
        <v>3766</v>
      </c>
      <c r="C55" s="3590" t="s">
        <v>3729</v>
      </c>
      <c r="D55" s="3591" t="s">
        <v>3720</v>
      </c>
      <c r="E55" s="3610">
        <f>D9*G55/(1+G55)</f>
        <v>0</v>
      </c>
      <c r="F55" s="3602" t="s">
        <v>3768</v>
      </c>
      <c r="G55" s="3955">
        <v>0.13</v>
      </c>
      <c r="H55" s="2066"/>
      <c r="I55" s="2179"/>
    </row>
    <row r="56" spans="1:9" ht="13.15" customHeight="1">
      <c r="A56" s="3581">
        <f>SUM(A57:A59)</f>
        <v>0.39</v>
      </c>
      <c r="B56" s="3582"/>
      <c r="C56" s="3590" t="s">
        <v>3731</v>
      </c>
      <c r="D56" s="3591" t="s">
        <v>3721</v>
      </c>
      <c r="E56" s="3610">
        <f>SUM(E57:E59)</f>
        <v>0</v>
      </c>
      <c r="F56" s="3600"/>
      <c r="G56" s="3603"/>
      <c r="H56" s="2066" t="s">
        <v>3775</v>
      </c>
      <c r="I56" s="2066" t="s">
        <v>3776</v>
      </c>
    </row>
    <row r="57" spans="1:9" ht="13.15" customHeight="1">
      <c r="A57" s="3581">
        <v>0.25</v>
      </c>
      <c r="B57" s="3582" t="s">
        <v>3763</v>
      </c>
      <c r="C57" s="3592" t="s">
        <v>3722</v>
      </c>
      <c r="D57" s="3593" t="s">
        <v>3723</v>
      </c>
      <c r="E57" s="3611">
        <v>0</v>
      </c>
      <c r="F57" s="3604"/>
      <c r="G57" s="3605" t="s">
        <v>3724</v>
      </c>
      <c r="H57" s="3577">
        <v>0.65</v>
      </c>
      <c r="I57" s="3583">
        <f>A57/SUM(A57:A59)</f>
        <v>0.64102564102564097</v>
      </c>
    </row>
    <row r="58" spans="1:9" ht="13.15" customHeight="1">
      <c r="A58" s="3581">
        <v>0.06</v>
      </c>
      <c r="B58" s="3582" t="s">
        <v>3764</v>
      </c>
      <c r="C58" s="3592" t="s">
        <v>3725</v>
      </c>
      <c r="D58" s="3594" t="s">
        <v>3770</v>
      </c>
      <c r="E58" s="3611">
        <f>D10*H58*G58/(1+G58)</f>
        <v>0</v>
      </c>
      <c r="F58" s="3604" t="s">
        <v>3735</v>
      </c>
      <c r="G58" s="3956">
        <v>0.09</v>
      </c>
      <c r="H58" s="3577">
        <v>0.15</v>
      </c>
      <c r="I58" s="3583">
        <f>A58/SUM(A57:A59)</f>
        <v>0.15384615384615383</v>
      </c>
    </row>
    <row r="59" spans="1:9" ht="13.15" customHeight="1">
      <c r="A59" s="3581">
        <v>0.08</v>
      </c>
      <c r="B59" s="3582" t="s">
        <v>3765</v>
      </c>
      <c r="C59" s="3592" t="s">
        <v>3726</v>
      </c>
      <c r="D59" s="3593" t="s">
        <v>3736</v>
      </c>
      <c r="E59" s="3611">
        <f>D10*H59*G59/(1+G59)</f>
        <v>0</v>
      </c>
      <c r="F59" s="3604" t="s">
        <v>3737</v>
      </c>
      <c r="G59" s="3956">
        <v>0.06</v>
      </c>
      <c r="H59" s="3577">
        <v>0.2</v>
      </c>
      <c r="I59" s="3583">
        <f>1-I57-I58</f>
        <v>0.2051282051282052</v>
      </c>
    </row>
    <row r="60" spans="1:9" ht="13.15" customHeight="1">
      <c r="A60" s="3581">
        <f>SUM(A61:A62)</f>
        <v>0.1</v>
      </c>
      <c r="B60" s="3582"/>
      <c r="C60" s="3590" t="s">
        <v>3733</v>
      </c>
      <c r="D60" s="3591" t="s">
        <v>3738</v>
      </c>
      <c r="E60" s="3610">
        <f>SUM(E61:E62)</f>
        <v>0</v>
      </c>
      <c r="F60" s="3600"/>
      <c r="G60" s="3957"/>
      <c r="I60" s="2179"/>
    </row>
    <row r="61" spans="1:9" ht="13.15" customHeight="1">
      <c r="A61" s="3581">
        <v>0.05</v>
      </c>
      <c r="B61" s="3582" t="s">
        <v>3766</v>
      </c>
      <c r="C61" s="3592" t="s">
        <v>3739</v>
      </c>
      <c r="D61" s="3593" t="s">
        <v>3740</v>
      </c>
      <c r="E61" s="3611">
        <f>D17*H61*G61/(1+G61)</f>
        <v>0</v>
      </c>
      <c r="F61" s="3604" t="s">
        <v>3737</v>
      </c>
      <c r="G61" s="3956">
        <v>0.06</v>
      </c>
      <c r="H61" s="3577">
        <v>0.5</v>
      </c>
      <c r="I61" s="2179"/>
    </row>
    <row r="62" spans="1:9" ht="13.15" customHeight="1" thickBot="1">
      <c r="A62" s="3581">
        <v>0.05</v>
      </c>
      <c r="B62" s="3582" t="s">
        <v>3767</v>
      </c>
      <c r="C62" s="3595" t="s">
        <v>3725</v>
      </c>
      <c r="D62" s="3596" t="s">
        <v>3741</v>
      </c>
      <c r="E62" s="3612">
        <f>D17*H62*G62/(1+G62)</f>
        <v>0</v>
      </c>
      <c r="F62" s="3607" t="s">
        <v>3742</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3743</v>
      </c>
      <c r="D65" s="3586" t="s">
        <v>3778</v>
      </c>
      <c r="E65" s="3959">
        <f>ROUND(D6*G65,0)</f>
        <v>0</v>
      </c>
      <c r="F65" s="3597" t="s">
        <v>3779</v>
      </c>
      <c r="G65" s="3960">
        <v>0.03</v>
      </c>
      <c r="H65" s="2066"/>
      <c r="I65" s="2179"/>
    </row>
    <row r="66" spans="1:9" ht="12.75">
      <c r="C66" s="3587" t="s">
        <v>3744</v>
      </c>
      <c r="D66" s="3588" t="s">
        <v>3745</v>
      </c>
      <c r="E66" s="4067" t="s">
        <v>3943</v>
      </c>
      <c r="F66" s="3598" t="s">
        <v>3746</v>
      </c>
      <c r="G66" s="3599" t="s">
        <v>3747</v>
      </c>
      <c r="H66" s="2066"/>
      <c r="I66" s="2179"/>
    </row>
    <row r="67" spans="1:9" ht="12">
      <c r="C67" s="3589">
        <v>1</v>
      </c>
      <c r="D67" s="3588" t="s">
        <v>3748</v>
      </c>
      <c r="E67" s="3613">
        <f>E68-E73</f>
        <v>0</v>
      </c>
      <c r="F67" s="3588"/>
      <c r="G67" s="3599"/>
      <c r="H67" s="2066"/>
      <c r="I67" s="2179"/>
    </row>
    <row r="68" spans="1:9" ht="13.15" customHeight="1">
      <c r="C68" s="3614">
        <v>2</v>
      </c>
      <c r="D68" s="3588" t="s">
        <v>3749</v>
      </c>
      <c r="E68" s="3613">
        <f>SUM(E69:E70)</f>
        <v>0</v>
      </c>
      <c r="F68" s="3588"/>
      <c r="G68" s="3599"/>
      <c r="H68" s="2066"/>
      <c r="I68" s="2179"/>
    </row>
    <row r="69" spans="1:9" ht="13.15" customHeight="1">
      <c r="C69" s="3590" t="s">
        <v>3750</v>
      </c>
      <c r="D69" s="3591" t="s">
        <v>3751</v>
      </c>
      <c r="E69" s="3591"/>
      <c r="F69" s="3600" t="s">
        <v>3752</v>
      </c>
      <c r="G69" s="3601">
        <v>0.09</v>
      </c>
      <c r="H69" s="2066"/>
      <c r="I69" s="2179"/>
    </row>
    <row r="70" spans="1:9" ht="13.15" customHeight="1">
      <c r="C70" s="3590" t="s">
        <v>3731</v>
      </c>
      <c r="D70" s="3591" t="s">
        <v>3753</v>
      </c>
      <c r="E70" s="3591"/>
      <c r="F70" s="3600" t="s">
        <v>3754</v>
      </c>
      <c r="G70" s="3601">
        <v>0.06</v>
      </c>
      <c r="H70" s="2066"/>
      <c r="I70" s="2179"/>
    </row>
    <row r="71" spans="1:9" ht="13.15" customHeight="1">
      <c r="A71" s="2066" t="s">
        <v>3769</v>
      </c>
      <c r="C71" s="3614">
        <v>3</v>
      </c>
      <c r="D71" s="3588" t="s">
        <v>3755</v>
      </c>
      <c r="E71" s="3613">
        <f>E72+E77</f>
        <v>0</v>
      </c>
      <c r="F71" s="3588"/>
      <c r="G71" s="3599"/>
      <c r="H71" s="2066"/>
      <c r="I71" s="2179"/>
    </row>
    <row r="72" spans="1:9" ht="13.15" customHeight="1">
      <c r="A72" s="3581">
        <v>0.05</v>
      </c>
      <c r="B72" s="3584"/>
      <c r="C72" s="3590" t="s">
        <v>3750</v>
      </c>
      <c r="D72" s="3591" t="s">
        <v>3756</v>
      </c>
      <c r="E72" s="3591">
        <f>D9*G72/(1+G72)</f>
        <v>0</v>
      </c>
      <c r="F72" s="3602" t="s">
        <v>3768</v>
      </c>
      <c r="G72" s="3601">
        <v>0.13</v>
      </c>
      <c r="H72" s="2066"/>
      <c r="I72" s="2179"/>
    </row>
    <row r="73" spans="1:9" ht="13.15" customHeight="1">
      <c r="A73" s="3581">
        <f>SUM(A74:A76)</f>
        <v>0.2</v>
      </c>
      <c r="B73" s="3584"/>
      <c r="C73" s="3590" t="s">
        <v>3731</v>
      </c>
      <c r="D73" s="3591" t="s">
        <v>3757</v>
      </c>
      <c r="E73" s="3591">
        <f>SUM(E74:E76)</f>
        <v>0</v>
      </c>
      <c r="F73" s="3600"/>
      <c r="G73" s="3603"/>
      <c r="H73" s="2066" t="s">
        <v>3775</v>
      </c>
      <c r="I73" s="2066" t="s">
        <v>3776</v>
      </c>
    </row>
    <row r="74" spans="1:9" ht="13.15" customHeight="1">
      <c r="A74" s="3581">
        <v>0.05</v>
      </c>
      <c r="B74" s="3584" t="s">
        <v>3773</v>
      </c>
      <c r="C74" s="3615" t="s">
        <v>3758</v>
      </c>
      <c r="D74" s="3593" t="s">
        <v>3759</v>
      </c>
      <c r="E74" s="3593">
        <v>0</v>
      </c>
      <c r="F74" s="3604"/>
      <c r="G74" s="3605" t="s">
        <v>3760</v>
      </c>
      <c r="H74" s="3577">
        <v>0.25</v>
      </c>
      <c r="I74" s="3583">
        <f>A74/SUM(A74:A76)</f>
        <v>0.25</v>
      </c>
    </row>
    <row r="75" spans="1:9" ht="13.15" customHeight="1">
      <c r="A75" s="3581">
        <v>0.1</v>
      </c>
      <c r="B75" s="3584" t="s">
        <v>3771</v>
      </c>
      <c r="C75" s="3615" t="s">
        <v>3727</v>
      </c>
      <c r="D75" s="3594" t="s">
        <v>3770</v>
      </c>
      <c r="E75" s="3593">
        <f>D10*H75*G75/(1+G75)</f>
        <v>0</v>
      </c>
      <c r="F75" s="3604" t="s">
        <v>3761</v>
      </c>
      <c r="G75" s="3606">
        <v>0.09</v>
      </c>
      <c r="H75" s="3577">
        <v>0.5</v>
      </c>
      <c r="I75" s="3583">
        <f>A75/SUM(A74:A76)</f>
        <v>0.5</v>
      </c>
    </row>
    <row r="76" spans="1:9" ht="13.15" customHeight="1">
      <c r="A76" s="3581">
        <v>0.05</v>
      </c>
      <c r="B76" s="3584" t="s">
        <v>3774</v>
      </c>
      <c r="C76" s="3615" t="s">
        <v>3728</v>
      </c>
      <c r="D76" s="3593" t="s">
        <v>3736</v>
      </c>
      <c r="E76" s="3593">
        <f>D10*H76*G76/(1+G76)</f>
        <v>0</v>
      </c>
      <c r="F76" s="3604" t="s">
        <v>3737</v>
      </c>
      <c r="G76" s="3606">
        <v>0.06</v>
      </c>
      <c r="H76" s="3577">
        <v>0.25</v>
      </c>
      <c r="I76" s="3583">
        <f>1-I74-I75</f>
        <v>0.25</v>
      </c>
    </row>
    <row r="77" spans="1:9" ht="13.15" customHeight="1">
      <c r="A77" s="3581">
        <f>SUM(A78:A79)</f>
        <v>0.1</v>
      </c>
      <c r="B77" s="3584"/>
      <c r="C77" s="3590" t="s">
        <v>3733</v>
      </c>
      <c r="D77" s="3591" t="s">
        <v>3738</v>
      </c>
      <c r="E77" s="3591">
        <f>SUM(E78:E79)</f>
        <v>0</v>
      </c>
      <c r="F77" s="3600"/>
      <c r="G77" s="3603"/>
      <c r="I77" s="2179"/>
    </row>
    <row r="78" spans="1:9" ht="13.15" customHeight="1">
      <c r="A78" s="3581">
        <v>0.05</v>
      </c>
      <c r="B78" s="3584" t="s">
        <v>3764</v>
      </c>
      <c r="C78" s="3615" t="s">
        <v>3758</v>
      </c>
      <c r="D78" s="3593" t="s">
        <v>3740</v>
      </c>
      <c r="E78" s="3593">
        <f>D17*H78*G78/(1+G78)</f>
        <v>0</v>
      </c>
      <c r="F78" s="3604" t="s">
        <v>3737</v>
      </c>
      <c r="G78" s="3606">
        <v>0.06</v>
      </c>
      <c r="H78" s="3577">
        <v>0.5</v>
      </c>
      <c r="I78" s="2179"/>
    </row>
    <row r="79" spans="1:9" ht="13.15" customHeight="1" thickBot="1">
      <c r="A79" s="3581">
        <v>0.05</v>
      </c>
      <c r="B79" s="3584" t="s">
        <v>3772</v>
      </c>
      <c r="C79" s="3616" t="s">
        <v>3727</v>
      </c>
      <c r="D79" s="3596" t="s">
        <v>3741</v>
      </c>
      <c r="E79" s="3596">
        <f>D17*H79*G79/(1+G79)</f>
        <v>0</v>
      </c>
      <c r="F79" s="3607" t="s">
        <v>3742</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0</v>
      </c>
      <c r="C2" s="1347" t="s">
        <v>1558</v>
      </c>
      <c r="D2" s="1348" t="s">
        <v>1559</v>
      </c>
      <c r="E2" s="2878">
        <f>SUM(E6:E13)</f>
        <v>0</v>
      </c>
      <c r="F2" s="1967"/>
      <c r="G2" s="1032"/>
      <c r="H2" s="1032"/>
      <c r="I2" s="1032"/>
      <c r="J2" s="1032"/>
      <c r="K2" s="1032"/>
      <c r="L2" s="1032"/>
      <c r="M2" s="1032"/>
      <c r="N2" s="1032"/>
      <c r="O2" s="1032"/>
      <c r="P2" s="1032"/>
      <c r="Q2" s="1032"/>
      <c r="R2" s="1032"/>
      <c r="S2" s="1032"/>
    </row>
    <row r="3" spans="1:22" ht="15.75">
      <c r="A3" s="1346" t="s">
        <v>672</v>
      </c>
      <c r="B3" s="2877" t="e">
        <f ca="1">ROUND(B2*10000/E2,0)</f>
        <v>#DIV/0!</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62" t="s">
        <v>1561</v>
      </c>
      <c r="C5" s="4563"/>
      <c r="D5" s="1968"/>
      <c r="E5" s="1349" t="s">
        <v>1562</v>
      </c>
      <c r="F5" s="51" t="s">
        <v>1563</v>
      </c>
      <c r="G5" s="1032"/>
      <c r="H5" s="1032"/>
      <c r="I5" s="1032"/>
      <c r="J5" s="1032"/>
      <c r="K5" s="1032"/>
      <c r="L5" s="1032"/>
      <c r="M5" s="1032"/>
      <c r="N5" s="1032"/>
      <c r="O5" s="1032"/>
      <c r="P5" s="1032"/>
      <c r="Q5" s="1032"/>
      <c r="R5" s="1032"/>
      <c r="S5" s="1032"/>
    </row>
    <row r="6" spans="1:22">
      <c r="A6" s="1883">
        <f>'数据-取费表'!AN6</f>
        <v>0</v>
      </c>
      <c r="B6" s="3628" t="e">
        <f ca="1">IF(F6="是",'数据-取费表'!AO6,0)</f>
        <v>#REF!</v>
      </c>
      <c r="C6" s="1347" t="s">
        <v>1558</v>
      </c>
      <c r="D6" s="1967"/>
      <c r="E6" s="2879">
        <f>IF(OR(A6=0,F6="否"),0,'数据-取费表'!K6+'数据-取费表'!S6)</f>
        <v>0</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67" t="s">
        <v>1991</v>
      </c>
      <c r="D1" s="4568"/>
      <c r="E1" s="4568"/>
      <c r="F1" s="4568"/>
      <c r="G1" s="4568"/>
      <c r="H1" s="4568"/>
      <c r="I1" s="4568"/>
      <c r="J1" s="4568"/>
      <c r="K1" s="4568"/>
      <c r="L1" s="4568"/>
      <c r="M1" s="4568"/>
      <c r="N1" s="4568"/>
      <c r="O1" s="4568"/>
      <c r="P1" s="4568"/>
      <c r="Q1" s="4568"/>
      <c r="R1" s="4568"/>
      <c r="S1" s="456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64" t="s">
        <v>25</v>
      </c>
      <c r="D22" s="4565"/>
      <c r="E22" s="4565"/>
      <c r="F22" s="4565"/>
      <c r="G22" s="4565"/>
      <c r="H22" s="4565"/>
      <c r="I22" s="4565"/>
      <c r="J22" s="4565"/>
      <c r="K22" s="4565"/>
      <c r="L22" s="4565"/>
      <c r="M22" s="4565"/>
      <c r="N22" s="4565"/>
      <c r="O22" s="4565"/>
      <c r="P22" s="4565"/>
      <c r="Q22" s="4566"/>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7"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估价对象为北京市房地产，为所有。根据《国有土地使用证》[]，估价对象（分摊）出让国有建设用地使用权面积为21825.93平方米，建筑面积为82371.62平方米。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估价对象为北京市房地产,属开发建设的，该项目尚在开发建设中。根据《国有土地使用证》[]，估价对象（分摊）出让国有建设用地使用权面积为21825.93平方米，规划建筑面积为82371.62平方米。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2026年3月10日（评估专业人员实地查勘之日）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本次评估采用的主估价方法为比较法和假设开发法。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22" zoomScale="85" zoomScaleNormal="60" zoomScaleSheetLayoutView="85" workbookViewId="0">
      <selection activeCell="M26" sqref="M2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f>F67</f>
        <v>250430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30402</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3620</v>
      </c>
      <c r="B4" s="3388">
        <f>IF(B48="单位面积地价",C50,ROUND(B2*10000/'数据-汇总表'!D3,0))</f>
        <v>114740</v>
      </c>
      <c r="C4" s="1336" t="s">
        <v>3622</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f>ROUND(B2/('数据-汇总表'!D3/666.67),0)</f>
        <v>7649</v>
      </c>
      <c r="C5" s="3389" t="s">
        <v>3621</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90" t="s">
        <v>1677</v>
      </c>
      <c r="D6" s="4591"/>
      <c r="E6" s="4592" t="s">
        <v>1678</v>
      </c>
      <c r="F6" s="4593"/>
      <c r="G6" s="4590" t="s">
        <v>1679</v>
      </c>
      <c r="H6" s="4591"/>
      <c r="I6" s="4590" t="s">
        <v>1680</v>
      </c>
      <c r="J6" s="4591"/>
      <c r="K6" s="2863" t="s">
        <v>1681</v>
      </c>
      <c r="L6" s="1974"/>
      <c r="M6" s="1975"/>
      <c r="N6" s="1975"/>
      <c r="O6" s="1975"/>
      <c r="P6" s="4594" t="s">
        <v>1682</v>
      </c>
      <c r="Q6" s="4595"/>
      <c r="R6" s="4600" t="s">
        <v>1678</v>
      </c>
      <c r="S6" s="4601"/>
      <c r="T6" s="4600" t="s">
        <v>1679</v>
      </c>
      <c r="U6" s="4601"/>
      <c r="V6" s="4606" t="s">
        <v>1680</v>
      </c>
      <c r="W6" s="4606"/>
      <c r="X6" s="909"/>
      <c r="Y6" s="4615" t="s">
        <v>1682</v>
      </c>
      <c r="Z6" s="4616"/>
      <c r="AA6" s="4587" t="s">
        <v>1678</v>
      </c>
      <c r="AB6" s="4588" t="s">
        <v>1679</v>
      </c>
      <c r="AC6" s="4587" t="s">
        <v>1680</v>
      </c>
    </row>
    <row r="7" spans="1:29" ht="15">
      <c r="A7" s="238"/>
      <c r="B7" s="239"/>
      <c r="C7" s="4609" t="s">
        <v>1580</v>
      </c>
      <c r="D7" s="4610"/>
      <c r="E7" s="4624" t="str">
        <f>土地案例!$A$5</f>
        <v>北京市丰台区城乡一体化槐房村和新宫村旧村改造项目NY-030(南区)-02地块R2二类居住用地</v>
      </c>
      <c r="F7" s="4625"/>
      <c r="G7" s="4609" t="str">
        <f>土地案例!$A$8</f>
        <v>北京市丰台区城乡一体化槐房村和新宫村旧村改造项目NY-030(南区)-01地块R2二类居住用地</v>
      </c>
      <c r="H7" s="4610"/>
      <c r="I7" s="4609" t="str">
        <f>土地案例!$A$11</f>
        <v>北京市丰台区羊坊村棚户区改造土地开发项目YF-041地块R2二类居住用地</v>
      </c>
      <c r="J7" s="4610"/>
      <c r="K7" s="2863"/>
      <c r="L7" s="1974"/>
      <c r="M7" s="1975"/>
      <c r="N7" s="1975"/>
      <c r="O7" s="1975"/>
      <c r="P7" s="4596"/>
      <c r="Q7" s="4597"/>
      <c r="R7" s="4602"/>
      <c r="S7" s="4603"/>
      <c r="T7" s="4602"/>
      <c r="U7" s="4603"/>
      <c r="V7" s="4606"/>
      <c r="W7" s="4606"/>
      <c r="X7" s="909"/>
      <c r="Y7" s="4617"/>
      <c r="Z7" s="4618"/>
      <c r="AA7" s="4588"/>
      <c r="AB7" s="4588"/>
      <c r="AC7" s="4588"/>
    </row>
    <row r="8" spans="1:29" ht="15.75" thickBot="1">
      <c r="A8" s="240"/>
      <c r="B8" s="241"/>
      <c r="C8" s="4607" t="s">
        <v>1584</v>
      </c>
      <c r="D8" s="4608"/>
      <c r="E8" s="4622" t="str">
        <f>土地案例!$C$5</f>
        <v>京土储挂(丰)[2025]022号</v>
      </c>
      <c r="F8" s="4623"/>
      <c r="G8" s="4607" t="str">
        <f>土地案例!$C$8</f>
        <v>京土储挂(丰)[2024]047号</v>
      </c>
      <c r="H8" s="4608"/>
      <c r="I8" s="4607" t="str">
        <f>土地案例!$C$11</f>
        <v>京土储挂(丰)[2023]070号</v>
      </c>
      <c r="J8" s="4608"/>
      <c r="K8" s="2863" t="s">
        <v>1585</v>
      </c>
      <c r="L8" s="1974"/>
      <c r="M8" s="1975"/>
      <c r="N8" s="1975"/>
      <c r="O8" s="1975"/>
      <c r="P8" s="4598"/>
      <c r="Q8" s="4599"/>
      <c r="R8" s="4602"/>
      <c r="S8" s="4603"/>
      <c r="T8" s="4604"/>
      <c r="U8" s="4605"/>
      <c r="V8" s="4606"/>
      <c r="W8" s="4606"/>
      <c r="X8" s="909"/>
      <c r="Y8" s="4619"/>
      <c r="Z8" s="4620"/>
      <c r="AA8" s="4589"/>
      <c r="AB8" s="4589"/>
      <c r="AC8" s="4589"/>
    </row>
    <row r="9" spans="1:29" s="46" customFormat="1" ht="15.75" thickBot="1">
      <c r="A9" s="3089" t="s">
        <v>1586</v>
      </c>
      <c r="B9" s="3090"/>
      <c r="C9" s="2811">
        <f>'数据-取费表'!B2</f>
        <v>46091</v>
      </c>
      <c r="D9" s="2886">
        <v>100</v>
      </c>
      <c r="E9" s="2840">
        <f>土地案例!$J$5</f>
        <v>45832</v>
      </c>
      <c r="F9" s="3717">
        <f>SUMIF(71:71,YEAR(E9)&amp;"-"&amp;INT((MONTH(E9)+2)/3),72:72)</f>
        <v>100</v>
      </c>
      <c r="G9" s="3120">
        <f>土地案例!$J$8</f>
        <v>45625</v>
      </c>
      <c r="H9" s="3729">
        <f>SUMIF(71:71,YEAR(G9)&amp;"-"&amp;INT((MONTH(G9)+2)/3),72:72)</f>
        <v>100</v>
      </c>
      <c r="I9" s="3120">
        <f>土地案例!$J$11</f>
        <v>45295</v>
      </c>
      <c r="J9" s="3729">
        <f>SUMIF(71:71,YEAR(I9)&amp;"-"&amp;INT((MONTH(I9)+2)/3),72:72)</f>
        <v>100</v>
      </c>
      <c r="K9" s="3124"/>
      <c r="L9" s="1976"/>
      <c r="M9" s="1929"/>
      <c r="N9" s="1929"/>
      <c r="O9" s="1929"/>
      <c r="P9" s="4611" t="s">
        <v>1587</v>
      </c>
      <c r="Q9" s="4621"/>
      <c r="R9" s="3759" t="s">
        <v>13</v>
      </c>
      <c r="S9" s="3542">
        <f t="shared" ref="S9:S17" si="0">F9</f>
        <v>100</v>
      </c>
      <c r="T9" s="3759" t="s">
        <v>13</v>
      </c>
      <c r="U9" s="3542">
        <f t="shared" ref="U9:U17" si="1">H9</f>
        <v>100</v>
      </c>
      <c r="V9" s="3759" t="s">
        <v>13</v>
      </c>
      <c r="W9" s="3542">
        <f t="shared" ref="W9:W17" si="2">J9</f>
        <v>100</v>
      </c>
      <c r="X9" s="482"/>
      <c r="Y9" s="4613" t="s">
        <v>1587</v>
      </c>
      <c r="Z9" s="4614"/>
      <c r="AA9" s="28">
        <f>D9/F9</f>
        <v>1</v>
      </c>
      <c r="AB9" s="28">
        <f>D9/H9</f>
        <v>1</v>
      </c>
      <c r="AC9" s="28">
        <f>D9/J9</f>
        <v>1</v>
      </c>
    </row>
    <row r="10" spans="1:29" s="46" customFormat="1" ht="15.75" thickBot="1">
      <c r="A10" s="3089" t="s">
        <v>1588</v>
      </c>
      <c r="B10" s="3090"/>
      <c r="C10" s="2812" t="s">
        <v>4183</v>
      </c>
      <c r="D10" s="2886">
        <v>100</v>
      </c>
      <c r="E10" s="2812" t="s">
        <v>4183</v>
      </c>
      <c r="F10" s="3717">
        <f>SUMIF(74:74,E10,75:75)-SUMIF(74:74,C10,75:75)+100</f>
        <v>100</v>
      </c>
      <c r="G10" s="2812" t="s">
        <v>4183</v>
      </c>
      <c r="H10" s="3729">
        <f>SUMIF(74:74,G10,75:75)-SUMIF(74:74,C10,75:75)+100</f>
        <v>100</v>
      </c>
      <c r="I10" s="2812" t="s">
        <v>4183</v>
      </c>
      <c r="J10" s="3729">
        <f>SUMIF(74:74,I10,75:75)-SUMIF(74:74,C10,75:75)+100</f>
        <v>100</v>
      </c>
      <c r="K10" s="3124"/>
      <c r="L10" s="1976"/>
      <c r="M10" s="1929"/>
      <c r="N10" s="1929"/>
      <c r="O10" s="1929"/>
      <c r="P10" s="4611" t="s">
        <v>1590</v>
      </c>
      <c r="Q10" s="4612"/>
      <c r="R10" s="3759" t="s">
        <v>13</v>
      </c>
      <c r="S10" s="3542">
        <f t="shared" si="0"/>
        <v>100</v>
      </c>
      <c r="T10" s="3759" t="s">
        <v>13</v>
      </c>
      <c r="U10" s="3542">
        <f t="shared" si="1"/>
        <v>100</v>
      </c>
      <c r="V10" s="3759" t="s">
        <v>13</v>
      </c>
      <c r="W10" s="3542">
        <f t="shared" si="2"/>
        <v>100</v>
      </c>
      <c r="X10" s="482"/>
      <c r="Y10" s="4613" t="s">
        <v>1590</v>
      </c>
      <c r="Z10" s="4614"/>
      <c r="AA10" s="28">
        <f t="shared" ref="AA10:AA47" si="3">D10/F10</f>
        <v>1</v>
      </c>
      <c r="AB10" s="28">
        <f t="shared" ref="AB10:AB47" si="4">D10/H10</f>
        <v>1</v>
      </c>
      <c r="AC10" s="28">
        <f t="shared" ref="AC10:AC47" si="5">D10/J10</f>
        <v>1</v>
      </c>
    </row>
    <row r="11" spans="1:29" s="46" customFormat="1">
      <c r="A11" s="3029" t="s">
        <v>1591</v>
      </c>
      <c r="B11" s="2792" t="s">
        <v>1592</v>
      </c>
      <c r="C11" s="3091" t="s">
        <v>4101</v>
      </c>
      <c r="D11" s="2887">
        <v>100</v>
      </c>
      <c r="E11" s="3091" t="s">
        <v>4101</v>
      </c>
      <c r="F11" s="3730">
        <f>SUMIF(76:76,E11,77:77)-SUMIF(76:76,C11,77:77)+100</f>
        <v>100</v>
      </c>
      <c r="G11" s="3091" t="s">
        <v>4101</v>
      </c>
      <c r="H11" s="3730">
        <f>SUMIF(76:76,G11,77:77)-SUMIF(76:76,C11,77:77)+100</f>
        <v>100</v>
      </c>
      <c r="I11" s="3091" t="s">
        <v>4101</v>
      </c>
      <c r="J11" s="3730">
        <f>SUMIF(76:76,I11,77:77)-SUMIF(76:76,C11,77:77)+100</f>
        <v>100</v>
      </c>
      <c r="K11" s="3124"/>
      <c r="L11" s="1976"/>
      <c r="M11" s="1929"/>
      <c r="N11" s="1929"/>
      <c r="O11" s="2028"/>
      <c r="P11" s="4578" t="s">
        <v>1593</v>
      </c>
      <c r="Q11" s="1698" t="str">
        <f t="shared" ref="Q11:Q17" si="6">B11</f>
        <v>用途</v>
      </c>
      <c r="R11" s="3759" t="s">
        <v>13</v>
      </c>
      <c r="S11" s="3542">
        <f t="shared" si="0"/>
        <v>100</v>
      </c>
      <c r="T11" s="3759" t="s">
        <v>13</v>
      </c>
      <c r="U11" s="3542">
        <f t="shared" si="1"/>
        <v>100</v>
      </c>
      <c r="V11" s="3759" t="s">
        <v>13</v>
      </c>
      <c r="W11" s="3542">
        <f t="shared" si="2"/>
        <v>100</v>
      </c>
      <c r="X11" s="482"/>
      <c r="Y11" s="458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100</v>
      </c>
      <c r="G12" s="2872"/>
      <c r="H12" s="3731">
        <f>ROUND(100/'数据-取费表'!G16,1)</f>
        <v>100</v>
      </c>
      <c r="I12" s="2872"/>
      <c r="J12" s="3731">
        <f>ROUND(100/'数据-取费表'!G16,1)</f>
        <v>100</v>
      </c>
      <c r="K12" s="3125"/>
      <c r="L12" s="1977"/>
      <c r="M12" s="1978"/>
      <c r="N12" s="1978"/>
      <c r="O12" s="2029"/>
      <c r="P12" s="4578"/>
      <c r="Q12" s="1698" t="str">
        <f t="shared" si="6"/>
        <v>土地使用年限（年）</v>
      </c>
      <c r="R12" s="3759" t="s">
        <v>13</v>
      </c>
      <c r="S12" s="3542">
        <f t="shared" si="0"/>
        <v>100</v>
      </c>
      <c r="T12" s="3759" t="s">
        <v>13</v>
      </c>
      <c r="U12" s="3542">
        <f t="shared" si="1"/>
        <v>100</v>
      </c>
      <c r="V12" s="3759" t="s">
        <v>13</v>
      </c>
      <c r="W12" s="3542">
        <f t="shared" si="2"/>
        <v>100</v>
      </c>
      <c r="X12" s="482"/>
      <c r="Y12" s="4586"/>
      <c r="Z12" s="28" t="str">
        <f t="shared" si="7"/>
        <v>土地使用年限（年）</v>
      </c>
      <c r="AA12" s="28">
        <f t="shared" si="3"/>
        <v>1</v>
      </c>
      <c r="AB12" s="28">
        <f t="shared" si="4"/>
        <v>1</v>
      </c>
      <c r="AC12" s="28">
        <f t="shared" si="5"/>
        <v>1</v>
      </c>
    </row>
    <row r="13" spans="1:29" ht="15">
      <c r="A13" s="3093"/>
      <c r="B13" s="2789" t="s">
        <v>1596</v>
      </c>
      <c r="C13" s="2815">
        <f>'数据-汇总表'!I7</f>
        <v>2.5</v>
      </c>
      <c r="D13" s="2888">
        <v>100</v>
      </c>
      <c r="E13" s="2815">
        <v>2</v>
      </c>
      <c r="F13" s="3731">
        <f>LOOKUP(E13,81:81,82:82)-LOOKUP(C13,81:81,82:82)+100</f>
        <v>100</v>
      </c>
      <c r="G13" s="2843">
        <v>2</v>
      </c>
      <c r="H13" s="3731">
        <f>LOOKUP(G13,81:81,82:82)-LOOKUP(C13,81:81,82:82)+100</f>
        <v>100</v>
      </c>
      <c r="I13" s="2815">
        <v>2.2000000000000002</v>
      </c>
      <c r="J13" s="3731">
        <f>LOOKUP(I13,81:81,82:82)-LOOKUP(C13,81:81,82:82)+100</f>
        <v>100</v>
      </c>
      <c r="K13" s="3149">
        <v>2</v>
      </c>
      <c r="L13" s="1979"/>
      <c r="M13" s="1975"/>
      <c r="N13" s="1975"/>
      <c r="O13" s="2030"/>
      <c r="P13" s="4578"/>
      <c r="Q13" s="1698" t="str">
        <f t="shared" si="6"/>
        <v>容积率</v>
      </c>
      <c r="R13" s="3759" t="s">
        <v>13</v>
      </c>
      <c r="S13" s="3542">
        <f t="shared" si="0"/>
        <v>100</v>
      </c>
      <c r="T13" s="3759" t="s">
        <v>13</v>
      </c>
      <c r="U13" s="3542">
        <f t="shared" si="1"/>
        <v>100</v>
      </c>
      <c r="V13" s="3759" t="s">
        <v>13</v>
      </c>
      <c r="W13" s="3542">
        <f t="shared" si="2"/>
        <v>100</v>
      </c>
      <c r="X13" s="482"/>
      <c r="Y13" s="4586"/>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578"/>
      <c r="Q14" s="1698" t="str">
        <f t="shared" si="6"/>
        <v>配建</v>
      </c>
      <c r="R14" s="3759" t="s">
        <v>13</v>
      </c>
      <c r="S14" s="3542">
        <f t="shared" si="0"/>
        <v>100</v>
      </c>
      <c r="T14" s="3759" t="s">
        <v>13</v>
      </c>
      <c r="U14" s="3542">
        <f t="shared" si="1"/>
        <v>100</v>
      </c>
      <c r="V14" s="3759" t="s">
        <v>13</v>
      </c>
      <c r="W14" s="3542">
        <f t="shared" si="2"/>
        <v>100</v>
      </c>
      <c r="X14" s="482"/>
      <c r="Y14" s="4586"/>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78"/>
      <c r="Q15" s="1698">
        <f t="shared" si="6"/>
        <v>111</v>
      </c>
      <c r="R15" s="3759" t="s">
        <v>13</v>
      </c>
      <c r="S15" s="3542">
        <f t="shared" si="0"/>
        <v>100</v>
      </c>
      <c r="T15" s="3759" t="s">
        <v>13</v>
      </c>
      <c r="U15" s="3542">
        <f t="shared" si="1"/>
        <v>100</v>
      </c>
      <c r="V15" s="3759" t="s">
        <v>13</v>
      </c>
      <c r="W15" s="3542">
        <f t="shared" si="2"/>
        <v>100</v>
      </c>
      <c r="X15" s="482"/>
      <c r="Y15" s="4586"/>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78"/>
      <c r="Q16" s="1698">
        <f t="shared" si="6"/>
        <v>111</v>
      </c>
      <c r="R16" s="3759" t="s">
        <v>13</v>
      </c>
      <c r="S16" s="3542">
        <f t="shared" si="0"/>
        <v>100</v>
      </c>
      <c r="T16" s="3759" t="s">
        <v>13</v>
      </c>
      <c r="U16" s="3542">
        <f t="shared" si="1"/>
        <v>100</v>
      </c>
      <c r="V16" s="3759" t="s">
        <v>13</v>
      </c>
      <c r="W16" s="3542">
        <f t="shared" si="2"/>
        <v>100</v>
      </c>
      <c r="X16" s="482"/>
      <c r="Y16" s="4586"/>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97</v>
      </c>
      <c r="K17" s="3149">
        <v>3</v>
      </c>
      <c r="L17" s="1980"/>
      <c r="M17" s="1975"/>
      <c r="N17" s="1975"/>
      <c r="O17" s="2030"/>
      <c r="P17" s="4579" t="s">
        <v>1598</v>
      </c>
      <c r="Q17" s="1507" t="str">
        <f t="shared" si="6"/>
        <v>居住社区成熟度</v>
      </c>
      <c r="R17" s="3760" t="s">
        <v>13</v>
      </c>
      <c r="S17" s="3762">
        <f t="shared" si="0"/>
        <v>100</v>
      </c>
      <c r="T17" s="3760" t="s">
        <v>13</v>
      </c>
      <c r="U17" s="3762">
        <f t="shared" si="1"/>
        <v>100</v>
      </c>
      <c r="V17" s="3760" t="s">
        <v>13</v>
      </c>
      <c r="W17" s="3762">
        <f t="shared" si="2"/>
        <v>97</v>
      </c>
      <c r="X17" s="909"/>
      <c r="Y17" s="4581" t="s">
        <v>1598</v>
      </c>
      <c r="Z17" s="907" t="str">
        <f t="shared" si="7"/>
        <v>居住社区成熟度</v>
      </c>
      <c r="AA17" s="907">
        <f t="shared" si="3"/>
        <v>1</v>
      </c>
      <c r="AB17" s="907">
        <f t="shared" si="4"/>
        <v>1</v>
      </c>
      <c r="AC17" s="907">
        <f t="shared" si="5"/>
        <v>1.0309278350515463</v>
      </c>
    </row>
    <row r="18" spans="1:29" ht="15">
      <c r="A18" s="3093"/>
      <c r="B18" s="2796"/>
      <c r="C18" s="2820" t="s">
        <v>3602</v>
      </c>
      <c r="D18" s="2893"/>
      <c r="E18" s="2848" t="s">
        <v>3602</v>
      </c>
      <c r="F18" s="3722"/>
      <c r="G18" s="2848" t="s">
        <v>3602</v>
      </c>
      <c r="H18" s="3723"/>
      <c r="I18" s="2854" t="s">
        <v>3601</v>
      </c>
      <c r="J18" s="3722"/>
      <c r="K18" s="3150"/>
      <c r="L18" s="1980"/>
      <c r="M18" s="1975"/>
      <c r="N18" s="1975"/>
      <c r="O18" s="2030"/>
      <c r="P18" s="4580"/>
      <c r="Q18" s="1507"/>
      <c r="R18" s="3760"/>
      <c r="S18" s="3762"/>
      <c r="T18" s="3760"/>
      <c r="U18" s="3762"/>
      <c r="V18" s="3760"/>
      <c r="W18" s="3762"/>
      <c r="X18" s="909"/>
      <c r="Y18" s="4582"/>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580"/>
      <c r="Q19" s="1507" t="str">
        <f>B19</f>
        <v>商业繁华度</v>
      </c>
      <c r="R19" s="3760" t="s">
        <v>13</v>
      </c>
      <c r="S19" s="3762">
        <f>F19</f>
        <v>100</v>
      </c>
      <c r="T19" s="3760" t="s">
        <v>13</v>
      </c>
      <c r="U19" s="3762">
        <f>H19</f>
        <v>100</v>
      </c>
      <c r="V19" s="3760" t="s">
        <v>13</v>
      </c>
      <c r="W19" s="3762">
        <f>J19</f>
        <v>100</v>
      </c>
      <c r="X19" s="909"/>
      <c r="Y19" s="4582"/>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580"/>
      <c r="Q20" s="1507"/>
      <c r="R20" s="3760"/>
      <c r="S20" s="3762"/>
      <c r="T20" s="3760"/>
      <c r="U20" s="3762"/>
      <c r="V20" s="3760"/>
      <c r="W20" s="3762"/>
      <c r="X20" s="909"/>
      <c r="Y20" s="4582"/>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580"/>
      <c r="Q21" s="1507" t="str">
        <f>B21</f>
        <v>办公集聚程度</v>
      </c>
      <c r="R21" s="3760" t="s">
        <v>13</v>
      </c>
      <c r="S21" s="3762">
        <f>F21</f>
        <v>100</v>
      </c>
      <c r="T21" s="3760" t="s">
        <v>13</v>
      </c>
      <c r="U21" s="3762">
        <f>H21</f>
        <v>100</v>
      </c>
      <c r="V21" s="3760" t="s">
        <v>13</v>
      </c>
      <c r="W21" s="3762">
        <f>J21</f>
        <v>100</v>
      </c>
      <c r="X21" s="909"/>
      <c r="Y21" s="4582"/>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580"/>
      <c r="Q22" s="1507"/>
      <c r="R22" s="3760"/>
      <c r="S22" s="3762"/>
      <c r="T22" s="3760"/>
      <c r="U22" s="3762"/>
      <c r="V22" s="3760"/>
      <c r="W22" s="3762"/>
      <c r="X22" s="909"/>
      <c r="Y22" s="4582"/>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97</v>
      </c>
      <c r="K23" s="3149">
        <v>3</v>
      </c>
      <c r="L23" s="1980"/>
      <c r="M23" s="1975"/>
      <c r="N23" s="1975"/>
      <c r="O23" s="2030"/>
      <c r="P23" s="4580"/>
      <c r="Q23" s="1507" t="str">
        <f>B23</f>
        <v>交通便捷度</v>
      </c>
      <c r="R23" s="3760" t="s">
        <v>13</v>
      </c>
      <c r="S23" s="3762">
        <f>F23</f>
        <v>100</v>
      </c>
      <c r="T23" s="3760" t="s">
        <v>13</v>
      </c>
      <c r="U23" s="3762">
        <f>H23</f>
        <v>100</v>
      </c>
      <c r="V23" s="3760" t="s">
        <v>13</v>
      </c>
      <c r="W23" s="3762">
        <f>J23</f>
        <v>97</v>
      </c>
      <c r="X23" s="909"/>
      <c r="Y23" s="4582"/>
      <c r="Z23" s="907" t="str">
        <f>Q23</f>
        <v>交通便捷度</v>
      </c>
      <c r="AA23" s="907">
        <f t="shared" si="3"/>
        <v>1</v>
      </c>
      <c r="AB23" s="907">
        <f t="shared" si="4"/>
        <v>1</v>
      </c>
      <c r="AC23" s="907">
        <f t="shared" si="5"/>
        <v>1.0309278350515463</v>
      </c>
    </row>
    <row r="24" spans="1:29" ht="15">
      <c r="A24" s="3093"/>
      <c r="B24" s="2799"/>
      <c r="C24" s="2820" t="s">
        <v>3602</v>
      </c>
      <c r="D24" s="2894"/>
      <c r="E24" s="2848" t="s">
        <v>3602</v>
      </c>
      <c r="F24" s="3722"/>
      <c r="G24" s="2848" t="s">
        <v>3602</v>
      </c>
      <c r="H24" s="3722"/>
      <c r="I24" s="2854" t="s">
        <v>3601</v>
      </c>
      <c r="J24" s="3722"/>
      <c r="K24" s="3150"/>
      <c r="L24" s="1980"/>
      <c r="M24" s="1975"/>
      <c r="N24" s="1975"/>
      <c r="O24" s="2030"/>
      <c r="P24" s="4580"/>
      <c r="Q24" s="1507"/>
      <c r="R24" s="3760"/>
      <c r="S24" s="3762"/>
      <c r="T24" s="3760"/>
      <c r="U24" s="3762"/>
      <c r="V24" s="3760"/>
      <c r="W24" s="3762"/>
      <c r="X24" s="909"/>
      <c r="Y24" s="4582"/>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v>2</v>
      </c>
      <c r="L25" s="1980"/>
      <c r="M25" s="1975"/>
      <c r="N25" s="1975"/>
      <c r="O25" s="2030"/>
      <c r="P25" s="4580"/>
      <c r="Q25" s="1507" t="str">
        <f t="shared" ref="Q25:Q39" si="8">B25</f>
        <v>区域土地利用方向</v>
      </c>
      <c r="R25" s="3760" t="s">
        <v>13</v>
      </c>
      <c r="S25" s="3762">
        <f>F25</f>
        <v>100</v>
      </c>
      <c r="T25" s="3760" t="s">
        <v>13</v>
      </c>
      <c r="U25" s="3762">
        <f>H25</f>
        <v>100</v>
      </c>
      <c r="V25" s="3760" t="s">
        <v>13</v>
      </c>
      <c r="W25" s="3762">
        <f>J25</f>
        <v>100</v>
      </c>
      <c r="X25" s="909"/>
      <c r="Y25" s="4582"/>
      <c r="Z25" s="907" t="str">
        <f>Q25</f>
        <v>区域土地利用方向</v>
      </c>
      <c r="AA25" s="907">
        <f t="shared" si="3"/>
        <v>1</v>
      </c>
      <c r="AB25" s="907">
        <f t="shared" si="4"/>
        <v>1</v>
      </c>
      <c r="AC25" s="907">
        <f t="shared" si="5"/>
        <v>1</v>
      </c>
    </row>
    <row r="26" spans="1:29" ht="15">
      <c r="A26" s="3097"/>
      <c r="B26" s="2798"/>
      <c r="C26" s="2836" t="s">
        <v>3602</v>
      </c>
      <c r="D26" s="2893"/>
      <c r="E26" s="2848" t="s">
        <v>3602</v>
      </c>
      <c r="F26" s="3722"/>
      <c r="G26" s="2854" t="s">
        <v>3602</v>
      </c>
      <c r="H26" s="3722"/>
      <c r="I26" s="2854" t="s">
        <v>3602</v>
      </c>
      <c r="J26" s="3722"/>
      <c r="K26" s="3151"/>
      <c r="L26" s="1980"/>
      <c r="M26" s="1975"/>
      <c r="N26" s="1975"/>
      <c r="O26" s="2030"/>
      <c r="P26" s="4580"/>
      <c r="Q26" s="1507"/>
      <c r="R26" s="3760"/>
      <c r="S26" s="3762"/>
      <c r="T26" s="3760"/>
      <c r="U26" s="3762"/>
      <c r="V26" s="3760"/>
      <c r="W26" s="3762"/>
      <c r="X26" s="909"/>
      <c r="Y26" s="4582"/>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v>2</v>
      </c>
      <c r="L27" s="1980"/>
      <c r="M27" s="1975"/>
      <c r="N27" s="1975"/>
      <c r="O27" s="2030"/>
      <c r="P27" s="4580"/>
      <c r="Q27" s="1507" t="str">
        <f t="shared" si="8"/>
        <v>自然及人文环境状况</v>
      </c>
      <c r="R27" s="3760" t="s">
        <v>13</v>
      </c>
      <c r="S27" s="3762">
        <f>F27</f>
        <v>100</v>
      </c>
      <c r="T27" s="3760" t="s">
        <v>13</v>
      </c>
      <c r="U27" s="3762">
        <f>H27</f>
        <v>100</v>
      </c>
      <c r="V27" s="3760" t="s">
        <v>13</v>
      </c>
      <c r="W27" s="3762">
        <f>J27</f>
        <v>100</v>
      </c>
      <c r="X27" s="909"/>
      <c r="Y27" s="4582"/>
      <c r="Z27" s="907" t="str">
        <f>Q27</f>
        <v>自然及人文环境状况</v>
      </c>
      <c r="AA27" s="907">
        <f t="shared" si="3"/>
        <v>1</v>
      </c>
      <c r="AB27" s="907">
        <f t="shared" si="4"/>
        <v>1</v>
      </c>
      <c r="AC27" s="907">
        <f t="shared" si="5"/>
        <v>1</v>
      </c>
    </row>
    <row r="28" spans="1:29" ht="15">
      <c r="A28" s="3097"/>
      <c r="B28" s="2798"/>
      <c r="C28" s="2820" t="s">
        <v>3602</v>
      </c>
      <c r="D28" s="2893"/>
      <c r="E28" s="2871" t="s">
        <v>3602</v>
      </c>
      <c r="F28" s="3722"/>
      <c r="G28" s="2871" t="s">
        <v>3602</v>
      </c>
      <c r="H28" s="3722"/>
      <c r="I28" s="2820" t="s">
        <v>3602</v>
      </c>
      <c r="J28" s="3722"/>
      <c r="K28" s="3150"/>
      <c r="L28" s="1980"/>
      <c r="M28" s="1975"/>
      <c r="N28" s="1975"/>
      <c r="O28" s="2030"/>
      <c r="P28" s="4580"/>
      <c r="Q28" s="1507"/>
      <c r="R28" s="3760"/>
      <c r="S28" s="3762"/>
      <c r="T28" s="3760"/>
      <c r="U28" s="3762"/>
      <c r="V28" s="3760"/>
      <c r="W28" s="3762"/>
      <c r="X28" s="909"/>
      <c r="Y28" s="4582"/>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97</v>
      </c>
      <c r="G29" s="2845"/>
      <c r="H29" s="3723">
        <f>SUMIF(101:101,G30,102:102)-SUMIF(101:101,C30,102:102)+100</f>
        <v>97</v>
      </c>
      <c r="I29" s="2851"/>
      <c r="J29" s="3723">
        <f>SUMIF(101:101,I30,102:102)-SUMIF(101:101,C30,102:102)+100</f>
        <v>97</v>
      </c>
      <c r="K29" s="3149">
        <v>3</v>
      </c>
      <c r="L29" s="1976"/>
      <c r="M29" s="1929"/>
      <c r="N29" s="1929"/>
      <c r="O29" s="2028"/>
      <c r="P29" s="4580"/>
      <c r="Q29" s="1698" t="str">
        <f t="shared" si="8"/>
        <v>公共配套设施</v>
      </c>
      <c r="R29" s="3759" t="s">
        <v>13</v>
      </c>
      <c r="S29" s="3542">
        <f>F29</f>
        <v>97</v>
      </c>
      <c r="T29" s="3759" t="s">
        <v>13</v>
      </c>
      <c r="U29" s="3542">
        <f>H29</f>
        <v>97</v>
      </c>
      <c r="V29" s="3759" t="s">
        <v>13</v>
      </c>
      <c r="W29" s="3542">
        <f>J29</f>
        <v>97</v>
      </c>
      <c r="X29" s="482"/>
      <c r="Y29" s="4582"/>
      <c r="Z29" s="28" t="str">
        <f>Q29</f>
        <v>公共配套设施</v>
      </c>
      <c r="AA29" s="907">
        <f>D29/F29</f>
        <v>1.0309278350515463</v>
      </c>
      <c r="AB29" s="907">
        <f>D29/H29</f>
        <v>1.0309278350515463</v>
      </c>
      <c r="AC29" s="907">
        <f>D29/J29</f>
        <v>1.0309278350515463</v>
      </c>
    </row>
    <row r="30" spans="1:29" s="46" customFormat="1" ht="15">
      <c r="A30" s="3099"/>
      <c r="B30" s="2798"/>
      <c r="C30" s="3100" t="s">
        <v>3602</v>
      </c>
      <c r="D30" s="2893"/>
      <c r="E30" s="2871" t="s">
        <v>3601</v>
      </c>
      <c r="F30" s="3722"/>
      <c r="G30" s="2871" t="s">
        <v>3601</v>
      </c>
      <c r="H30" s="3722"/>
      <c r="I30" s="2820" t="s">
        <v>3601</v>
      </c>
      <c r="J30" s="3722"/>
      <c r="K30" s="3150"/>
      <c r="L30" s="1976"/>
      <c r="M30" s="1929"/>
      <c r="N30" s="1929"/>
      <c r="O30" s="2028"/>
      <c r="P30" s="4580"/>
      <c r="Q30" s="1698"/>
      <c r="R30" s="3759"/>
      <c r="S30" s="3542"/>
      <c r="T30" s="3759"/>
      <c r="U30" s="3542"/>
      <c r="V30" s="3759"/>
      <c r="W30" s="3542"/>
      <c r="X30" s="482"/>
      <c r="Y30" s="4582"/>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v>2</v>
      </c>
      <c r="L31" s="1976"/>
      <c r="M31" s="1929"/>
      <c r="N31" s="1929"/>
      <c r="O31" s="2028"/>
      <c r="P31" s="4580"/>
      <c r="Q31" s="1698" t="str">
        <f t="shared" ref="Q31" si="9">B31</f>
        <v>基础设施水平</v>
      </c>
      <c r="R31" s="3759" t="s">
        <v>13</v>
      </c>
      <c r="S31" s="3542">
        <f>F31</f>
        <v>100</v>
      </c>
      <c r="T31" s="3759" t="s">
        <v>13</v>
      </c>
      <c r="U31" s="3542">
        <f>H31</f>
        <v>100</v>
      </c>
      <c r="V31" s="3759" t="s">
        <v>13</v>
      </c>
      <c r="W31" s="3542">
        <f>J31</f>
        <v>100</v>
      </c>
      <c r="X31" s="482"/>
      <c r="Y31" s="4582"/>
      <c r="Z31" s="28" t="str">
        <f>Q31</f>
        <v>基础设施水平</v>
      </c>
      <c r="AA31" s="907">
        <f>D31/F31</f>
        <v>1</v>
      </c>
      <c r="AB31" s="907">
        <f>D31/H31</f>
        <v>1</v>
      </c>
      <c r="AC31" s="907">
        <f>D31/J31</f>
        <v>1</v>
      </c>
    </row>
    <row r="32" spans="1:29" s="46" customFormat="1" ht="15">
      <c r="A32" s="3099"/>
      <c r="B32" s="2798"/>
      <c r="C32" s="3100" t="s">
        <v>3603</v>
      </c>
      <c r="D32" s="2893"/>
      <c r="E32" s="3116" t="s">
        <v>3603</v>
      </c>
      <c r="F32" s="3722"/>
      <c r="G32" s="3116" t="s">
        <v>3603</v>
      </c>
      <c r="H32" s="3722"/>
      <c r="I32" s="3116" t="s">
        <v>3603</v>
      </c>
      <c r="J32" s="3722"/>
      <c r="K32" s="3150"/>
      <c r="L32" s="1976"/>
      <c r="M32" s="1929"/>
      <c r="N32" s="1929"/>
      <c r="O32" s="2028"/>
      <c r="P32" s="4580"/>
      <c r="Q32" s="1698"/>
      <c r="R32" s="3759"/>
      <c r="S32" s="3542"/>
      <c r="T32" s="3759"/>
      <c r="U32" s="3542"/>
      <c r="V32" s="3759"/>
      <c r="W32" s="3542"/>
      <c r="X32" s="482"/>
      <c r="Y32" s="4582"/>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580"/>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82"/>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580"/>
      <c r="Q34" s="1507" t="str">
        <f t="shared" si="8"/>
        <v>毗邻道路的类型与等级</v>
      </c>
      <c r="R34" s="3760" t="s">
        <v>13</v>
      </c>
      <c r="S34" s="3762">
        <f t="shared" si="10"/>
        <v>100</v>
      </c>
      <c r="T34" s="3760" t="s">
        <v>13</v>
      </c>
      <c r="U34" s="3762">
        <f t="shared" si="11"/>
        <v>100</v>
      </c>
      <c r="V34" s="3760" t="s">
        <v>13</v>
      </c>
      <c r="W34" s="3762">
        <f t="shared" si="12"/>
        <v>100</v>
      </c>
      <c r="X34" s="909"/>
      <c r="Y34" s="4582"/>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580"/>
      <c r="Q35" s="1507"/>
      <c r="R35" s="3760"/>
      <c r="S35" s="3762"/>
      <c r="T35" s="3760"/>
      <c r="U35" s="3762"/>
      <c r="V35" s="3760"/>
      <c r="W35" s="3762"/>
      <c r="X35" s="909"/>
      <c r="Y35" s="4582"/>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580"/>
      <c r="Q36" s="1507" t="str">
        <f t="shared" si="8"/>
        <v>土地级别</v>
      </c>
      <c r="R36" s="3760" t="s">
        <v>13</v>
      </c>
      <c r="S36" s="3762">
        <f t="shared" si="10"/>
        <v>100</v>
      </c>
      <c r="T36" s="3760" t="s">
        <v>13</v>
      </c>
      <c r="U36" s="3762">
        <f t="shared" si="11"/>
        <v>100</v>
      </c>
      <c r="V36" s="3760" t="s">
        <v>13</v>
      </c>
      <c r="W36" s="3762">
        <f t="shared" si="12"/>
        <v>100</v>
      </c>
      <c r="X36" s="909"/>
      <c r="Y36" s="4582"/>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580"/>
      <c r="Q37" s="1507">
        <f t="shared" si="8"/>
        <v>111</v>
      </c>
      <c r="R37" s="3760" t="s">
        <v>13</v>
      </c>
      <c r="S37" s="3762">
        <f t="shared" si="10"/>
        <v>100</v>
      </c>
      <c r="T37" s="3760" t="s">
        <v>13</v>
      </c>
      <c r="U37" s="3762">
        <f t="shared" si="11"/>
        <v>100</v>
      </c>
      <c r="V37" s="3760" t="s">
        <v>13</v>
      </c>
      <c r="W37" s="3762">
        <f t="shared" si="12"/>
        <v>100</v>
      </c>
      <c r="X37" s="909"/>
      <c r="Y37" s="4582"/>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583" t="s">
        <v>1603</v>
      </c>
      <c r="Q38" s="1507">
        <f t="shared" si="8"/>
        <v>111</v>
      </c>
      <c r="R38" s="3760" t="s">
        <v>13</v>
      </c>
      <c r="S38" s="3762">
        <f t="shared" si="10"/>
        <v>100</v>
      </c>
      <c r="T38" s="3760" t="s">
        <v>13</v>
      </c>
      <c r="U38" s="3762">
        <f t="shared" si="11"/>
        <v>100</v>
      </c>
      <c r="V38" s="3760" t="s">
        <v>13</v>
      </c>
      <c r="W38" s="3762">
        <f t="shared" si="12"/>
        <v>100</v>
      </c>
      <c r="X38" s="909"/>
      <c r="Y38" s="4585"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584"/>
      <c r="Q39" s="1507">
        <f t="shared" si="8"/>
        <v>111</v>
      </c>
      <c r="R39" s="3761" t="s">
        <v>13</v>
      </c>
      <c r="S39" s="3763">
        <f t="shared" si="10"/>
        <v>100</v>
      </c>
      <c r="T39" s="3761" t="s">
        <v>13</v>
      </c>
      <c r="U39" s="3763">
        <f t="shared" si="11"/>
        <v>100</v>
      </c>
      <c r="V39" s="3761" t="s">
        <v>13</v>
      </c>
      <c r="W39" s="3763">
        <f t="shared" si="12"/>
        <v>100</v>
      </c>
      <c r="X39" s="484"/>
      <c r="Y39" s="4585"/>
      <c r="Z39" s="485">
        <f t="shared" si="13"/>
        <v>111</v>
      </c>
      <c r="AA39" s="907">
        <f t="shared" si="3"/>
        <v>1</v>
      </c>
      <c r="AB39" s="907">
        <f t="shared" si="4"/>
        <v>1</v>
      </c>
      <c r="AC39" s="907">
        <f t="shared" si="5"/>
        <v>1</v>
      </c>
    </row>
    <row r="40" spans="1:29" ht="15">
      <c r="A40" s="3107" t="s">
        <v>1601</v>
      </c>
      <c r="B40" s="2798" t="s">
        <v>1781</v>
      </c>
      <c r="C40" s="3108">
        <f>'数据-基础表'!A3</f>
        <v>23542.66</v>
      </c>
      <c r="D40" s="2897">
        <v>100</v>
      </c>
      <c r="E40" s="3108">
        <f>土地案例!D5</f>
        <v>25897.21</v>
      </c>
      <c r="F40" s="3732">
        <f>LOOKUP(E40,118:118,119:119)-LOOKUP(C40,118:118,119:119)+100</f>
        <v>100</v>
      </c>
      <c r="G40" s="3108">
        <f>土地案例!D8</f>
        <v>30414.3</v>
      </c>
      <c r="H40" s="3732">
        <f>LOOKUP(G40,118:118,119:119)-LOOKUP(C40,118:118,119:119)+100</f>
        <v>100</v>
      </c>
      <c r="I40" s="3121">
        <f>土地案例!D11</f>
        <v>25777.5</v>
      </c>
      <c r="J40" s="3732">
        <f>LOOKUP(I40,118:118,119:119)-LOOKUP(C40,118:118,119:119)+100</f>
        <v>100</v>
      </c>
      <c r="K40" s="2858"/>
      <c r="L40" s="1980"/>
      <c r="M40" s="1975"/>
      <c r="N40" s="1975"/>
      <c r="O40" s="2030"/>
      <c r="P40" s="4584"/>
      <c r="Q40" s="1507" t="str">
        <f>B40</f>
        <v>宗地面积</v>
      </c>
      <c r="R40" s="3760" t="s">
        <v>13</v>
      </c>
      <c r="S40" s="3762">
        <f t="shared" si="10"/>
        <v>100</v>
      </c>
      <c r="T40" s="3760" t="s">
        <v>13</v>
      </c>
      <c r="U40" s="3762">
        <f t="shared" si="11"/>
        <v>100</v>
      </c>
      <c r="V40" s="3760" t="s">
        <v>13</v>
      </c>
      <c r="W40" s="3762">
        <f t="shared" si="12"/>
        <v>100</v>
      </c>
      <c r="X40" s="909"/>
      <c r="Y40" s="4585"/>
      <c r="Z40" s="907" t="str">
        <f t="shared" si="13"/>
        <v>宗地面积</v>
      </c>
      <c r="AA40" s="907">
        <f t="shared" si="3"/>
        <v>1</v>
      </c>
      <c r="AB40" s="907">
        <f t="shared" si="4"/>
        <v>1</v>
      </c>
      <c r="AC40" s="907">
        <f t="shared" si="5"/>
        <v>1</v>
      </c>
    </row>
    <row r="41" spans="1:29" ht="15">
      <c r="A41" s="3107"/>
      <c r="B41" s="2789" t="s">
        <v>1782</v>
      </c>
      <c r="C41" s="2826" t="s">
        <v>3608</v>
      </c>
      <c r="D41" s="2890">
        <v>100</v>
      </c>
      <c r="E41" s="2826" t="s">
        <v>3608</v>
      </c>
      <c r="F41" s="3725">
        <f>SUMIF(120:120,E41,121:121)-SUMIF(120:120,C41,121:121)+100</f>
        <v>100</v>
      </c>
      <c r="G41" s="2826" t="s">
        <v>3608</v>
      </c>
      <c r="H41" s="3725">
        <f>SUMIF(120:120,G41,121:121)-SUMIF(120:120,C41,121:121)+100</f>
        <v>100</v>
      </c>
      <c r="I41" s="2826" t="s">
        <v>3608</v>
      </c>
      <c r="J41" s="3725">
        <f>SUMIF(120:120,I41,121:121)-SUMIF(120:120,C41,121:121)+100</f>
        <v>100</v>
      </c>
      <c r="K41" s="2857">
        <v>1</v>
      </c>
      <c r="L41" s="1980"/>
      <c r="M41" s="1975"/>
      <c r="N41" s="1975"/>
      <c r="O41" s="2030"/>
      <c r="P41" s="4584"/>
      <c r="Q41" s="1507" t="str">
        <f t="shared" ref="Q41:Q47" si="14">B41</f>
        <v>宗地形状</v>
      </c>
      <c r="R41" s="3760" t="s">
        <v>13</v>
      </c>
      <c r="S41" s="3762">
        <f t="shared" si="10"/>
        <v>100</v>
      </c>
      <c r="T41" s="3760" t="s">
        <v>13</v>
      </c>
      <c r="U41" s="3762">
        <f t="shared" si="11"/>
        <v>100</v>
      </c>
      <c r="V41" s="3760" t="s">
        <v>13</v>
      </c>
      <c r="W41" s="3762">
        <f t="shared" si="12"/>
        <v>100</v>
      </c>
      <c r="X41" s="909"/>
      <c r="Y41" s="4585"/>
      <c r="Z41" s="907" t="str">
        <f t="shared" si="13"/>
        <v>宗地形状</v>
      </c>
      <c r="AA41" s="907">
        <f t="shared" si="3"/>
        <v>1</v>
      </c>
      <c r="AB41" s="907">
        <f t="shared" si="4"/>
        <v>1</v>
      </c>
      <c r="AC41" s="907">
        <f t="shared" si="5"/>
        <v>1</v>
      </c>
    </row>
    <row r="42" spans="1:29" ht="15">
      <c r="A42" s="3107"/>
      <c r="B42" s="2789" t="s">
        <v>1783</v>
      </c>
      <c r="C42" s="2826" t="s">
        <v>4184</v>
      </c>
      <c r="D42" s="2890">
        <v>100</v>
      </c>
      <c r="E42" s="2826" t="s">
        <v>4184</v>
      </c>
      <c r="F42" s="3725">
        <f>SUMIF(122:122,E42,123:123)-SUMIF(122:122,C42,123:123)+100</f>
        <v>100</v>
      </c>
      <c r="G42" s="2826" t="s">
        <v>4184</v>
      </c>
      <c r="H42" s="3725">
        <f>SUMIF(122:122,G42,123:123)-SUMIF(122:122,C42,123:123)+100</f>
        <v>100</v>
      </c>
      <c r="I42" s="2826" t="s">
        <v>4184</v>
      </c>
      <c r="J42" s="3725">
        <f>SUMIF(122:122,I42,123:123)-SUMIF(122:122,C42,123:123)+100</f>
        <v>100</v>
      </c>
      <c r="K42" s="2857">
        <v>1</v>
      </c>
      <c r="L42" s="1980"/>
      <c r="M42" s="1975"/>
      <c r="N42" s="1975"/>
      <c r="O42" s="2030"/>
      <c r="P42" s="4584"/>
      <c r="Q42" s="1507" t="str">
        <f t="shared" si="14"/>
        <v>临街宽度及深度</v>
      </c>
      <c r="R42" s="3760" t="s">
        <v>13</v>
      </c>
      <c r="S42" s="3762">
        <f t="shared" si="10"/>
        <v>100</v>
      </c>
      <c r="T42" s="3760" t="s">
        <v>13</v>
      </c>
      <c r="U42" s="3762">
        <f t="shared" si="11"/>
        <v>100</v>
      </c>
      <c r="V42" s="3760" t="s">
        <v>13</v>
      </c>
      <c r="W42" s="3762">
        <f t="shared" si="12"/>
        <v>100</v>
      </c>
      <c r="X42" s="909"/>
      <c r="Y42" s="4585"/>
      <c r="Z42" s="907" t="str">
        <f t="shared" si="13"/>
        <v>临街宽度及深度</v>
      </c>
      <c r="AA42" s="907">
        <f t="shared" si="3"/>
        <v>1</v>
      </c>
      <c r="AB42" s="907">
        <f t="shared" si="4"/>
        <v>1</v>
      </c>
      <c r="AC42" s="907">
        <f t="shared" si="5"/>
        <v>1</v>
      </c>
    </row>
    <row r="43" spans="1:29" s="46" customFormat="1" ht="15">
      <c r="A43" s="3109"/>
      <c r="B43" s="2789" t="s">
        <v>1784</v>
      </c>
      <c r="C43" s="3110" t="s">
        <v>3604</v>
      </c>
      <c r="D43" s="2888">
        <v>100</v>
      </c>
      <c r="E43" s="3110" t="s">
        <v>3604</v>
      </c>
      <c r="F43" s="3725">
        <f>SUMIF(124:124,E43,125:125)-SUMIF(124:124,C43,125:125)+100</f>
        <v>100</v>
      </c>
      <c r="G43" s="3110" t="s">
        <v>3607</v>
      </c>
      <c r="H43" s="3725">
        <f>SUMIF(124:124,G43,125:125)-SUMIF(124:124,C43,125:125)+100</f>
        <v>97</v>
      </c>
      <c r="I43" s="3110" t="s">
        <v>3604</v>
      </c>
      <c r="J43" s="3725">
        <f>SUMIF(124:124,I43,125:125)-SUMIF(124:124,C43,125:125)+100</f>
        <v>100</v>
      </c>
      <c r="K43" s="2857">
        <v>1</v>
      </c>
      <c r="L43" s="1976"/>
      <c r="M43" s="1929"/>
      <c r="N43" s="1929"/>
      <c r="O43" s="2028"/>
      <c r="P43" s="4584"/>
      <c r="Q43" s="1507" t="str">
        <f t="shared" si="14"/>
        <v>宗地开发程度</v>
      </c>
      <c r="R43" s="3759" t="s">
        <v>13</v>
      </c>
      <c r="S43" s="3542">
        <f t="shared" si="10"/>
        <v>100</v>
      </c>
      <c r="T43" s="3759" t="s">
        <v>13</v>
      </c>
      <c r="U43" s="3542">
        <f t="shared" si="11"/>
        <v>97</v>
      </c>
      <c r="V43" s="3759" t="s">
        <v>13</v>
      </c>
      <c r="W43" s="3542">
        <f t="shared" si="12"/>
        <v>100</v>
      </c>
      <c r="X43" s="482"/>
      <c r="Y43" s="4585"/>
      <c r="Z43" s="28" t="str">
        <f t="shared" si="13"/>
        <v>宗地开发程度</v>
      </c>
      <c r="AA43" s="28">
        <f t="shared" si="3"/>
        <v>1</v>
      </c>
      <c r="AB43" s="28">
        <f t="shared" si="4"/>
        <v>1.0309278350515463</v>
      </c>
      <c r="AC43" s="28">
        <f t="shared" si="5"/>
        <v>1</v>
      </c>
    </row>
    <row r="44" spans="1:29" ht="15">
      <c r="A44" s="3107"/>
      <c r="B44" s="2789" t="s">
        <v>1785</v>
      </c>
      <c r="C44" s="2826" t="s">
        <v>3602</v>
      </c>
      <c r="D44" s="2890">
        <v>100</v>
      </c>
      <c r="E44" s="2826" t="s">
        <v>3602</v>
      </c>
      <c r="F44" s="3725">
        <f>SUMIF(126:126,E44,127:127)-SUMIF(126:126,C44,127:127)+100</f>
        <v>100</v>
      </c>
      <c r="G44" s="2826" t="s">
        <v>3602</v>
      </c>
      <c r="H44" s="3725">
        <f>SUMIF(126:126,G44,127:127)-SUMIF(126:126,C44,127:127)+100</f>
        <v>100</v>
      </c>
      <c r="I44" s="2826" t="s">
        <v>3602</v>
      </c>
      <c r="J44" s="3725">
        <f>SUMIF(126:126,I44,127:127)-SUMIF(126:126,C44,127:127)+100</f>
        <v>100</v>
      </c>
      <c r="K44" s="2857">
        <v>1</v>
      </c>
      <c r="L44" s="1980"/>
      <c r="M44" s="1975"/>
      <c r="N44" s="1975"/>
      <c r="O44" s="2030"/>
      <c r="P44" s="4584" t="s">
        <v>1603</v>
      </c>
      <c r="Q44" s="1507" t="str">
        <f t="shared" si="14"/>
        <v>工程地质条件</v>
      </c>
      <c r="R44" s="3760" t="s">
        <v>13</v>
      </c>
      <c r="S44" s="3762">
        <f t="shared" si="10"/>
        <v>100</v>
      </c>
      <c r="T44" s="3760" t="s">
        <v>13</v>
      </c>
      <c r="U44" s="3762">
        <f t="shared" si="11"/>
        <v>100</v>
      </c>
      <c r="V44" s="3760" t="s">
        <v>13</v>
      </c>
      <c r="W44" s="3762">
        <f t="shared" si="12"/>
        <v>100</v>
      </c>
      <c r="X44" s="909"/>
      <c r="Y44" s="4585"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584"/>
      <c r="Q45" s="1507">
        <f t="shared" si="14"/>
        <v>111</v>
      </c>
      <c r="R45" s="3760" t="s">
        <v>13</v>
      </c>
      <c r="S45" s="3762">
        <f t="shared" si="10"/>
        <v>100</v>
      </c>
      <c r="T45" s="3760" t="s">
        <v>13</v>
      </c>
      <c r="U45" s="3762">
        <f t="shared" si="11"/>
        <v>100</v>
      </c>
      <c r="V45" s="3760" t="s">
        <v>13</v>
      </c>
      <c r="W45" s="3762">
        <f t="shared" si="12"/>
        <v>100</v>
      </c>
      <c r="X45" s="909"/>
      <c r="Y45" s="4585"/>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584"/>
      <c r="Q46" s="1507">
        <f t="shared" si="14"/>
        <v>111</v>
      </c>
      <c r="R46" s="3760" t="s">
        <v>13</v>
      </c>
      <c r="S46" s="3762">
        <f t="shared" si="10"/>
        <v>100</v>
      </c>
      <c r="T46" s="3760" t="s">
        <v>13</v>
      </c>
      <c r="U46" s="3762">
        <f t="shared" si="11"/>
        <v>100</v>
      </c>
      <c r="V46" s="3760" t="s">
        <v>13</v>
      </c>
      <c r="W46" s="3762">
        <f t="shared" si="12"/>
        <v>100</v>
      </c>
      <c r="X46" s="909"/>
      <c r="Y46" s="4585"/>
      <c r="Z46" s="907">
        <f t="shared" si="13"/>
        <v>111</v>
      </c>
      <c r="AA46" s="907">
        <f t="shared" si="3"/>
        <v>1</v>
      </c>
      <c r="AB46" s="907">
        <f t="shared" si="4"/>
        <v>1</v>
      </c>
      <c r="AC46" s="907">
        <f t="shared" si="5"/>
        <v>1</v>
      </c>
    </row>
    <row r="47" spans="1:29" s="279" customFormat="1" ht="28.5" thickBot="1">
      <c r="A47" s="3111"/>
      <c r="B47" s="3103">
        <v>111</v>
      </c>
      <c r="C47" s="3112"/>
      <c r="D47" s="3114">
        <v>100</v>
      </c>
      <c r="E47" s="4298" t="s">
        <v>4389</v>
      </c>
      <c r="F47" s="3727">
        <f>SUMIF(132:132,E47,133:133)-SUMIF(132:132,C47,133:133)+100</f>
        <v>100</v>
      </c>
      <c r="G47" s="4299" t="s">
        <v>4388</v>
      </c>
      <c r="H47" s="3727">
        <f>SUMIF(132:132,G47,133:133)-SUMIF(132:132,C47,133:133)+100</f>
        <v>100</v>
      </c>
      <c r="I47" s="4299" t="s">
        <v>4390</v>
      </c>
      <c r="J47" s="3727">
        <f>SUMIF(132:132,I47,133:133)-SUMIF(132:132,C47,133:133)+100</f>
        <v>100</v>
      </c>
      <c r="K47" s="3152"/>
      <c r="L47" s="1979"/>
      <c r="M47" s="1981"/>
      <c r="N47" s="1981"/>
      <c r="O47" s="2031"/>
      <c r="P47" s="4584"/>
      <c r="Q47" s="1507">
        <f t="shared" si="14"/>
        <v>111</v>
      </c>
      <c r="R47" s="3761" t="s">
        <v>13</v>
      </c>
      <c r="S47" s="3763">
        <f t="shared" si="10"/>
        <v>100</v>
      </c>
      <c r="T47" s="3761" t="s">
        <v>13</v>
      </c>
      <c r="U47" s="3763">
        <f t="shared" si="11"/>
        <v>100</v>
      </c>
      <c r="V47" s="3761" t="s">
        <v>13</v>
      </c>
      <c r="W47" s="3763">
        <f t="shared" si="12"/>
        <v>100</v>
      </c>
      <c r="X47" s="484"/>
      <c r="Y47" s="4585"/>
      <c r="Z47" s="485">
        <f t="shared" si="13"/>
        <v>111</v>
      </c>
      <c r="AA47" s="907">
        <f t="shared" si="3"/>
        <v>1</v>
      </c>
      <c r="AB47" s="907">
        <f t="shared" si="4"/>
        <v>1</v>
      </c>
      <c r="AC47" s="907">
        <f t="shared" si="5"/>
        <v>1</v>
      </c>
    </row>
    <row r="48" spans="1:29" ht="15">
      <c r="A48" s="286" t="s">
        <v>1751</v>
      </c>
      <c r="B48" s="1430" t="s">
        <v>1786</v>
      </c>
      <c r="C48" s="439" t="s">
        <v>0</v>
      </c>
      <c r="D48" s="288"/>
      <c r="E48" s="3205">
        <f>土地案例!O5</f>
        <v>40159</v>
      </c>
      <c r="F48" s="3153"/>
      <c r="G48" s="3206">
        <f>土地案例!O8</f>
        <v>40023</v>
      </c>
      <c r="H48" s="3154"/>
      <c r="I48" s="3205">
        <f>土地案例!O11</f>
        <v>39322</v>
      </c>
      <c r="J48" s="3154"/>
      <c r="K48" s="2862"/>
      <c r="L48" s="1982"/>
      <c r="M48" s="1975"/>
      <c r="N48" s="1975"/>
      <c r="O48" s="1975"/>
      <c r="P48" s="4578" t="str">
        <f>A48</f>
        <v>成交单价</v>
      </c>
      <c r="Q48" s="4578"/>
      <c r="R48" s="4570">
        <f>E48</f>
        <v>40159</v>
      </c>
      <c r="S48" s="4570"/>
      <c r="T48" s="4570">
        <f>G48</f>
        <v>40023</v>
      </c>
      <c r="U48" s="4570"/>
      <c r="V48" s="4570">
        <f>I48</f>
        <v>39322</v>
      </c>
      <c r="W48" s="4570"/>
      <c r="X48" s="265"/>
      <c r="Y48" s="486"/>
      <c r="Z48" s="265"/>
      <c r="AA48" s="265"/>
      <c r="AB48" s="265"/>
      <c r="AC48" s="265"/>
    </row>
    <row r="49" spans="1:29" ht="15.75" thickBot="1">
      <c r="A49" s="289" t="s">
        <v>1700</v>
      </c>
      <c r="B49" s="440"/>
      <c r="C49" s="3744">
        <f>R50</f>
        <v>42341</v>
      </c>
      <c r="D49" s="3846" t="s">
        <v>2042</v>
      </c>
      <c r="E49" s="3744">
        <f>R49</f>
        <v>41401</v>
      </c>
      <c r="F49" s="2801"/>
      <c r="G49" s="3733">
        <f>T49</f>
        <v>42537</v>
      </c>
      <c r="H49" s="2801"/>
      <c r="I49" s="3744">
        <f>V49</f>
        <v>43084</v>
      </c>
      <c r="J49" s="2801"/>
      <c r="K49" s="2855">
        <f>F49+H49+J49</f>
        <v>0</v>
      </c>
      <c r="L49" s="1982"/>
      <c r="M49" s="1975"/>
      <c r="N49" s="1975"/>
      <c r="O49" s="1975"/>
      <c r="P49" s="4578" t="str">
        <f>A49</f>
        <v>比较价值（元/平方米）</v>
      </c>
      <c r="Q49" s="4578"/>
      <c r="R49" s="4570">
        <f>ROUND(PRODUCT(R48,AA9:AA47),0)</f>
        <v>41401</v>
      </c>
      <c r="S49" s="4570"/>
      <c r="T49" s="4570">
        <f>ROUND(PRODUCT(T48,AB9:AB47),0)</f>
        <v>42537</v>
      </c>
      <c r="U49" s="4570"/>
      <c r="V49" s="4570">
        <f>ROUND(PRODUCT(V48,AC9:AC47),0)</f>
        <v>43084</v>
      </c>
      <c r="W49" s="4570"/>
      <c r="X49" s="265"/>
      <c r="Y49" s="265"/>
      <c r="Z49" s="265"/>
      <c r="AA49" s="265"/>
      <c r="AB49" s="265"/>
      <c r="AC49" s="265"/>
    </row>
    <row r="50" spans="1:29" ht="15.75" thickBot="1">
      <c r="A50" s="291" t="s">
        <v>1787</v>
      </c>
      <c r="B50" s="292"/>
      <c r="C50" s="3745">
        <f>R50</f>
        <v>42341</v>
      </c>
      <c r="D50" s="293"/>
      <c r="E50" s="293"/>
      <c r="F50" s="293"/>
      <c r="G50" s="293"/>
      <c r="H50" s="293"/>
      <c r="I50" s="293"/>
      <c r="J50" s="293"/>
      <c r="K50" s="3126"/>
      <c r="L50" s="1982"/>
      <c r="M50" s="1975"/>
      <c r="N50" s="1975"/>
      <c r="O50" s="1975"/>
      <c r="P50" s="4571" t="str">
        <f>A50</f>
        <v>估价对象XX用房的比较价值（楼面单价，元/平方米）</v>
      </c>
      <c r="Q50" s="4572"/>
      <c r="R50" s="4573">
        <f>ROUND(IF(D49="简单平均",AVERAGE(R49:W49),R49*F49+T49*H49+V49*J49),0)</f>
        <v>42341</v>
      </c>
      <c r="S50" s="4573"/>
      <c r="T50" s="4573"/>
      <c r="U50" s="4573"/>
      <c r="V50" s="4573"/>
      <c r="W50" s="4573"/>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3.0927064916955072E-2</v>
      </c>
      <c r="F53" s="299" t="str">
        <f>IF(OR(E53&gt;=0.3,E53&lt;=-0.3),"超过30%","")</f>
        <v/>
      </c>
      <c r="G53" s="298">
        <f>IF(G48&lt;G49,G49/G48-1,G48/G49-1)</f>
        <v>6.2813882017839662E-2</v>
      </c>
      <c r="H53" s="299" t="str">
        <f>IF(OR(G53&gt;=0.3,G53&lt;=-0.3),"超过30%","")</f>
        <v/>
      </c>
      <c r="I53" s="298">
        <f>IF(I48&lt;I49,I49/I48-1,I48/I49-1)</f>
        <v>9.5671634199684608E-2</v>
      </c>
      <c r="J53" s="299" t="str">
        <f>IF(OR(I53&gt;=0.3,I53&lt;=-0.3),"超过30%","")</f>
        <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2.7438950749981927E-2</v>
      </c>
      <c r="F54" s="299" t="str">
        <f>IF(OR(E54&gt;=0.2,E54&lt;=-0.2),"超过20%","")</f>
        <v/>
      </c>
      <c r="G54" s="298">
        <f>IF(G49&lt;I49,I49/G49-1,G49/I49-1)</f>
        <v>1.2859392999036157E-2</v>
      </c>
      <c r="H54" s="299" t="str">
        <f>IF(OR(G54&gt;=0.2,G54&lt;=-0.2),"超过20%","")</f>
        <v/>
      </c>
      <c r="I54" s="298">
        <f>IF(I49&lt;E49,E49/I49-1,I49/E49-1)</f>
        <v>4.0651192000193292E-2</v>
      </c>
      <c r="J54" s="299" t="str">
        <f>IF(OR(I54&gt;=0.2,I54&lt;=-0.2),"超过20%","")</f>
        <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3.3980461234790482E-3</v>
      </c>
      <c r="F55" s="299" t="str">
        <f>IF(OR(E55&gt;=0.3,E55&lt;=-0.3),"超过30%","")</f>
        <v/>
      </c>
      <c r="G55" s="298">
        <f>IF(G48&lt;I48,I48/G48-1,G48/I48-1)</f>
        <v>1.7827170540664294E-2</v>
      </c>
      <c r="H55" s="299" t="str">
        <f>IF(OR(G55&gt;=0.3,G55&lt;=-0.3),"超过30%","")</f>
        <v/>
      </c>
      <c r="I55" s="298">
        <f>IF(I48&lt;E48,E48/I48-1,I48/E48-1)</f>
        <v>2.1285794211891584E-2</v>
      </c>
      <c r="J55" s="299" t="str">
        <f>IF(OR(I55&gt;=0.3,I55&lt;=-0.3),"超过30%","")</f>
        <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74" t="s">
        <v>1794</v>
      </c>
      <c r="H57" s="4575"/>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f>C50</f>
        <v>42341</v>
      </c>
      <c r="C58" s="2831">
        <v>1</v>
      </c>
      <c r="D58" s="3065">
        <v>1</v>
      </c>
      <c r="E58" s="3064">
        <f>'数据-汇总表'!E8+'数据-汇总表'!E9</f>
        <v>58465.54</v>
      </c>
      <c r="F58" s="3086">
        <f t="shared" ref="F58:F66" si="15">ROUND(B58*E58/10000,0)</f>
        <v>247549</v>
      </c>
      <c r="G58" s="4576"/>
      <c r="H58" s="4577"/>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f>ROUND($C$50*C59*D59,0)</f>
        <v>0</v>
      </c>
      <c r="C59" s="3063">
        <f t="shared" ref="C59:C66" si="16">IF($C$57="北京市系数",I59,J59)</f>
        <v>0</v>
      </c>
      <c r="D59" s="3066">
        <v>0.25</v>
      </c>
      <c r="E59" s="3068"/>
      <c r="F59" s="3086">
        <f t="shared" si="15"/>
        <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f t="shared" ref="B60:B66" si="17">ROUND($C$50*C60*D60,0)</f>
        <v>0</v>
      </c>
      <c r="C60" s="3063">
        <f t="shared" si="16"/>
        <v>0</v>
      </c>
      <c r="D60" s="3066">
        <v>0.25</v>
      </c>
      <c r="E60" s="3068"/>
      <c r="F60" s="3086">
        <f t="shared" si="15"/>
        <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f t="shared" si="17"/>
        <v>0</v>
      </c>
      <c r="C61" s="3063">
        <f t="shared" si="16"/>
        <v>0</v>
      </c>
      <c r="D61" s="3066">
        <v>0.25</v>
      </c>
      <c r="E61" s="3068"/>
      <c r="F61" s="3086">
        <f t="shared" si="15"/>
        <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f t="shared" si="17"/>
        <v>0</v>
      </c>
      <c r="C62" s="3063">
        <f t="shared" si="16"/>
        <v>0</v>
      </c>
      <c r="D62" s="3066">
        <v>0.25</v>
      </c>
      <c r="E62" s="3069">
        <f>'数据-汇总表'!E11</f>
        <v>0</v>
      </c>
      <c r="F62" s="3086">
        <f t="shared" si="15"/>
        <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f t="shared" si="17"/>
        <v>2646</v>
      </c>
      <c r="C63" s="3063">
        <f t="shared" si="16"/>
        <v>0.25</v>
      </c>
      <c r="D63" s="3066">
        <v>0.25</v>
      </c>
      <c r="E63" s="3069">
        <f>'数据-汇总表'!E12</f>
        <v>2024</v>
      </c>
      <c r="F63" s="3086">
        <f t="shared" si="15"/>
        <v>536</v>
      </c>
      <c r="G63" s="3079" t="s">
        <v>3262</v>
      </c>
      <c r="H63" s="574" t="str">
        <f>IF(G63="商业",项目基本情况!B37,IF(G63="办公",项目基本情况!C37,IF(G63="住宅",项目基本情况!D37,项目基本情况!E37)))</f>
        <v>四级</v>
      </c>
      <c r="I63" s="3081">
        <f>SUMIF(修正!A59:A70,H63,修正!F59:F70)</f>
        <v>0.25</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f t="shared" si="17"/>
        <v>1588</v>
      </c>
      <c r="C64" s="3063">
        <f t="shared" si="16"/>
        <v>0.15</v>
      </c>
      <c r="D64" s="3066">
        <v>0.25</v>
      </c>
      <c r="E64" s="3069">
        <f>'数据-汇总表'!E13</f>
        <v>14766.66</v>
      </c>
      <c r="F64" s="3086">
        <f t="shared" si="15"/>
        <v>2345</v>
      </c>
      <c r="G64" s="3079" t="s">
        <v>1807</v>
      </c>
      <c r="H64" s="574" t="str">
        <f>IF(G64="商业",项目基本情况!B37,IF(G64="办公",项目基本情况!C37,IF(G64="住宅",项目基本情况!D37,项目基本情况!E37)))</f>
        <v>四级</v>
      </c>
      <c r="I64" s="3081">
        <f>SUMIF(修正!A59:A70,H64,修正!G59:G70)</f>
        <v>0.15</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f t="shared" si="17"/>
        <v>0</v>
      </c>
      <c r="C65" s="3063">
        <f t="shared" si="16"/>
        <v>0</v>
      </c>
      <c r="D65" s="3066">
        <v>0.25</v>
      </c>
      <c r="E65" s="3069">
        <f>'数据-汇总表'!E14</f>
        <v>0</v>
      </c>
      <c r="F65" s="3086">
        <f t="shared" si="15"/>
        <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f t="shared" si="17"/>
        <v>0</v>
      </c>
      <c r="C66" s="3063">
        <f t="shared" si="16"/>
        <v>0</v>
      </c>
      <c r="D66" s="3066">
        <v>0.25</v>
      </c>
      <c r="E66" s="3069">
        <f>'数据-汇总表'!E15</f>
        <v>0</v>
      </c>
      <c r="F66" s="3086">
        <f t="shared" si="15"/>
        <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75256.2</v>
      </c>
      <c r="F67" s="3071">
        <f>IF(B48="楼面地价",SUM(F58:F66),ROUND(C50*E67/10000,0))</f>
        <v>250430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v>100</v>
      </c>
      <c r="E72" s="5">
        <v>100</v>
      </c>
      <c r="F72" s="5">
        <v>100</v>
      </c>
      <c r="G72" s="5">
        <v>100</v>
      </c>
      <c r="H72" s="5">
        <v>100</v>
      </c>
      <c r="I72" s="5">
        <v>100</v>
      </c>
      <c r="J72" s="5">
        <v>100</v>
      </c>
      <c r="K72" s="3774">
        <v>100</v>
      </c>
      <c r="L72" s="5">
        <v>100</v>
      </c>
      <c r="M72" s="761">
        <v>100</v>
      </c>
      <c r="N72" s="5">
        <v>100</v>
      </c>
      <c r="O72" s="3775">
        <v>100</v>
      </c>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4270" t="s">
        <v>4187</v>
      </c>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v>100</v>
      </c>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98</v>
      </c>
      <c r="E82" s="337">
        <f t="shared" si="21"/>
        <v>96</v>
      </c>
      <c r="F82" s="337">
        <f t="shared" si="21"/>
        <v>94</v>
      </c>
      <c r="G82" s="337">
        <f t="shared" si="21"/>
        <v>92</v>
      </c>
      <c r="H82" s="337">
        <f t="shared" si="21"/>
        <v>90</v>
      </c>
      <c r="I82" s="337">
        <f t="shared" si="21"/>
        <v>88</v>
      </c>
      <c r="J82" s="337">
        <f t="shared" si="21"/>
        <v>86</v>
      </c>
      <c r="K82" s="3139">
        <f t="shared" si="21"/>
        <v>84</v>
      </c>
      <c r="L82" s="337">
        <f t="shared" si="21"/>
        <v>82</v>
      </c>
      <c r="M82" s="337">
        <f t="shared" si="21"/>
        <v>80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97</v>
      </c>
      <c r="E90" s="337">
        <f>D90-$K17</f>
        <v>94</v>
      </c>
      <c r="F90" s="337">
        <f>E90-$K17</f>
        <v>91</v>
      </c>
      <c r="G90" s="337">
        <f>F90-$K17</f>
        <v>88</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97</v>
      </c>
      <c r="E96" s="337">
        <f>D96-$K23</f>
        <v>94</v>
      </c>
      <c r="F96" s="337">
        <f>E96-$K23</f>
        <v>91</v>
      </c>
      <c r="G96" s="337">
        <f>F96-$K23</f>
        <v>88</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98</v>
      </c>
      <c r="E98" s="337">
        <f>D98-$K25</f>
        <v>96</v>
      </c>
      <c r="F98" s="337">
        <f>E98-$K25</f>
        <v>94</v>
      </c>
      <c r="G98" s="337">
        <f>F98-$K25</f>
        <v>92</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98</v>
      </c>
      <c r="E100" s="337">
        <f>D100-$K27</f>
        <v>96</v>
      </c>
      <c r="F100" s="337">
        <f>E100-$K27</f>
        <v>94</v>
      </c>
      <c r="G100" s="337">
        <f>F100-$K27</f>
        <v>92</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97</v>
      </c>
      <c r="E102" s="337">
        <f>D102-$K29</f>
        <v>94</v>
      </c>
      <c r="F102" s="337">
        <f>E102-$K29</f>
        <v>91</v>
      </c>
      <c r="G102" s="337">
        <f>F102-$K29</f>
        <v>88</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98</v>
      </c>
      <c r="E104" s="337">
        <f>D104-$K31</f>
        <v>96</v>
      </c>
      <c r="F104" s="337">
        <f>E104-$K31</f>
        <v>94</v>
      </c>
      <c r="G104" s="337">
        <f>F104-$K31</f>
        <v>92</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ht="28.5">
      <c r="A117" s="262" t="s">
        <v>1601</v>
      </c>
      <c r="B117" s="322" t="s">
        <v>1820</v>
      </c>
      <c r="C117" s="323" t="str">
        <f>C118&amp;"(含)"&amp;"-"&amp;D118</f>
        <v>0(含)-20000</v>
      </c>
      <c r="D117" s="323" t="str">
        <f t="shared" ref="D117:M117" si="25">D118&amp;"(含)"&amp;"-"&amp;E118</f>
        <v>20000(含)-40000</v>
      </c>
      <c r="E117" s="323" t="str">
        <f t="shared" si="25"/>
        <v>40000(含)-60000</v>
      </c>
      <c r="F117" s="323" t="str">
        <f t="shared" si="25"/>
        <v>60000(含)-80000</v>
      </c>
      <c r="G117" s="323" t="str">
        <f t="shared" si="25"/>
        <v>80000(含)-100000</v>
      </c>
      <c r="H117" s="323" t="str">
        <f t="shared" si="25"/>
        <v>100000(含)-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v>0</v>
      </c>
      <c r="D118" s="5">
        <v>20000</v>
      </c>
      <c r="E118" s="5">
        <v>40000</v>
      </c>
      <c r="F118" s="5">
        <v>60000</v>
      </c>
      <c r="G118" s="5">
        <v>80000</v>
      </c>
      <c r="H118" s="5">
        <v>100000</v>
      </c>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v>100</v>
      </c>
      <c r="D119" s="380">
        <v>101</v>
      </c>
      <c r="E119" s="380">
        <v>102</v>
      </c>
      <c r="F119" s="380">
        <v>103</v>
      </c>
      <c r="G119" s="380">
        <v>104</v>
      </c>
      <c r="H119" s="380">
        <v>105</v>
      </c>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3608</v>
      </c>
      <c r="D120" s="372" t="s">
        <v>3609</v>
      </c>
      <c r="E120" s="372" t="s">
        <v>3610</v>
      </c>
      <c r="F120" s="372" t="s">
        <v>3611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99</v>
      </c>
      <c r="E121" s="337">
        <f t="shared" si="26"/>
        <v>98</v>
      </c>
      <c r="F121" s="337">
        <f t="shared" si="26"/>
        <v>97</v>
      </c>
      <c r="G121" s="337">
        <f t="shared" si="26"/>
        <v>96</v>
      </c>
      <c r="H121" s="337">
        <f t="shared" si="26"/>
        <v>95</v>
      </c>
      <c r="I121" s="337">
        <f t="shared" si="26"/>
        <v>94</v>
      </c>
      <c r="J121" s="337">
        <f t="shared" si="26"/>
        <v>93</v>
      </c>
      <c r="K121" s="3139">
        <f t="shared" si="26"/>
        <v>92</v>
      </c>
      <c r="L121" s="337">
        <f t="shared" si="26"/>
        <v>91</v>
      </c>
      <c r="M121" s="338">
        <f t="shared" si="26"/>
        <v>90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4271" t="s">
        <v>4185</v>
      </c>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99</v>
      </c>
      <c r="E123" s="337">
        <f t="shared" si="27"/>
        <v>98</v>
      </c>
      <c r="F123" s="337">
        <f t="shared" si="27"/>
        <v>97</v>
      </c>
      <c r="G123" s="337">
        <f t="shared" si="27"/>
        <v>96</v>
      </c>
      <c r="H123" s="337">
        <f t="shared" si="27"/>
        <v>95</v>
      </c>
      <c r="I123" s="337">
        <f t="shared" si="27"/>
        <v>94</v>
      </c>
      <c r="J123" s="337">
        <f t="shared" si="27"/>
        <v>93</v>
      </c>
      <c r="K123" s="3139">
        <f t="shared" si="27"/>
        <v>92</v>
      </c>
      <c r="L123" s="337">
        <f t="shared" si="27"/>
        <v>91</v>
      </c>
      <c r="M123" s="338">
        <f t="shared" si="27"/>
        <v>90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3603</v>
      </c>
      <c r="D124" s="347" t="s">
        <v>3604</v>
      </c>
      <c r="E124" s="347" t="s">
        <v>3605</v>
      </c>
      <c r="F124" s="347" t="s">
        <v>3606</v>
      </c>
      <c r="G124" s="347" t="s">
        <v>3607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99</v>
      </c>
      <c r="E125" s="337">
        <f t="shared" si="28"/>
        <v>98</v>
      </c>
      <c r="F125" s="337">
        <f t="shared" si="28"/>
        <v>97</v>
      </c>
      <c r="G125" s="337">
        <f t="shared" si="28"/>
        <v>96</v>
      </c>
      <c r="H125" s="337">
        <f t="shared" si="28"/>
        <v>95</v>
      </c>
      <c r="I125" s="337">
        <f t="shared" si="28"/>
        <v>94</v>
      </c>
      <c r="J125" s="337">
        <f t="shared" si="28"/>
        <v>93</v>
      </c>
      <c r="K125" s="3139">
        <f t="shared" si="28"/>
        <v>92</v>
      </c>
      <c r="L125" s="337">
        <f t="shared" si="28"/>
        <v>91</v>
      </c>
      <c r="M125" s="338">
        <f t="shared" si="28"/>
        <v>90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4271" t="s">
        <v>4186</v>
      </c>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99</v>
      </c>
      <c r="E127" s="337">
        <f t="shared" si="29"/>
        <v>98</v>
      </c>
      <c r="F127" s="337">
        <f t="shared" si="29"/>
        <v>97</v>
      </c>
      <c r="G127" s="337">
        <f t="shared" si="29"/>
        <v>96</v>
      </c>
      <c r="H127" s="337">
        <f t="shared" si="29"/>
        <v>95</v>
      </c>
      <c r="I127" s="337">
        <f t="shared" si="29"/>
        <v>94</v>
      </c>
      <c r="J127" s="337">
        <f t="shared" si="29"/>
        <v>93</v>
      </c>
      <c r="K127" s="3139">
        <f t="shared" si="29"/>
        <v>92</v>
      </c>
      <c r="L127" s="337">
        <f t="shared" si="29"/>
        <v>91</v>
      </c>
      <c r="M127" s="338">
        <f t="shared" si="29"/>
        <v>90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3" type="noConversion"/>
  <conditionalFormatting sqref="E53">
    <cfRule type="expression" dxfId="120" priority="13"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F9:F47 H9:H47 J9:J47">
    <cfRule type="cellIs" dxfId="117" priority="1" operator="notEqual">
      <formula>100</formula>
    </cfRule>
  </conditionalFormatting>
  <conditionalFormatting sqref="F49">
    <cfRule type="expression" dxfId="116" priority="4">
      <formula>$D$49="简单平均"</formula>
    </cfRule>
  </conditionalFormatting>
  <conditionalFormatting sqref="F53:F55 H53:H55 J53:J55">
    <cfRule type="containsText" dxfId="115" priority="14" stopIfTrue="1" operator="containsText" text="超过">
      <formula>NOT(ISERROR(SEARCH("超过",F53)))</formula>
    </cfRule>
  </conditionalFormatting>
  <conditionalFormatting sqref="G53">
    <cfRule type="expression" dxfId="114" priority="9" stopIfTrue="1">
      <formula>$H$55+$H$53="超过30%"</formula>
    </cfRule>
  </conditionalFormatting>
  <conditionalFormatting sqref="G54">
    <cfRule type="expression" dxfId="113" priority="8" stopIfTrue="1">
      <formula>$H$54="超过20%"</formula>
    </cfRule>
  </conditionalFormatting>
  <conditionalFormatting sqref="G55">
    <cfRule type="expression" dxfId="112" priority="12"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2" sqref="B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9</v>
      </c>
    </row>
    <row r="2" spans="1:33" ht="18" customHeight="1">
      <c r="A2" s="96" t="s">
        <v>1431</v>
      </c>
      <c r="B2" s="2523">
        <f ca="1">IF(D2="含税",C37,C36)</f>
        <v>254416</v>
      </c>
      <c r="C2" s="171" t="s">
        <v>1531</v>
      </c>
      <c r="D2" s="3325" t="s">
        <v>4385</v>
      </c>
      <c r="E2" s="2045"/>
      <c r="G2" s="2045"/>
      <c r="H2" s="2045"/>
      <c r="I2" s="2045"/>
      <c r="J2" s="2045"/>
      <c r="K2" s="2045"/>
    </row>
    <row r="3" spans="1:33" ht="18" customHeight="1">
      <c r="A3" s="98" t="s">
        <v>1433</v>
      </c>
      <c r="B3" s="2523">
        <f ca="1">ROUND(B2*10000/IF(C1="",'数据-汇总表'!E3,INDIRECT("'数据-取费表'!K"&amp;$K$1)),0)</f>
        <v>30886</v>
      </c>
      <c r="C3" s="171" t="s">
        <v>1532</v>
      </c>
      <c r="E3" s="514"/>
      <c r="I3" s="2045"/>
      <c r="J3" s="2045"/>
      <c r="K3" s="2045"/>
    </row>
    <row r="4" spans="1:33" ht="18" customHeight="1">
      <c r="A4" s="3378" t="s">
        <v>3617</v>
      </c>
      <c r="B4" s="3383">
        <f ca="1">ROUND(B2*10000/IF(C1="",'数据-汇总表'!D3,INDIRECT("'数据-取费表'!R"&amp;$K$1)),0)</f>
        <v>116566</v>
      </c>
      <c r="C4" s="3382" t="s">
        <v>1532</v>
      </c>
      <c r="E4" s="514"/>
      <c r="I4" s="2045"/>
      <c r="J4" s="2045"/>
      <c r="K4" s="2045"/>
    </row>
    <row r="5" spans="1:33" ht="18" customHeight="1" thickBot="1">
      <c r="A5" s="94"/>
      <c r="B5" s="3379">
        <f ca="1">ROUND(B2/(IF(C1="",'数据-汇总表'!D3,INDIRECT("'数据-取费表'!R"&amp;$K$1))/666.67),0)</f>
        <v>7771</v>
      </c>
      <c r="C5" s="3381" t="s">
        <v>3615</v>
      </c>
      <c r="E5" s="514"/>
      <c r="I5" s="2045"/>
      <c r="J5" s="2045"/>
      <c r="K5" s="2045"/>
    </row>
    <row r="6" spans="1:33" s="515" customFormat="1" ht="16.5" customHeight="1">
      <c r="A6" s="2653" t="s">
        <v>3364</v>
      </c>
      <c r="B6" s="2652"/>
      <c r="C6" s="4626" t="s">
        <v>3366</v>
      </c>
      <c r="D6" s="4626"/>
      <c r="E6" s="4626"/>
      <c r="F6" s="4626"/>
      <c r="G6" s="4626"/>
      <c r="H6" s="4626"/>
      <c r="I6" s="4626"/>
      <c r="J6" s="4626"/>
      <c r="K6" s="4627"/>
    </row>
    <row r="7" spans="1:33" s="518" customFormat="1" ht="15">
      <c r="A7" s="2493" t="s">
        <v>1533</v>
      </c>
      <c r="B7" s="2660" t="s">
        <v>1534</v>
      </c>
      <c r="C7" s="1342" t="s">
        <v>3262</v>
      </c>
      <c r="D7" s="1342" t="s">
        <v>4250</v>
      </c>
      <c r="E7" s="1342" t="s">
        <v>4251</v>
      </c>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3945</v>
      </c>
      <c r="C8" s="2707">
        <f>ROUND('比较法-住宅'!B3/1.09,0)</f>
        <v>70400</v>
      </c>
      <c r="D8" s="2707">
        <f>ROUND('比较法-车位'!B3/1.09,0)</f>
        <v>10653</v>
      </c>
      <c r="E8" s="2707">
        <f>ROUND('比较法-仓储'!B3/1.09,0)</f>
        <v>13716</v>
      </c>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3946</v>
      </c>
      <c r="C9" s="2709">
        <f>SUMIF('数据-汇总表'!$C19:$C33,假设开发法!C7,'数据-汇总表'!$E19:$E33)</f>
        <v>58465.54</v>
      </c>
      <c r="D9" s="2709">
        <f>SUMIF('数据-汇总表'!$C19:$C33,假设开发法!D7,'数据-汇总表'!$E19:$E33)</f>
        <v>14766.66</v>
      </c>
      <c r="E9" s="2709">
        <f>SUMIF('数据-汇总表'!$C19:$C33,假设开发法!E7,'数据-汇总表'!$E19:$E33)</f>
        <v>2024</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3948</v>
      </c>
      <c r="B10" s="4074" t="s">
        <v>3947</v>
      </c>
      <c r="C10" s="4075">
        <f>ROUND('比较法-住宅'!B2/1.09,0)</f>
        <v>411597</v>
      </c>
      <c r="D10" s="4075">
        <f>ROUND('比较法-车位'!B2/1.09,0)</f>
        <v>15731</v>
      </c>
      <c r="E10" s="4075">
        <f>ROUND('比较法-仓储'!B2/1.09,0)</f>
        <v>2776</v>
      </c>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0" t="s">
        <v>3379</v>
      </c>
      <c r="B11" s="4631"/>
      <c r="C11" s="4631"/>
      <c r="D11" s="4631"/>
      <c r="E11" s="4631"/>
      <c r="F11" s="4631"/>
      <c r="G11" s="4631"/>
      <c r="H11" s="4631"/>
      <c r="I11" s="4631"/>
      <c r="J11" s="4631"/>
      <c r="K11" s="4632"/>
    </row>
    <row r="12" spans="1:33" s="4071" customFormat="1" ht="13.5" customHeight="1">
      <c r="A12" s="3211" t="s">
        <v>3499</v>
      </c>
      <c r="B12" s="4068" t="s">
        <v>1537</v>
      </c>
      <c r="C12" s="4072" t="s">
        <v>3944</v>
      </c>
      <c r="D12" s="4068" t="s">
        <v>1539</v>
      </c>
      <c r="E12" s="4068" t="s">
        <v>1540</v>
      </c>
      <c r="F12" s="4068" t="s">
        <v>1541</v>
      </c>
      <c r="G12" s="4069" t="s">
        <v>3390</v>
      </c>
      <c r="H12" s="4068"/>
      <c r="I12" s="4068"/>
      <c r="J12" s="4068"/>
      <c r="K12" s="4070"/>
    </row>
    <row r="13" spans="1:33" s="521" customFormat="1" ht="13.5" customHeight="1">
      <c r="A13" s="2493">
        <v>1</v>
      </c>
      <c r="B13" s="2677" t="s">
        <v>3365</v>
      </c>
      <c r="C13" s="2662">
        <f>SUM(C10:K10)</f>
        <v>430104</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3655</v>
      </c>
      <c r="H14" s="25"/>
      <c r="I14" s="25"/>
      <c r="J14" s="25"/>
      <c r="K14" s="27"/>
    </row>
    <row r="15" spans="1:33" s="523" customFormat="1" ht="13.5" customHeight="1">
      <c r="A15" s="2493">
        <v>3</v>
      </c>
      <c r="B15" s="2655" t="s">
        <v>3367</v>
      </c>
      <c r="C15" s="2663">
        <f ca="1">SUM(C16:C19)+C25+C26</f>
        <v>57288</v>
      </c>
      <c r="D15" s="530"/>
      <c r="E15" s="173"/>
      <c r="F15" s="2663"/>
      <c r="G15" s="2715" t="s">
        <v>3656</v>
      </c>
      <c r="H15" s="55"/>
      <c r="I15" s="55"/>
      <c r="J15" s="55"/>
      <c r="K15" s="2680"/>
    </row>
    <row r="16" spans="1:33" s="523" customFormat="1" ht="13.5" customHeight="1">
      <c r="A16" s="519" t="s">
        <v>355</v>
      </c>
      <c r="B16" s="2694" t="s">
        <v>3380</v>
      </c>
      <c r="C16" s="2664">
        <f ca="1">IF(C1="",'数据-取费表'!P16,INDIRECT("'数据-取费表'!P"&amp;$K$1)+INDIRECT("'数据-取费表'!ar"&amp;$K$1))</f>
        <v>45378</v>
      </c>
      <c r="D16" s="522"/>
      <c r="E16" s="55"/>
      <c r="F16" s="2671">
        <f ca="1">1-IF('数据-取费表'!B24=0,1,IF(C1="",'数据-取费表'!N16,INDIRECT("'数据-取费表'!n"&amp;$K$1)))</f>
        <v>1</v>
      </c>
      <c r="G16" s="2678"/>
      <c r="H16" s="2678"/>
      <c r="I16" s="2678"/>
      <c r="J16" s="2678"/>
      <c r="K16" s="2679"/>
    </row>
    <row r="17" spans="1:33" s="523" customFormat="1" ht="13.5" customHeight="1">
      <c r="A17" s="519" t="s">
        <v>1535</v>
      </c>
      <c r="B17" s="2694" t="s">
        <v>3381</v>
      </c>
      <c r="C17" s="2702">
        <f ca="1">ROUND(C16*F17,0)</f>
        <v>908</v>
      </c>
      <c r="D17" s="522"/>
      <c r="E17" s="55"/>
      <c r="F17" s="2671">
        <f>'数据-取费表'!B33</f>
        <v>0.02</v>
      </c>
      <c r="G17" s="3409" t="s">
        <v>3666</v>
      </c>
      <c r="H17" s="2678"/>
      <c r="I17" s="2678"/>
      <c r="J17" s="2678"/>
      <c r="K17" s="2679"/>
    </row>
    <row r="18" spans="1:33" s="523" customFormat="1" ht="13.5" customHeight="1">
      <c r="A18" s="519" t="s">
        <v>1536</v>
      </c>
      <c r="B18" s="2694" t="s">
        <v>3382</v>
      </c>
      <c r="C18" s="2702">
        <f ca="1">ROUND(IF(C1="",SUMIF('数据-取费表'!C:C,"住宅",'数据-取费表'!P:P)*F18,IF(INDIRECT("'数据-取费表'!c"&amp;$K$1)="住宅",INDIRECT("'数据-取费表'!P"&amp;$K$1)*F18,0)),0)</f>
        <v>5262</v>
      </c>
      <c r="D18" s="539"/>
      <c r="E18" s="55"/>
      <c r="F18" s="2671">
        <f>'数据-取费表'!B34</f>
        <v>0.15</v>
      </c>
      <c r="G18" s="2678" t="s">
        <v>1542</v>
      </c>
      <c r="H18" s="2678"/>
      <c r="I18" s="2678"/>
      <c r="J18" s="2678"/>
      <c r="K18" s="2679"/>
    </row>
    <row r="19" spans="1:33" s="523" customFormat="1" ht="13.5" customHeight="1">
      <c r="A19" s="519" t="s">
        <v>3369</v>
      </c>
      <c r="B19" s="2694" t="s">
        <v>3383</v>
      </c>
      <c r="C19" s="2702">
        <f ca="1">C20+C23+C24</f>
        <v>4378</v>
      </c>
      <c r="D19" s="539"/>
      <c r="E19" s="55"/>
      <c r="F19" s="2671"/>
      <c r="G19" s="2678"/>
      <c r="H19" s="2678"/>
      <c r="I19" s="2678"/>
      <c r="J19" s="2678"/>
      <c r="K19" s="2679"/>
    </row>
    <row r="20" spans="1:33" s="523" customFormat="1" ht="13.5" customHeight="1">
      <c r="A20" s="2656" t="s">
        <v>3372</v>
      </c>
      <c r="B20" s="2681" t="s">
        <v>1547</v>
      </c>
      <c r="C20" s="2702">
        <f ca="1">C21+C22-IF(C1="",'数据-取费表'!B29,IF(G20="已全部缴纳",C21+C22,H20))</f>
        <v>1413</v>
      </c>
      <c r="D20" s="539"/>
      <c r="E20" s="12"/>
      <c r="F20" s="2672"/>
      <c r="G20" s="2682"/>
      <c r="H20" s="2683"/>
      <c r="I20" s="2684" t="s">
        <v>1548</v>
      </c>
      <c r="J20" s="55"/>
      <c r="K20" s="2680"/>
    </row>
    <row r="21" spans="1:33" s="523" customFormat="1" ht="13.5" customHeight="1">
      <c r="A21" s="2696" t="s">
        <v>3375</v>
      </c>
      <c r="B21" s="2697" t="s">
        <v>3386</v>
      </c>
      <c r="C21" s="2703">
        <f ca="1">ROUND(D21*E21/10000,0)</f>
        <v>935</v>
      </c>
      <c r="D21" s="2705">
        <f ca="1">IF(C1="",'数据-汇总表'!E5,IF(INDIRECT("'数据-取费表'!c"&amp;$K$1)="住宅",INDIRECT("'数据-取费表'!k"&amp;$K$1),0))</f>
        <v>58465.54</v>
      </c>
      <c r="E21" s="2703">
        <f>'数据-取费表'!B27</f>
        <v>160</v>
      </c>
      <c r="F21" s="2698"/>
      <c r="G21" s="186"/>
      <c r="H21" s="186"/>
      <c r="I21" s="186"/>
      <c r="J21" s="186"/>
      <c r="K21" s="1868"/>
    </row>
    <row r="22" spans="1:33" s="523" customFormat="1" ht="13.5" customHeight="1">
      <c r="A22" s="2696" t="s">
        <v>3376</v>
      </c>
      <c r="B22" s="2697" t="s">
        <v>3387</v>
      </c>
      <c r="C22" s="2703">
        <f ca="1">ROUND(D22*E22/10000,0)</f>
        <v>478</v>
      </c>
      <c r="D22" s="2705">
        <f ca="1">IF(C1="",'数据-汇总表'!E6,IF(INDIRECT("'数据-取费表'!c"&amp;$K$1)="住宅",INDIRECT("'数据-取费表'!s"&amp;$K$1),INDIRECT("'数据-取费表'!k"&amp;$K$1)+INDIRECT("'数据-取费表'!s"&amp;$K$1)))</f>
        <v>23906.079999999994</v>
      </c>
      <c r="E22" s="2703">
        <f>'数据-取费表'!B28</f>
        <v>200</v>
      </c>
      <c r="F22" s="2698"/>
      <c r="G22" s="186"/>
      <c r="H22" s="186"/>
      <c r="I22" s="186"/>
      <c r="J22" s="186"/>
      <c r="K22" s="1868"/>
    </row>
    <row r="23" spans="1:33" s="524" customFormat="1" ht="13.5" customHeight="1">
      <c r="A23" s="2656" t="s">
        <v>3373</v>
      </c>
      <c r="B23" s="2681" t="s">
        <v>1543</v>
      </c>
      <c r="C23" s="2702">
        <f ca="1">ROUND(D23*E23*F16/10000,0)</f>
        <v>2965</v>
      </c>
      <c r="D23" s="2706">
        <f ca="1">IF(C1="",'数据-汇总表'!E3,INDIRECT("'数据-取费表'!K"&amp;$K$1)+INDIRECT("'数据-取费表'!S"&amp;$K$1))</f>
        <v>82371.62</v>
      </c>
      <c r="E23" s="2702">
        <f>'数据-取费表'!B35</f>
        <v>360</v>
      </c>
      <c r="F23" s="2672"/>
      <c r="G23" s="2677" t="s">
        <v>3657</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3374</v>
      </c>
      <c r="B24" s="2681" t="s">
        <v>1545</v>
      </c>
      <c r="C24" s="2702">
        <f ca="1">ROUND(D24*E24/10000,0)</f>
        <v>0</v>
      </c>
      <c r="D24" s="2706">
        <f ca="1">D23</f>
        <v>82371.62</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3370</v>
      </c>
      <c r="B25" s="2695" t="s">
        <v>3384</v>
      </c>
      <c r="C25" s="2666">
        <f ca="1">ROUND(C16*F25,0)</f>
        <v>681</v>
      </c>
      <c r="D25" s="2657"/>
      <c r="E25" s="2658"/>
      <c r="F25" s="2671">
        <f>'数据-取费表'!B36</f>
        <v>1.4999999999999999E-2</v>
      </c>
      <c r="G25" s="2657"/>
      <c r="H25" s="2657"/>
      <c r="I25" s="2657"/>
      <c r="J25" s="2657"/>
      <c r="K25" s="2685"/>
    </row>
    <row r="26" spans="1:33" s="524" customFormat="1" ht="13.5" customHeight="1">
      <c r="A26" s="2654" t="s">
        <v>3371</v>
      </c>
      <c r="B26" s="2694" t="s">
        <v>3385</v>
      </c>
      <c r="C26" s="2667">
        <f ca="1">ROUND(C16*F26,0)</f>
        <v>681</v>
      </c>
      <c r="D26" s="525"/>
      <c r="E26" s="529"/>
      <c r="F26" s="2671">
        <f>'数据-取费表'!B37</f>
        <v>1.4999999999999999E-2</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1146</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25806</v>
      </c>
      <c r="D28" s="173"/>
      <c r="E28" s="173"/>
      <c r="F28" s="2670">
        <f>'数据-取费表'!B39</f>
        <v>0.06</v>
      </c>
      <c r="G28" s="2678" t="s">
        <v>3658</v>
      </c>
      <c r="H28" s="2678"/>
      <c r="I28" s="2678"/>
      <c r="J28" s="2678"/>
      <c r="K28" s="2679"/>
    </row>
    <row r="29" spans="1:33" s="523" customFormat="1" ht="13.5" customHeight="1">
      <c r="A29" s="2493">
        <v>6</v>
      </c>
      <c r="B29" s="2655" t="s">
        <v>3368</v>
      </c>
      <c r="C29" s="2701" t="str">
        <f ca="1">C31&amp;"+"&amp;C30&amp;"V"</f>
        <v>3372+0.0842V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8.4199999999999997E-2</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3388</v>
      </c>
      <c r="C31" s="2664">
        <f ca="1">ROUND(IF('数据-取费表'!B22&lt;=1,(C15+C27+C28)*F29*'数据-取费表'!B24/2,(C15+C27+C28)*(POWER((1+F29),'数据-取费表'!B24/2)-1)),0)</f>
        <v>3372</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28" t="s">
        <v>3378</v>
      </c>
      <c r="H32" s="4628"/>
      <c r="I32" s="4628"/>
      <c r="J32" s="4628"/>
      <c r="K32" s="4629"/>
    </row>
    <row r="33" spans="1:11" s="176" customFormat="1" ht="13.5" customHeight="1">
      <c r="A33" s="2493">
        <v>8</v>
      </c>
      <c r="B33" s="2659" t="s">
        <v>1554</v>
      </c>
      <c r="C33" s="2704" t="str">
        <f ca="1">C35&amp;"+"&amp;C34&amp;"V"</f>
        <v>14321+0.1752V</v>
      </c>
      <c r="D33" s="172"/>
      <c r="E33" s="173"/>
      <c r="F33" s="2674">
        <f ca="1">IF(C1="",'数据-取费表'!Q16,INDIRECT("'数据-取费表'!q"&amp;$K$1))</f>
        <v>0.17</v>
      </c>
      <c r="G33" s="25"/>
      <c r="H33" s="25"/>
      <c r="I33" s="25"/>
      <c r="J33" s="25"/>
      <c r="K33" s="27"/>
    </row>
    <row r="34" spans="1:11" s="177" customFormat="1" ht="13.5" customHeight="1">
      <c r="A34" s="2700" t="s">
        <v>355</v>
      </c>
      <c r="B34" s="2681" t="s">
        <v>1555</v>
      </c>
      <c r="C34" s="2668">
        <f ca="1">ROUND((1+F14)*F33*'数据-取费表'!B24/'数据-取费表'!B22,4)</f>
        <v>0.17519999999999999</v>
      </c>
      <c r="D34" s="174"/>
      <c r="E34" s="525"/>
      <c r="F34" s="2673"/>
      <c r="G34" s="55" t="s">
        <v>1556</v>
      </c>
      <c r="H34" s="55"/>
      <c r="I34" s="55"/>
      <c r="J34" s="55"/>
      <c r="K34" s="2680"/>
    </row>
    <row r="35" spans="1:11" s="177" customFormat="1" ht="13.5" customHeight="1">
      <c r="A35" s="2700" t="s">
        <v>1535</v>
      </c>
      <c r="B35" s="2681" t="s">
        <v>3388</v>
      </c>
      <c r="C35" s="2669">
        <f ca="1">ROUND((C15+C27+C28)*F33,0)</f>
        <v>14321</v>
      </c>
      <c r="D35" s="174"/>
      <c r="E35" s="525"/>
      <c r="F35" s="2673"/>
      <c r="G35" s="55"/>
      <c r="H35" s="55"/>
      <c r="I35" s="55"/>
      <c r="J35" s="55"/>
      <c r="K35" s="2680"/>
    </row>
    <row r="36" spans="1:11" s="521" customFormat="1" ht="15">
      <c r="A36" s="2493">
        <v>9</v>
      </c>
      <c r="B36" s="2677" t="s">
        <v>3377</v>
      </c>
      <c r="C36" s="2662">
        <f ca="1">ROUND((C13-C15-C27-C28-C31-C35-C32)/(1+F14+C30+C34),0)</f>
        <v>254416</v>
      </c>
      <c r="D36" s="2678"/>
      <c r="E36" s="2678"/>
      <c r="F36" s="172"/>
      <c r="G36" s="2711" t="s">
        <v>3389</v>
      </c>
      <c r="H36" s="2678"/>
      <c r="I36" s="2678"/>
      <c r="J36" s="2678"/>
      <c r="K36" s="2679"/>
    </row>
    <row r="37" spans="1:11" s="2788" customFormat="1" ht="15.75" thickBot="1">
      <c r="A37" s="2691">
        <v>10</v>
      </c>
      <c r="B37" s="2692" t="s">
        <v>3464</v>
      </c>
      <c r="C37" s="2785">
        <f ca="1">ROUND(C36*(1+F37),0)</f>
        <v>277313</v>
      </c>
      <c r="D37" s="2786"/>
      <c r="E37" s="2787"/>
      <c r="F37" s="2693">
        <v>0.09</v>
      </c>
      <c r="G37" s="2677" t="s">
        <v>3465</v>
      </c>
      <c r="H37" s="2678"/>
      <c r="I37" s="2678"/>
      <c r="J37" s="2678"/>
      <c r="K37" s="2679"/>
    </row>
    <row r="38" spans="1:11" ht="12.75" customHeight="1"/>
    <row r="44" spans="1:11" s="3209" customFormat="1" ht="19.5" thickBot="1">
      <c r="A44" s="3214" t="s">
        <v>3472</v>
      </c>
      <c r="B44" s="1861"/>
      <c r="C44" s="3215"/>
      <c r="D44" s="1861"/>
      <c r="E44" s="1861"/>
      <c r="F44" s="1861"/>
      <c r="G44" s="1861"/>
    </row>
    <row r="45" spans="1:11" s="3209" customFormat="1" ht="15">
      <c r="A45" s="3211" t="s">
        <v>3499</v>
      </c>
      <c r="B45" s="2675" t="s">
        <v>1537</v>
      </c>
      <c r="C45" s="2676" t="s">
        <v>1538</v>
      </c>
      <c r="D45" s="1164" t="s">
        <v>1539</v>
      </c>
      <c r="E45" s="1164" t="s">
        <v>1540</v>
      </c>
      <c r="F45" s="1164" t="s">
        <v>1541</v>
      </c>
      <c r="G45" s="2712" t="s">
        <v>3390</v>
      </c>
    </row>
    <row r="46" spans="1:11" s="3209" customFormat="1">
      <c r="A46" s="626">
        <v>1</v>
      </c>
      <c r="B46" s="2695" t="s">
        <v>3473</v>
      </c>
      <c r="C46" s="2666">
        <f>C13</f>
        <v>430104</v>
      </c>
      <c r="D46" s="626"/>
      <c r="E46" s="626"/>
      <c r="F46" s="626"/>
      <c r="G46" s="626"/>
    </row>
    <row r="47" spans="1:11" s="3209" customFormat="1">
      <c r="A47" s="626">
        <v>2</v>
      </c>
      <c r="B47" s="2695" t="s">
        <v>3475</v>
      </c>
      <c r="C47" s="2666" t="str">
        <f>C14</f>
        <v>0.0305V</v>
      </c>
      <c r="D47" s="626"/>
      <c r="E47" s="626"/>
      <c r="F47" s="626"/>
      <c r="G47" s="626"/>
    </row>
    <row r="48" spans="1:11" s="3209" customFormat="1">
      <c r="A48" s="626">
        <v>3</v>
      </c>
      <c r="B48" s="2695" t="s">
        <v>3474</v>
      </c>
      <c r="C48" s="2666" t="e">
        <f ca="1">C49+C59+C60+C63</f>
        <v>#VALUE!</v>
      </c>
      <c r="D48" s="626"/>
      <c r="E48" s="626"/>
      <c r="F48" s="626"/>
      <c r="G48" s="626"/>
    </row>
    <row r="49" spans="1:7" s="3209" customFormat="1">
      <c r="A49" s="3212" t="s">
        <v>355</v>
      </c>
      <c r="B49" s="2695" t="s">
        <v>3484</v>
      </c>
      <c r="C49" s="2666">
        <f ca="1">C50+C51+C52+C53+C57+C58</f>
        <v>57288</v>
      </c>
      <c r="D49" s="626"/>
      <c r="E49" s="626"/>
      <c r="F49" s="626"/>
      <c r="G49" s="626"/>
    </row>
    <row r="50" spans="1:7" s="3209" customFormat="1">
      <c r="A50" s="3213" t="s">
        <v>3485</v>
      </c>
      <c r="B50" s="2695" t="s">
        <v>3489</v>
      </c>
      <c r="C50" s="2666">
        <f ca="1">C16</f>
        <v>45378</v>
      </c>
      <c r="D50" s="626"/>
      <c r="E50" s="626"/>
      <c r="F50" s="626"/>
      <c r="G50" s="626"/>
    </row>
    <row r="51" spans="1:7" s="3209" customFormat="1">
      <c r="A51" s="3213" t="s">
        <v>3500</v>
      </c>
      <c r="B51" s="626" t="s">
        <v>3486</v>
      </c>
      <c r="C51" s="2666">
        <f t="shared" ref="C51:C53" ca="1" si="0">C17</f>
        <v>908</v>
      </c>
      <c r="D51" s="626"/>
      <c r="E51" s="626"/>
      <c r="F51" s="626"/>
      <c r="G51" s="626"/>
    </row>
    <row r="52" spans="1:7" s="3209" customFormat="1">
      <c r="A52" s="3213" t="s">
        <v>3501</v>
      </c>
      <c r="B52" s="626" t="s">
        <v>3487</v>
      </c>
      <c r="C52" s="2666">
        <f t="shared" ca="1" si="0"/>
        <v>5262</v>
      </c>
      <c r="D52" s="626"/>
      <c r="E52" s="626"/>
      <c r="F52" s="626"/>
      <c r="G52" s="626"/>
    </row>
    <row r="53" spans="1:7" s="3209" customFormat="1">
      <c r="A53" s="3213" t="s">
        <v>3502</v>
      </c>
      <c r="B53" s="626" t="s">
        <v>3488</v>
      </c>
      <c r="C53" s="2666">
        <f t="shared" ca="1" si="0"/>
        <v>4378</v>
      </c>
      <c r="D53" s="626"/>
      <c r="E53" s="626"/>
      <c r="F53" s="626"/>
      <c r="G53" s="626"/>
    </row>
    <row r="54" spans="1:7" s="3209" customFormat="1">
      <c r="A54" s="3404" t="s">
        <v>3375</v>
      </c>
      <c r="B54" s="3405" t="s">
        <v>3492</v>
      </c>
      <c r="C54" s="3406">
        <f ca="1">C20</f>
        <v>1413</v>
      </c>
      <c r="D54" s="626"/>
      <c r="E54" s="626"/>
      <c r="F54" s="626"/>
      <c r="G54" s="626"/>
    </row>
    <row r="55" spans="1:7" s="3209" customFormat="1">
      <c r="A55" s="3404" t="s">
        <v>3376</v>
      </c>
      <c r="B55" s="3405" t="s">
        <v>3493</v>
      </c>
      <c r="C55" s="3406">
        <f ca="1">C23</f>
        <v>2965</v>
      </c>
      <c r="D55" s="626"/>
      <c r="E55" s="626"/>
      <c r="F55" s="626"/>
      <c r="G55" s="626"/>
    </row>
    <row r="56" spans="1:7" s="3209" customFormat="1">
      <c r="A56" s="3404" t="s">
        <v>3652</v>
      </c>
      <c r="B56" s="3405" t="s">
        <v>3494</v>
      </c>
      <c r="C56" s="3406">
        <f ca="1">C24</f>
        <v>0</v>
      </c>
      <c r="D56" s="626"/>
      <c r="E56" s="626"/>
      <c r="F56" s="626"/>
      <c r="G56" s="626"/>
    </row>
    <row r="57" spans="1:7" s="3209" customFormat="1">
      <c r="A57" s="3213" t="s">
        <v>3503</v>
      </c>
      <c r="B57" s="626" t="s">
        <v>3490</v>
      </c>
      <c r="C57" s="2666">
        <f ca="1">C25</f>
        <v>681</v>
      </c>
      <c r="D57" s="626"/>
      <c r="E57" s="626"/>
      <c r="F57" s="626"/>
      <c r="G57" s="626"/>
    </row>
    <row r="58" spans="1:7" s="3209" customFormat="1">
      <c r="A58" s="3213" t="s">
        <v>3504</v>
      </c>
      <c r="B58" s="626" t="s">
        <v>3491</v>
      </c>
      <c r="C58" s="2666">
        <f ca="1">C26</f>
        <v>681</v>
      </c>
      <c r="D58" s="626"/>
      <c r="E58" s="626"/>
      <c r="F58" s="626"/>
      <c r="G58" s="626"/>
    </row>
    <row r="59" spans="1:7" s="3209" customFormat="1">
      <c r="A59" s="3212" t="s">
        <v>3483</v>
      </c>
      <c r="B59" s="2695" t="s">
        <v>3477</v>
      </c>
      <c r="C59" s="2666">
        <f ca="1">C27</f>
        <v>1146</v>
      </c>
      <c r="D59" s="626"/>
      <c r="E59" s="626"/>
      <c r="F59" s="626"/>
      <c r="G59" s="626"/>
    </row>
    <row r="60" spans="1:7" s="3209" customFormat="1">
      <c r="A60" s="3212" t="s">
        <v>3495</v>
      </c>
      <c r="B60" s="2695" t="s">
        <v>3496</v>
      </c>
      <c r="C60" s="2666">
        <f ca="1">C61+C62</f>
        <v>25806</v>
      </c>
      <c r="D60" s="626"/>
      <c r="E60" s="626"/>
      <c r="F60" s="626"/>
      <c r="G60" s="626"/>
    </row>
    <row r="61" spans="1:7" s="3209" customFormat="1">
      <c r="A61" s="3213" t="s">
        <v>3485</v>
      </c>
      <c r="B61" s="2695" t="s">
        <v>3480</v>
      </c>
      <c r="C61" s="2666">
        <f ca="1">C28</f>
        <v>25806</v>
      </c>
      <c r="D61" s="626"/>
      <c r="E61" s="626"/>
      <c r="F61" s="626"/>
      <c r="G61" s="626"/>
    </row>
    <row r="62" spans="1:7" s="3209" customFormat="1">
      <c r="A62" s="3213" t="s">
        <v>3497</v>
      </c>
      <c r="B62" s="2695" t="s">
        <v>3479</v>
      </c>
      <c r="C62" s="2666">
        <f>C32</f>
        <v>0</v>
      </c>
      <c r="D62" s="626"/>
      <c r="E62" s="626"/>
      <c r="F62" s="626"/>
      <c r="G62" s="626"/>
    </row>
    <row r="63" spans="1:7" s="3209" customFormat="1">
      <c r="A63" s="3212" t="s">
        <v>3498</v>
      </c>
      <c r="B63" s="2695" t="s">
        <v>3478</v>
      </c>
      <c r="C63" s="2666" t="str">
        <f ca="1">C29</f>
        <v>3372+0.0842V</v>
      </c>
      <c r="D63" s="626"/>
      <c r="E63" s="626"/>
      <c r="F63" s="626"/>
      <c r="G63" s="626"/>
    </row>
    <row r="64" spans="1:7" s="3209" customFormat="1">
      <c r="A64" s="626">
        <v>4</v>
      </c>
      <c r="B64" s="2695" t="s">
        <v>3481</v>
      </c>
      <c r="C64" s="2666" t="str">
        <f ca="1">C33</f>
        <v>14321+0.1752V</v>
      </c>
      <c r="D64" s="626"/>
      <c r="E64" s="626"/>
      <c r="F64" s="626"/>
      <c r="G64" s="626"/>
    </row>
    <row r="65" spans="1:7" s="3209" customFormat="1">
      <c r="A65" s="626">
        <v>5</v>
      </c>
      <c r="B65" s="2695" t="s">
        <v>3482</v>
      </c>
      <c r="C65" s="2666">
        <f ca="1">C36</f>
        <v>254416</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21"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4" zoomScale="85" zoomScaleNormal="60" zoomScaleSheetLayoutView="85" workbookViewId="0">
      <selection activeCell="I20" sqref="I20"/>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t="s">
        <v>3262</v>
      </c>
      <c r="E1" s="2472" t="s">
        <v>4216</v>
      </c>
      <c r="F1" s="1353" t="s">
        <v>4217</v>
      </c>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448641</v>
      </c>
      <c r="C2" s="2784" t="s">
        <v>4218</v>
      </c>
      <c r="D2" s="3715">
        <f>IF(E1="项目模式",IF(E2="——",ROUND(C49*D3/10000,0),ROUND(C49*D3/10000,0)-F2),IF(E1="单套模式",IF(E2="——",ROUND(C49*D3/10000,4),ROUND(C49*D3/10000,4)-F2)))</f>
        <v>448641</v>
      </c>
      <c r="E2" s="2791" t="s">
        <v>41</v>
      </c>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76736</v>
      </c>
      <c r="C3" s="234" t="s">
        <v>1572</v>
      </c>
      <c r="D3" s="2881">
        <f>IF(D1="",'数据-汇总表'!E3,SUMIF('数据-汇总表'!$C19:$C33,D1,'数据-汇总表'!$E19:$E33))</f>
        <v>58465.54</v>
      </c>
      <c r="E3" s="3204" t="s">
        <v>4219</v>
      </c>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90" t="s">
        <v>1574</v>
      </c>
      <c r="D4" s="4591"/>
      <c r="E4" s="4592" t="s">
        <v>1575</v>
      </c>
      <c r="F4" s="4593"/>
      <c r="G4" s="4590" t="s">
        <v>1576</v>
      </c>
      <c r="H4" s="4591"/>
      <c r="I4" s="4590" t="s">
        <v>1577</v>
      </c>
      <c r="J4" s="4591"/>
      <c r="K4" s="2809" t="s">
        <v>1578</v>
      </c>
      <c r="L4" s="1974"/>
      <c r="M4" s="1975"/>
      <c r="N4" s="1975"/>
      <c r="O4" s="1975"/>
      <c r="P4" s="4594" t="s">
        <v>1579</v>
      </c>
      <c r="Q4" s="4595"/>
      <c r="R4" s="4600" t="s">
        <v>1575</v>
      </c>
      <c r="S4" s="4601"/>
      <c r="T4" s="4600" t="s">
        <v>1576</v>
      </c>
      <c r="U4" s="4601"/>
      <c r="V4" s="4606" t="s">
        <v>1577</v>
      </c>
      <c r="W4" s="4606"/>
      <c r="X4" s="909"/>
      <c r="Y4" s="4615" t="s">
        <v>1579</v>
      </c>
      <c r="Z4" s="4616"/>
      <c r="AA4" s="4587" t="s">
        <v>1575</v>
      </c>
      <c r="AB4" s="4587" t="s">
        <v>1576</v>
      </c>
      <c r="AC4" s="4587" t="s">
        <v>1577</v>
      </c>
    </row>
    <row r="5" spans="1:29" ht="15">
      <c r="A5" s="238"/>
      <c r="B5" s="239"/>
      <c r="C5" s="4609" t="s">
        <v>1580</v>
      </c>
      <c r="D5" s="4610"/>
      <c r="E5" s="4641" t="s">
        <v>4220</v>
      </c>
      <c r="F5" s="4625"/>
      <c r="G5" s="4640" t="str">
        <f>住宅!A6</f>
        <v>森与天成</v>
      </c>
      <c r="H5" s="4610"/>
      <c r="I5" s="4640" t="s">
        <v>4221</v>
      </c>
      <c r="J5" s="4610"/>
      <c r="K5" s="2810"/>
      <c r="L5" s="1974"/>
      <c r="M5" s="1975"/>
      <c r="N5" s="1975"/>
      <c r="O5" s="1975"/>
      <c r="P5" s="4596"/>
      <c r="Q5" s="4597"/>
      <c r="R5" s="4602"/>
      <c r="S5" s="4603"/>
      <c r="T5" s="4602"/>
      <c r="U5" s="4603"/>
      <c r="V5" s="4606"/>
      <c r="W5" s="4606"/>
      <c r="X5" s="909"/>
      <c r="Y5" s="4617"/>
      <c r="Z5" s="4618"/>
      <c r="AA5" s="4588"/>
      <c r="AB5" s="4588"/>
      <c r="AC5" s="4588"/>
    </row>
    <row r="6" spans="1:29" ht="15.75" thickBot="1">
      <c r="A6" s="240"/>
      <c r="B6" s="241"/>
      <c r="C6" s="4607" t="s">
        <v>1584</v>
      </c>
      <c r="D6" s="4608"/>
      <c r="E6" s="4622" t="s">
        <v>1584</v>
      </c>
      <c r="F6" s="4623"/>
      <c r="G6" s="4607" t="s">
        <v>1584</v>
      </c>
      <c r="H6" s="4608"/>
      <c r="I6" s="4607" t="s">
        <v>1584</v>
      </c>
      <c r="J6" s="4608"/>
      <c r="K6" s="2810" t="s">
        <v>1585</v>
      </c>
      <c r="L6" s="1974"/>
      <c r="M6" s="1975"/>
      <c r="N6" s="1975"/>
      <c r="O6" s="1975"/>
      <c r="P6" s="4598"/>
      <c r="Q6" s="4599"/>
      <c r="R6" s="4602"/>
      <c r="S6" s="4603"/>
      <c r="T6" s="4604"/>
      <c r="U6" s="4605"/>
      <c r="V6" s="4606"/>
      <c r="W6" s="4606"/>
      <c r="X6" s="909"/>
      <c r="Y6" s="4619"/>
      <c r="Z6" s="4620"/>
      <c r="AA6" s="4589"/>
      <c r="AB6" s="4589"/>
      <c r="AC6" s="4589"/>
    </row>
    <row r="7" spans="1:29" s="46" customFormat="1" ht="15.75" thickBot="1">
      <c r="A7" s="242" t="s">
        <v>1586</v>
      </c>
      <c r="B7" s="243"/>
      <c r="C7" s="2811">
        <f>'数据-取费表'!B2</f>
        <v>46091</v>
      </c>
      <c r="D7" s="2886">
        <v>100</v>
      </c>
      <c r="E7" s="2840">
        <f>C7</f>
        <v>46091</v>
      </c>
      <c r="F7" s="3717">
        <f>SUMIF(58:58,YEAR(E7)&amp;"-"&amp;MONTH(E7),59:59)</f>
        <v>100</v>
      </c>
      <c r="G7" s="2840">
        <f>C7</f>
        <v>46091</v>
      </c>
      <c r="H7" s="3729">
        <f>SUMIF(58:58,YEAR(G7)&amp;"-"&amp;MONTH(G7),59:59)</f>
        <v>100</v>
      </c>
      <c r="I7" s="2840">
        <f>C7</f>
        <v>46091</v>
      </c>
      <c r="J7" s="3729">
        <f>SUMIF(58:58,YEAR(I7)&amp;"-"&amp;MONTH(I7),59:59)</f>
        <v>100</v>
      </c>
      <c r="K7" s="2802"/>
      <c r="L7" s="1976"/>
      <c r="M7" s="1929"/>
      <c r="N7" s="1929"/>
      <c r="O7" s="1929"/>
      <c r="P7" s="4611" t="s">
        <v>1587</v>
      </c>
      <c r="Q7" s="4621"/>
      <c r="R7" s="3633" t="s">
        <v>18</v>
      </c>
      <c r="S7" s="3156">
        <f t="shared" ref="S7:S15" si="0">F7</f>
        <v>100</v>
      </c>
      <c r="T7" s="3633" t="s">
        <v>18</v>
      </c>
      <c r="U7" s="3156">
        <f t="shared" ref="U7:U15" si="1">H7</f>
        <v>100</v>
      </c>
      <c r="V7" s="3633" t="s">
        <v>18</v>
      </c>
      <c r="W7" s="3156">
        <f t="shared" ref="W7:W15" si="2">J7</f>
        <v>100</v>
      </c>
      <c r="X7" s="482"/>
      <c r="Y7" s="4613" t="s">
        <v>1587</v>
      </c>
      <c r="Z7" s="4614"/>
      <c r="AA7" s="28">
        <f>D7/F7</f>
        <v>1</v>
      </c>
      <c r="AB7" s="28">
        <f>D7/H7</f>
        <v>1</v>
      </c>
      <c r="AC7" s="28">
        <f>D7/J7</f>
        <v>1</v>
      </c>
    </row>
    <row r="8" spans="1:29" s="46" customFormat="1" ht="15.75" thickBot="1">
      <c r="A8" s="242" t="s">
        <v>1588</v>
      </c>
      <c r="B8" s="243"/>
      <c r="C8" s="2812" t="s">
        <v>4183</v>
      </c>
      <c r="D8" s="2886">
        <v>100</v>
      </c>
      <c r="E8" s="2865" t="s">
        <v>4183</v>
      </c>
      <c r="F8" s="3717">
        <f>SUMIF(61:61,E8,62:62)-SUMIF(61:61,C8,62:62)+100</f>
        <v>100</v>
      </c>
      <c r="G8" s="2812" t="s">
        <v>4183</v>
      </c>
      <c r="H8" s="3729">
        <f>SUMIF(61:61,G8,62:62)-SUMIF(61:61,C8,62:62)+100</f>
        <v>100</v>
      </c>
      <c r="I8" s="2865" t="s">
        <v>4183</v>
      </c>
      <c r="J8" s="3729">
        <f>SUMIF(61:61,I8,62:62)-SUMIF(61:61,C8,62:62)+100</f>
        <v>100</v>
      </c>
      <c r="K8" s="2802"/>
      <c r="L8" s="1976"/>
      <c r="M8" s="1929"/>
      <c r="N8" s="1929"/>
      <c r="O8" s="1929"/>
      <c r="P8" s="4611" t="s">
        <v>1590</v>
      </c>
      <c r="Q8" s="4612"/>
      <c r="R8" s="3633" t="s">
        <v>18</v>
      </c>
      <c r="S8" s="3156">
        <f t="shared" si="0"/>
        <v>100</v>
      </c>
      <c r="T8" s="3633" t="s">
        <v>18</v>
      </c>
      <c r="U8" s="3156">
        <f t="shared" si="1"/>
        <v>100</v>
      </c>
      <c r="V8" s="3633" t="s">
        <v>18</v>
      </c>
      <c r="W8" s="3156">
        <f t="shared" si="2"/>
        <v>100</v>
      </c>
      <c r="X8" s="482"/>
      <c r="Y8" s="4613" t="s">
        <v>1590</v>
      </c>
      <c r="Z8" s="4614"/>
      <c r="AA8" s="28">
        <f t="shared" ref="AA8:AA19" si="3">D8/F8</f>
        <v>1</v>
      </c>
      <c r="AB8" s="28">
        <f t="shared" ref="AB8:AB19" si="4">D8/H8</f>
        <v>1</v>
      </c>
      <c r="AC8" s="28">
        <f t="shared" ref="AC8:AC19" si="5">D8/J8</f>
        <v>1</v>
      </c>
    </row>
    <row r="9" spans="1:29" s="46" customFormat="1">
      <c r="A9" s="247" t="s">
        <v>1591</v>
      </c>
      <c r="B9" s="2792" t="s">
        <v>1592</v>
      </c>
      <c r="C9" s="4288" t="s">
        <v>4222</v>
      </c>
      <c r="D9" s="2887">
        <v>100</v>
      </c>
      <c r="E9" s="2841" t="s">
        <v>3262</v>
      </c>
      <c r="F9" s="3718">
        <f>SUMIF(63:63,E9,64:64)-SUMIF(63:63,C9,64:64)+100</f>
        <v>100</v>
      </c>
      <c r="G9" s="2870" t="s">
        <v>3262</v>
      </c>
      <c r="H9" s="3730">
        <f>SUMIF(63:63,G9,64:64)-SUMIF(63:63,C9,64:64)+100</f>
        <v>100</v>
      </c>
      <c r="I9" s="2870" t="s">
        <v>3262</v>
      </c>
      <c r="J9" s="3730">
        <f>SUMIF(63:63,I9,64:64)-SUMIF(63:63,C9,64:64)+100</f>
        <v>100</v>
      </c>
      <c r="K9" s="2802"/>
      <c r="L9" s="1976"/>
      <c r="M9" s="1929"/>
      <c r="N9" s="1929"/>
      <c r="O9" s="1929"/>
      <c r="P9" s="4639" t="s">
        <v>1593</v>
      </c>
      <c r="Q9" s="1698" t="str">
        <f t="shared" ref="Q9:Q15" si="6">B9</f>
        <v>用途</v>
      </c>
      <c r="R9" s="3633" t="s">
        <v>13</v>
      </c>
      <c r="S9" s="3156">
        <f t="shared" si="0"/>
        <v>100</v>
      </c>
      <c r="T9" s="3633" t="s">
        <v>13</v>
      </c>
      <c r="U9" s="3156">
        <f t="shared" si="1"/>
        <v>100</v>
      </c>
      <c r="V9" s="3633" t="s">
        <v>13</v>
      </c>
      <c r="W9" s="3156">
        <f t="shared" si="2"/>
        <v>100</v>
      </c>
      <c r="X9" s="482"/>
      <c r="Y9" s="4586"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639"/>
      <c r="Q10" s="1698" t="str">
        <f t="shared" si="6"/>
        <v>土地使用年限（年）</v>
      </c>
      <c r="R10" s="3633" t="s">
        <v>13</v>
      </c>
      <c r="S10" s="3156">
        <f t="shared" si="0"/>
        <v>100</v>
      </c>
      <c r="T10" s="3633" t="s">
        <v>13</v>
      </c>
      <c r="U10" s="3156">
        <f t="shared" si="1"/>
        <v>100</v>
      </c>
      <c r="V10" s="3633" t="s">
        <v>13</v>
      </c>
      <c r="W10" s="3156">
        <f t="shared" si="2"/>
        <v>100</v>
      </c>
      <c r="X10" s="482"/>
      <c r="Y10" s="4586"/>
      <c r="Z10" s="28" t="str">
        <f t="shared" si="7"/>
        <v>土地使用年限（年）</v>
      </c>
      <c r="AA10" s="28">
        <f t="shared" si="3"/>
        <v>1</v>
      </c>
      <c r="AB10" s="28">
        <f t="shared" si="4"/>
        <v>1</v>
      </c>
      <c r="AC10" s="28">
        <f t="shared" si="5"/>
        <v>1</v>
      </c>
    </row>
    <row r="11" spans="1:29" ht="15">
      <c r="A11" s="254"/>
      <c r="B11" s="2789" t="s">
        <v>1596</v>
      </c>
      <c r="C11" s="2815">
        <f>'数据-汇总表'!I7</f>
        <v>2.5</v>
      </c>
      <c r="D11" s="2888">
        <v>100</v>
      </c>
      <c r="E11" s="2843">
        <v>2.5</v>
      </c>
      <c r="F11" s="3719">
        <f>LOOKUP(E11,68:68,69:69)-LOOKUP(C11,68:68,69:69)+100</f>
        <v>100</v>
      </c>
      <c r="G11" s="2815">
        <v>2.5</v>
      </c>
      <c r="H11" s="3731">
        <f>LOOKUP(G11,68:68,69:69)-LOOKUP(C11,68:68,69:69)+100</f>
        <v>100</v>
      </c>
      <c r="I11" s="2815">
        <v>2</v>
      </c>
      <c r="J11" s="3731">
        <f>LOOKUP(I11,68:68,69:69)-LOOKUP(C11,68:68,69:69)+100</f>
        <v>100</v>
      </c>
      <c r="K11" s="2803">
        <v>2</v>
      </c>
      <c r="L11" s="1979"/>
      <c r="M11" s="1975"/>
      <c r="N11" s="1975"/>
      <c r="O11" s="1975"/>
      <c r="P11" s="4639"/>
      <c r="Q11" s="1698" t="str">
        <f t="shared" si="6"/>
        <v>容积率</v>
      </c>
      <c r="R11" s="3633" t="s">
        <v>16</v>
      </c>
      <c r="S11" s="3156">
        <f t="shared" si="0"/>
        <v>100</v>
      </c>
      <c r="T11" s="3633" t="s">
        <v>16</v>
      </c>
      <c r="U11" s="3156">
        <f t="shared" si="1"/>
        <v>100</v>
      </c>
      <c r="V11" s="3633" t="s">
        <v>16</v>
      </c>
      <c r="W11" s="3156">
        <f t="shared" si="2"/>
        <v>100</v>
      </c>
      <c r="X11" s="482"/>
      <c r="Y11" s="4586"/>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639"/>
      <c r="Q12" s="1698">
        <f t="shared" si="6"/>
        <v>111</v>
      </c>
      <c r="R12" s="3633" t="s">
        <v>16</v>
      </c>
      <c r="S12" s="3156">
        <f t="shared" si="0"/>
        <v>100</v>
      </c>
      <c r="T12" s="3633" t="s">
        <v>16</v>
      </c>
      <c r="U12" s="3156">
        <f t="shared" si="1"/>
        <v>100</v>
      </c>
      <c r="V12" s="3633" t="s">
        <v>16</v>
      </c>
      <c r="W12" s="3156">
        <f t="shared" si="2"/>
        <v>100</v>
      </c>
      <c r="X12" s="482"/>
      <c r="Y12" s="4586"/>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639"/>
      <c r="Q13" s="1698">
        <f t="shared" si="6"/>
        <v>111</v>
      </c>
      <c r="R13" s="3633" t="s">
        <v>16</v>
      </c>
      <c r="S13" s="3156">
        <f t="shared" si="0"/>
        <v>100</v>
      </c>
      <c r="T13" s="3633" t="s">
        <v>16</v>
      </c>
      <c r="U13" s="3156">
        <f t="shared" si="1"/>
        <v>100</v>
      </c>
      <c r="V13" s="3633" t="s">
        <v>16</v>
      </c>
      <c r="W13" s="3156">
        <f t="shared" si="2"/>
        <v>100</v>
      </c>
      <c r="X13" s="482"/>
      <c r="Y13" s="4586"/>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639"/>
      <c r="Q14" s="1698">
        <f t="shared" si="6"/>
        <v>111</v>
      </c>
      <c r="R14" s="3633" t="s">
        <v>16</v>
      </c>
      <c r="S14" s="3156">
        <f t="shared" si="0"/>
        <v>100</v>
      </c>
      <c r="T14" s="3633" t="s">
        <v>16</v>
      </c>
      <c r="U14" s="3156">
        <f t="shared" si="1"/>
        <v>100</v>
      </c>
      <c r="V14" s="3633" t="s">
        <v>16</v>
      </c>
      <c r="W14" s="3156">
        <f t="shared" si="2"/>
        <v>100</v>
      </c>
      <c r="X14" s="482"/>
      <c r="Y14" s="4586"/>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v>2</v>
      </c>
      <c r="L15" s="1980"/>
      <c r="M15" s="1975"/>
      <c r="N15" s="1975"/>
      <c r="O15" s="1975"/>
      <c r="P15" s="4637" t="s">
        <v>1598</v>
      </c>
      <c r="Q15" s="1507" t="str">
        <f t="shared" si="6"/>
        <v>居住社区成熟度</v>
      </c>
      <c r="R15" s="3735" t="s">
        <v>16</v>
      </c>
      <c r="S15" s="3157">
        <f t="shared" si="0"/>
        <v>100</v>
      </c>
      <c r="T15" s="3735" t="s">
        <v>16</v>
      </c>
      <c r="U15" s="3157">
        <f t="shared" si="1"/>
        <v>100</v>
      </c>
      <c r="V15" s="3735" t="s">
        <v>16</v>
      </c>
      <c r="W15" s="3157">
        <f t="shared" si="2"/>
        <v>100</v>
      </c>
      <c r="X15" s="909"/>
      <c r="Y15" s="4581" t="s">
        <v>1598</v>
      </c>
      <c r="Z15" s="907" t="str">
        <f t="shared" si="7"/>
        <v>居住社区成熟度</v>
      </c>
      <c r="AA15" s="907">
        <f t="shared" si="3"/>
        <v>1</v>
      </c>
      <c r="AB15" s="907">
        <f t="shared" si="4"/>
        <v>1</v>
      </c>
      <c r="AC15" s="907">
        <f t="shared" si="5"/>
        <v>1</v>
      </c>
    </row>
    <row r="16" spans="1:29" ht="15">
      <c r="A16" s="254"/>
      <c r="B16" s="2796"/>
      <c r="C16" s="2820" t="s">
        <v>3602</v>
      </c>
      <c r="D16" s="2893"/>
      <c r="E16" s="2854" t="s">
        <v>3602</v>
      </c>
      <c r="F16" s="3722"/>
      <c r="G16" s="2848" t="s">
        <v>3602</v>
      </c>
      <c r="H16" s="3723"/>
      <c r="I16" s="2848" t="s">
        <v>3602</v>
      </c>
      <c r="J16" s="3722"/>
      <c r="K16" s="2806"/>
      <c r="L16" s="1980"/>
      <c r="M16" s="1975"/>
      <c r="N16" s="1975"/>
      <c r="O16" s="1975"/>
      <c r="P16" s="4638"/>
      <c r="Q16" s="1507"/>
      <c r="R16" s="3735"/>
      <c r="S16" s="3157"/>
      <c r="T16" s="3735"/>
      <c r="U16" s="3157"/>
      <c r="V16" s="3735"/>
      <c r="W16" s="3157"/>
      <c r="X16" s="909"/>
      <c r="Y16" s="4582"/>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v>2</v>
      </c>
      <c r="L17" s="1980"/>
      <c r="M17" s="1975"/>
      <c r="N17" s="1975"/>
      <c r="O17" s="1975"/>
      <c r="P17" s="4638"/>
      <c r="Q17" s="1507" t="str">
        <f>B17</f>
        <v>交通便捷度</v>
      </c>
      <c r="R17" s="3735" t="s">
        <v>16</v>
      </c>
      <c r="S17" s="3157">
        <f>F17</f>
        <v>100</v>
      </c>
      <c r="T17" s="3735" t="s">
        <v>16</v>
      </c>
      <c r="U17" s="3157">
        <f>H17</f>
        <v>100</v>
      </c>
      <c r="V17" s="3735" t="s">
        <v>16</v>
      </c>
      <c r="W17" s="3157">
        <f>J17</f>
        <v>100</v>
      </c>
      <c r="X17" s="909"/>
      <c r="Y17" s="4582"/>
      <c r="Z17" s="907" t="str">
        <f>Q17</f>
        <v>交通便捷度</v>
      </c>
      <c r="AA17" s="907">
        <f t="shared" si="3"/>
        <v>1</v>
      </c>
      <c r="AB17" s="907">
        <f t="shared" si="4"/>
        <v>1</v>
      </c>
      <c r="AC17" s="907">
        <f t="shared" si="5"/>
        <v>1</v>
      </c>
    </row>
    <row r="18" spans="1:29" ht="15">
      <c r="A18" s="254"/>
      <c r="B18" s="2798"/>
      <c r="C18" s="2822" t="s">
        <v>3602</v>
      </c>
      <c r="D18" s="2894"/>
      <c r="E18" s="2852" t="s">
        <v>3602</v>
      </c>
      <c r="F18" s="3723"/>
      <c r="G18" s="2846" t="s">
        <v>3602</v>
      </c>
      <c r="H18" s="3722"/>
      <c r="I18" s="2846" t="s">
        <v>3602</v>
      </c>
      <c r="J18" s="3722"/>
      <c r="K18" s="2806"/>
      <c r="L18" s="1980"/>
      <c r="M18" s="1975"/>
      <c r="N18" s="1975"/>
      <c r="O18" s="1975"/>
      <c r="P18" s="4638"/>
      <c r="Q18" s="1507"/>
      <c r="R18" s="3735"/>
      <c r="S18" s="3157"/>
      <c r="T18" s="3735"/>
      <c r="U18" s="3157"/>
      <c r="V18" s="3735"/>
      <c r="W18" s="3157"/>
      <c r="X18" s="909"/>
      <c r="Y18" s="4582"/>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v>2</v>
      </c>
      <c r="L19" s="1980"/>
      <c r="M19" s="1975"/>
      <c r="N19" s="1975"/>
      <c r="O19" s="1975"/>
      <c r="P19" s="4638"/>
      <c r="Q19" s="1507" t="str">
        <f>B19</f>
        <v>公共配套设施</v>
      </c>
      <c r="R19" s="3735" t="s">
        <v>16</v>
      </c>
      <c r="S19" s="3157">
        <f>F19</f>
        <v>100</v>
      </c>
      <c r="T19" s="3735" t="s">
        <v>16</v>
      </c>
      <c r="U19" s="3157">
        <f>H19</f>
        <v>100</v>
      </c>
      <c r="V19" s="3735" t="s">
        <v>16</v>
      </c>
      <c r="W19" s="3157">
        <f>J19</f>
        <v>100</v>
      </c>
      <c r="X19" s="909"/>
      <c r="Y19" s="4582"/>
      <c r="Z19" s="907" t="str">
        <f>Q19</f>
        <v>公共配套设施</v>
      </c>
      <c r="AA19" s="907">
        <f t="shared" si="3"/>
        <v>1</v>
      </c>
      <c r="AB19" s="907">
        <f t="shared" si="4"/>
        <v>1</v>
      </c>
      <c r="AC19" s="907">
        <f t="shared" si="5"/>
        <v>1</v>
      </c>
    </row>
    <row r="20" spans="1:29" ht="15">
      <c r="A20" s="254"/>
      <c r="B20" s="2798"/>
      <c r="C20" s="2820" t="s">
        <v>3602</v>
      </c>
      <c r="D20" s="2893"/>
      <c r="E20" s="2854" t="s">
        <v>3602</v>
      </c>
      <c r="F20" s="3722"/>
      <c r="G20" s="2848" t="s">
        <v>3602</v>
      </c>
      <c r="H20" s="3722"/>
      <c r="I20" s="2848" t="s">
        <v>3602</v>
      </c>
      <c r="J20" s="3722"/>
      <c r="K20" s="2806"/>
      <c r="L20" s="1980"/>
      <c r="M20" s="1975"/>
      <c r="N20" s="1975"/>
      <c r="O20" s="1975"/>
      <c r="P20" s="4638"/>
      <c r="Q20" s="1507"/>
      <c r="R20" s="3735"/>
      <c r="S20" s="3157"/>
      <c r="T20" s="3735"/>
      <c r="U20" s="3157"/>
      <c r="V20" s="3735"/>
      <c r="W20" s="3157"/>
      <c r="X20" s="909"/>
      <c r="Y20" s="4582"/>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v>2</v>
      </c>
      <c r="L21" s="1980"/>
      <c r="M21" s="1975"/>
      <c r="N21" s="1975"/>
      <c r="O21" s="1975"/>
      <c r="P21" s="4638"/>
      <c r="Q21" s="1507" t="str">
        <f>B21</f>
        <v>基础设施水平</v>
      </c>
      <c r="R21" s="3735" t="s">
        <v>13</v>
      </c>
      <c r="S21" s="3157">
        <f>F21</f>
        <v>100</v>
      </c>
      <c r="T21" s="3735" t="s">
        <v>13</v>
      </c>
      <c r="U21" s="3157">
        <f>H21</f>
        <v>100</v>
      </c>
      <c r="V21" s="3735" t="s">
        <v>13</v>
      </c>
      <c r="W21" s="3157">
        <f>J21</f>
        <v>100</v>
      </c>
      <c r="X21" s="909"/>
      <c r="Y21" s="4582"/>
      <c r="Z21" s="907" t="str">
        <f>Q21</f>
        <v>基础设施水平</v>
      </c>
      <c r="AA21" s="907">
        <f t="shared" ref="AA21" si="8">D21/F21</f>
        <v>1</v>
      </c>
      <c r="AB21" s="907">
        <f t="shared" ref="AB21" si="9">D21/H21</f>
        <v>1</v>
      </c>
      <c r="AC21" s="907">
        <f t="shared" ref="AC21" si="10">D21/J21</f>
        <v>1</v>
      </c>
    </row>
    <row r="22" spans="1:29" ht="15">
      <c r="A22" s="254"/>
      <c r="B22" s="2799"/>
      <c r="C22" s="2822" t="s">
        <v>3603</v>
      </c>
      <c r="D22" s="2893"/>
      <c r="E22" s="2820" t="s">
        <v>3603</v>
      </c>
      <c r="F22" s="3722"/>
      <c r="G22" s="2871" t="s">
        <v>3603</v>
      </c>
      <c r="H22" s="3722"/>
      <c r="I22" s="2820" t="s">
        <v>3603</v>
      </c>
      <c r="J22" s="3722"/>
      <c r="K22" s="2807"/>
      <c r="L22" s="1980"/>
      <c r="M22" s="1975"/>
      <c r="N22" s="1975"/>
      <c r="O22" s="1975"/>
      <c r="P22" s="4638"/>
      <c r="Q22" s="1507"/>
      <c r="R22" s="3735"/>
      <c r="S22" s="3157"/>
      <c r="T22" s="3735"/>
      <c r="U22" s="3157"/>
      <c r="V22" s="3735"/>
      <c r="W22" s="3157"/>
      <c r="X22" s="909"/>
      <c r="Y22" s="4582"/>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98</v>
      </c>
      <c r="I23" s="2845"/>
      <c r="J23" s="3723">
        <f>SUMIF(84:84,I24,85:85)-SUMIF(84:84,C24,85:85)+100</f>
        <v>98</v>
      </c>
      <c r="K23" s="2805">
        <v>2</v>
      </c>
      <c r="L23" s="1980"/>
      <c r="M23" s="1975"/>
      <c r="N23" s="1975"/>
      <c r="O23" s="1975"/>
      <c r="P23" s="4638"/>
      <c r="Q23" s="1507" t="str">
        <f>B23</f>
        <v>自然及人文环境</v>
      </c>
      <c r="R23" s="3735" t="s">
        <v>16</v>
      </c>
      <c r="S23" s="3157">
        <f>F23</f>
        <v>100</v>
      </c>
      <c r="T23" s="3735" t="s">
        <v>16</v>
      </c>
      <c r="U23" s="3157">
        <f>H23</f>
        <v>98</v>
      </c>
      <c r="V23" s="3735" t="s">
        <v>16</v>
      </c>
      <c r="W23" s="3157">
        <f>J23</f>
        <v>98</v>
      </c>
      <c r="X23" s="909"/>
      <c r="Y23" s="4582"/>
      <c r="Z23" s="907" t="str">
        <f>Q23</f>
        <v>自然及人文环境</v>
      </c>
      <c r="AA23" s="907">
        <f>D23/F23</f>
        <v>1</v>
      </c>
      <c r="AB23" s="907">
        <f>D23/H23</f>
        <v>1.0204081632653061</v>
      </c>
      <c r="AC23" s="907">
        <f>D23/J23</f>
        <v>1.0204081632653061</v>
      </c>
    </row>
    <row r="24" spans="1:29" ht="15">
      <c r="A24" s="254"/>
      <c r="B24" s="2798"/>
      <c r="C24" s="2820" t="s">
        <v>3602</v>
      </c>
      <c r="D24" s="2893"/>
      <c r="E24" s="2854" t="s">
        <v>3602</v>
      </c>
      <c r="F24" s="3722"/>
      <c r="G24" s="2848" t="s">
        <v>3601</v>
      </c>
      <c r="H24" s="3722"/>
      <c r="I24" s="2848" t="s">
        <v>3601</v>
      </c>
      <c r="J24" s="3722"/>
      <c r="K24" s="2806"/>
      <c r="L24" s="1980"/>
      <c r="M24" s="1975"/>
      <c r="N24" s="1975"/>
      <c r="O24" s="1975"/>
      <c r="P24" s="4638"/>
      <c r="Q24" s="1507"/>
      <c r="R24" s="3735"/>
      <c r="S24" s="3157"/>
      <c r="T24" s="3735"/>
      <c r="U24" s="3157"/>
      <c r="V24" s="3735"/>
      <c r="W24" s="3157"/>
      <c r="X24" s="909"/>
      <c r="Y24" s="4582"/>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638"/>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82"/>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638"/>
      <c r="Q26" s="1507" t="str">
        <f t="shared" si="11"/>
        <v>朝向</v>
      </c>
      <c r="R26" s="3735" t="s">
        <v>16</v>
      </c>
      <c r="S26" s="3157">
        <f t="shared" si="12"/>
        <v>100</v>
      </c>
      <c r="T26" s="3735" t="s">
        <v>16</v>
      </c>
      <c r="U26" s="3157">
        <f t="shared" si="13"/>
        <v>100</v>
      </c>
      <c r="V26" s="3735" t="s">
        <v>16</v>
      </c>
      <c r="W26" s="3157">
        <f t="shared" si="14"/>
        <v>100</v>
      </c>
      <c r="X26" s="909"/>
      <c r="Y26" s="4582"/>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638"/>
      <c r="Q27" s="1698">
        <f t="shared" si="11"/>
        <v>111</v>
      </c>
      <c r="R27" s="3633" t="s">
        <v>16</v>
      </c>
      <c r="S27" s="3156">
        <f t="shared" si="12"/>
        <v>100</v>
      </c>
      <c r="T27" s="3633" t="s">
        <v>16</v>
      </c>
      <c r="U27" s="3156">
        <f t="shared" si="13"/>
        <v>100</v>
      </c>
      <c r="V27" s="3633" t="s">
        <v>16</v>
      </c>
      <c r="W27" s="3156">
        <f t="shared" si="14"/>
        <v>100</v>
      </c>
      <c r="X27" s="482"/>
      <c r="Y27" s="4582"/>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638"/>
      <c r="Q28" s="1507">
        <f t="shared" si="11"/>
        <v>111</v>
      </c>
      <c r="R28" s="3735" t="s">
        <v>16</v>
      </c>
      <c r="S28" s="3157">
        <f t="shared" si="12"/>
        <v>100</v>
      </c>
      <c r="T28" s="3735" t="s">
        <v>16</v>
      </c>
      <c r="U28" s="3157">
        <f t="shared" si="13"/>
        <v>100</v>
      </c>
      <c r="V28" s="3735" t="s">
        <v>16</v>
      </c>
      <c r="W28" s="3157">
        <f t="shared" si="14"/>
        <v>100</v>
      </c>
      <c r="X28" s="909"/>
      <c r="Y28" s="4582"/>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638"/>
      <c r="Q29" s="1507">
        <f t="shared" si="11"/>
        <v>111</v>
      </c>
      <c r="R29" s="3735" t="s">
        <v>16</v>
      </c>
      <c r="S29" s="3157">
        <f t="shared" si="12"/>
        <v>100</v>
      </c>
      <c r="T29" s="3735" t="s">
        <v>16</v>
      </c>
      <c r="U29" s="3157">
        <f t="shared" si="13"/>
        <v>100</v>
      </c>
      <c r="V29" s="3735" t="s">
        <v>16</v>
      </c>
      <c r="W29" s="3157">
        <f t="shared" si="14"/>
        <v>100</v>
      </c>
      <c r="X29" s="909"/>
      <c r="Y29" s="4582"/>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638"/>
      <c r="Q30" s="1507">
        <f t="shared" si="11"/>
        <v>111</v>
      </c>
      <c r="R30" s="3735" t="s">
        <v>16</v>
      </c>
      <c r="S30" s="3157">
        <f t="shared" si="12"/>
        <v>100</v>
      </c>
      <c r="T30" s="3735" t="s">
        <v>16</v>
      </c>
      <c r="U30" s="3157">
        <f t="shared" si="13"/>
        <v>100</v>
      </c>
      <c r="V30" s="3735" t="s">
        <v>16</v>
      </c>
      <c r="W30" s="3157">
        <f t="shared" si="14"/>
        <v>100</v>
      </c>
      <c r="X30" s="909"/>
      <c r="Y30" s="4582"/>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638"/>
      <c r="Q31" s="1507">
        <f t="shared" si="11"/>
        <v>111</v>
      </c>
      <c r="R31" s="3735" t="s">
        <v>16</v>
      </c>
      <c r="S31" s="3157">
        <f t="shared" si="12"/>
        <v>100</v>
      </c>
      <c r="T31" s="3735" t="s">
        <v>16</v>
      </c>
      <c r="U31" s="3157">
        <f t="shared" si="13"/>
        <v>100</v>
      </c>
      <c r="V31" s="3735" t="s">
        <v>16</v>
      </c>
      <c r="W31" s="3157">
        <f t="shared" si="14"/>
        <v>100</v>
      </c>
      <c r="X31" s="909"/>
      <c r="Y31" s="4582"/>
      <c r="Z31" s="907">
        <f t="shared" si="18"/>
        <v>111</v>
      </c>
      <c r="AA31" s="907">
        <f t="shared" si="15"/>
        <v>1</v>
      </c>
      <c r="AB31" s="907">
        <f t="shared" si="16"/>
        <v>1</v>
      </c>
      <c r="AC31" s="907">
        <f t="shared" si="17"/>
        <v>1</v>
      </c>
    </row>
    <row r="32" spans="1:29" ht="15">
      <c r="A32" s="262" t="s">
        <v>1601</v>
      </c>
      <c r="B32" s="2792" t="s">
        <v>1602</v>
      </c>
      <c r="C32" s="2824" t="s">
        <v>4223</v>
      </c>
      <c r="D32" s="2897">
        <v>100</v>
      </c>
      <c r="E32" s="2867" t="s">
        <v>4223</v>
      </c>
      <c r="F32" s="3728">
        <f>SUMIF(100:100,E32,101:101)-SUMIF(100:100,C32,101:101)+100</f>
        <v>100</v>
      </c>
      <c r="G32" s="2824" t="s">
        <v>4223</v>
      </c>
      <c r="H32" s="3732">
        <f>SUMIF(100:100,G32,101:101)-SUMIF(100:100,C32,101:101)+100</f>
        <v>100</v>
      </c>
      <c r="I32" s="2867" t="s">
        <v>4223</v>
      </c>
      <c r="J32" s="3725">
        <f>SUMIF(100:100,I32,101:101)-SUMIF(100:100,C32,101:101)+100</f>
        <v>100</v>
      </c>
      <c r="K32" s="2803">
        <v>1</v>
      </c>
      <c r="L32" s="1980"/>
      <c r="M32" s="1975"/>
      <c r="N32" s="1975"/>
      <c r="O32" s="1975"/>
      <c r="P32" s="4633" t="s">
        <v>1603</v>
      </c>
      <c r="Q32" s="1507" t="str">
        <f t="shared" si="11"/>
        <v>建筑类型</v>
      </c>
      <c r="R32" s="3735" t="s">
        <v>16</v>
      </c>
      <c r="S32" s="3157">
        <f t="shared" si="12"/>
        <v>100</v>
      </c>
      <c r="T32" s="3735" t="s">
        <v>16</v>
      </c>
      <c r="U32" s="3157">
        <f t="shared" si="13"/>
        <v>100</v>
      </c>
      <c r="V32" s="3735" t="s">
        <v>16</v>
      </c>
      <c r="W32" s="3157">
        <f t="shared" si="14"/>
        <v>100</v>
      </c>
      <c r="X32" s="909"/>
      <c r="Y32" s="4585" t="s">
        <v>1603</v>
      </c>
      <c r="Z32" s="907" t="str">
        <f t="shared" si="18"/>
        <v>建筑类型</v>
      </c>
      <c r="AA32" s="907">
        <f t="shared" si="15"/>
        <v>1</v>
      </c>
      <c r="AB32" s="907">
        <f t="shared" si="16"/>
        <v>1</v>
      </c>
      <c r="AC32" s="907">
        <f t="shared" si="17"/>
        <v>1</v>
      </c>
    </row>
    <row r="33" spans="1:29" s="279" customFormat="1" ht="15">
      <c r="A33" s="277"/>
      <c r="B33" s="2789" t="s">
        <v>1604</v>
      </c>
      <c r="C33" s="2882">
        <f>'数据-汇总表'!E3</f>
        <v>82371.62</v>
      </c>
      <c r="D33" s="2888">
        <v>100</v>
      </c>
      <c r="E33" s="2842">
        <v>54019</v>
      </c>
      <c r="F33" s="3719">
        <f>LOOKUP(E33,103:103,104:104)-LOOKUP(C33,103:103,104:104)+100</f>
        <v>100</v>
      </c>
      <c r="G33" s="2814">
        <v>125500</v>
      </c>
      <c r="H33" s="3731">
        <f>LOOKUP(G33,103:103,104:104)-LOOKUP(C33,103:103,104:104)+100</f>
        <v>101</v>
      </c>
      <c r="I33" s="2842">
        <v>81100</v>
      </c>
      <c r="J33" s="3731">
        <f>LOOKUP(I33,103:103,104:104)-LOOKUP(C33,103:103,104:104)+100</f>
        <v>100</v>
      </c>
      <c r="K33" s="2804"/>
      <c r="L33" s="1979"/>
      <c r="M33" s="1981"/>
      <c r="N33" s="1981"/>
      <c r="O33" s="1981"/>
      <c r="P33" s="4634"/>
      <c r="Q33" s="2864" t="str">
        <f t="shared" si="11"/>
        <v>项目建筑规模</v>
      </c>
      <c r="R33" s="3736" t="s">
        <v>16</v>
      </c>
      <c r="S33" s="3158">
        <f t="shared" si="12"/>
        <v>100</v>
      </c>
      <c r="T33" s="3736" t="s">
        <v>16</v>
      </c>
      <c r="U33" s="3158">
        <f t="shared" si="13"/>
        <v>101</v>
      </c>
      <c r="V33" s="3736" t="s">
        <v>16</v>
      </c>
      <c r="W33" s="3158">
        <f t="shared" si="14"/>
        <v>100</v>
      </c>
      <c r="X33" s="484"/>
      <c r="Y33" s="4585"/>
      <c r="Z33" s="485" t="str">
        <f t="shared" si="18"/>
        <v>项目建筑规模</v>
      </c>
      <c r="AA33" s="907">
        <f t="shared" si="15"/>
        <v>1</v>
      </c>
      <c r="AB33" s="907">
        <f t="shared" si="16"/>
        <v>0.99009900990099009</v>
      </c>
      <c r="AC33" s="907">
        <f t="shared" si="17"/>
        <v>1</v>
      </c>
    </row>
    <row r="34" spans="1:29" ht="15">
      <c r="A34" s="280"/>
      <c r="B34" s="2789" t="s">
        <v>1605</v>
      </c>
      <c r="C34" s="2823" t="s">
        <v>4225</v>
      </c>
      <c r="D34" s="2890">
        <v>100</v>
      </c>
      <c r="E34" s="2868" t="s">
        <v>4225</v>
      </c>
      <c r="F34" s="3728">
        <f>SUMIF(105:105,E34,106:106)-SUMIF(105:105,C34,106:106)+100</f>
        <v>100</v>
      </c>
      <c r="G34" s="2823" t="s">
        <v>4225</v>
      </c>
      <c r="H34" s="3725">
        <f>SUMIF(105:105,G34,106:106)-SUMIF(105:105,C34,106:106)+100</f>
        <v>100</v>
      </c>
      <c r="I34" s="2868" t="s">
        <v>4225</v>
      </c>
      <c r="J34" s="3725">
        <f>SUMIF(105:105,I34,106:106)-SUMIF(105:105,C34,106:106)+100</f>
        <v>100</v>
      </c>
      <c r="K34" s="2803">
        <v>1</v>
      </c>
      <c r="L34" s="1980"/>
      <c r="M34" s="1975"/>
      <c r="N34" s="1975"/>
      <c r="O34" s="1975"/>
      <c r="P34" s="4634"/>
      <c r="Q34" s="1507" t="str">
        <f t="shared" si="11"/>
        <v>建筑结构</v>
      </c>
      <c r="R34" s="3735" t="s">
        <v>16</v>
      </c>
      <c r="S34" s="3157">
        <f t="shared" si="12"/>
        <v>100</v>
      </c>
      <c r="T34" s="3735" t="s">
        <v>16</v>
      </c>
      <c r="U34" s="3157">
        <f t="shared" si="13"/>
        <v>100</v>
      </c>
      <c r="V34" s="3735" t="s">
        <v>16</v>
      </c>
      <c r="W34" s="3157">
        <f t="shared" si="14"/>
        <v>100</v>
      </c>
      <c r="X34" s="909"/>
      <c r="Y34" s="4585"/>
      <c r="Z34" s="907" t="str">
        <f t="shared" si="18"/>
        <v>建筑结构</v>
      </c>
      <c r="AA34" s="907">
        <f t="shared" si="15"/>
        <v>1</v>
      </c>
      <c r="AB34" s="907">
        <f t="shared" si="16"/>
        <v>1</v>
      </c>
      <c r="AC34" s="907">
        <f t="shared" si="17"/>
        <v>1</v>
      </c>
    </row>
    <row r="35" spans="1:29" ht="15">
      <c r="A35" s="280"/>
      <c r="B35" s="2789" t="s">
        <v>1606</v>
      </c>
      <c r="C35" s="2826" t="s">
        <v>4226</v>
      </c>
      <c r="D35" s="2890">
        <v>100</v>
      </c>
      <c r="E35" s="2869" t="s">
        <v>4226</v>
      </c>
      <c r="F35" s="3728">
        <f>SUMIF(107:107,E35,108:108)-SUMIF(107:107,C35,108:108)+100</f>
        <v>100</v>
      </c>
      <c r="G35" s="2826" t="s">
        <v>4226</v>
      </c>
      <c r="H35" s="3725">
        <f>SUMIF(107:107,G35,108:108)-SUMIF(107:107,C35,108:108)+100</f>
        <v>100</v>
      </c>
      <c r="I35" s="2869" t="s">
        <v>4226</v>
      </c>
      <c r="J35" s="3725">
        <f>SUMIF(107:107,I35,108:108)-SUMIF(107:107,C35,108:108)+100</f>
        <v>100</v>
      </c>
      <c r="K35" s="2803">
        <v>1</v>
      </c>
      <c r="L35" s="1980"/>
      <c r="M35" s="1975"/>
      <c r="N35" s="1975"/>
      <c r="O35" s="1975"/>
      <c r="P35" s="4634"/>
      <c r="Q35" s="1507" t="str">
        <f t="shared" si="11"/>
        <v>建筑品质</v>
      </c>
      <c r="R35" s="3735" t="s">
        <v>16</v>
      </c>
      <c r="S35" s="3157">
        <f t="shared" si="12"/>
        <v>100</v>
      </c>
      <c r="T35" s="3735" t="s">
        <v>16</v>
      </c>
      <c r="U35" s="3157">
        <f t="shared" si="13"/>
        <v>100</v>
      </c>
      <c r="V35" s="3735" t="s">
        <v>16</v>
      </c>
      <c r="W35" s="3157">
        <f t="shared" si="14"/>
        <v>100</v>
      </c>
      <c r="X35" s="909"/>
      <c r="Y35" s="4585"/>
      <c r="Z35" s="907" t="str">
        <f t="shared" si="18"/>
        <v>建筑品质</v>
      </c>
      <c r="AA35" s="907">
        <f t="shared" si="15"/>
        <v>1</v>
      </c>
      <c r="AB35" s="907">
        <f t="shared" si="16"/>
        <v>1</v>
      </c>
      <c r="AC35" s="907">
        <f t="shared" si="17"/>
        <v>1</v>
      </c>
    </row>
    <row r="36" spans="1:29" ht="15">
      <c r="A36" s="280"/>
      <c r="B36" s="2789" t="s">
        <v>1607</v>
      </c>
      <c r="C36" s="2826" t="s">
        <v>4227</v>
      </c>
      <c r="D36" s="2890">
        <v>100</v>
      </c>
      <c r="E36" s="2869" t="s">
        <v>4227</v>
      </c>
      <c r="F36" s="3728">
        <f>SUMIF(109:109,E36,110:110)-SUMIF(109:109,C36,110:110)+100</f>
        <v>100</v>
      </c>
      <c r="G36" s="2826" t="s">
        <v>4227</v>
      </c>
      <c r="H36" s="3725">
        <f>SUMIF(109:109,G36,110:110)-SUMIF(109:109,C36,110:110)+100</f>
        <v>100</v>
      </c>
      <c r="I36" s="2869" t="s">
        <v>4227</v>
      </c>
      <c r="J36" s="3725">
        <f>SUMIF(109:109,I36,110:110)-SUMIF(109:109,C36,110:110)+100</f>
        <v>100</v>
      </c>
      <c r="K36" s="2803">
        <v>1</v>
      </c>
      <c r="L36" s="1980"/>
      <c r="M36" s="1975"/>
      <c r="N36" s="1975"/>
      <c r="O36" s="1975"/>
      <c r="P36" s="4634"/>
      <c r="Q36" s="1507" t="str">
        <f t="shared" si="11"/>
        <v>公共部分装修</v>
      </c>
      <c r="R36" s="3735" t="s">
        <v>16</v>
      </c>
      <c r="S36" s="3157">
        <f t="shared" si="12"/>
        <v>100</v>
      </c>
      <c r="T36" s="3735" t="s">
        <v>16</v>
      </c>
      <c r="U36" s="3157">
        <f t="shared" si="13"/>
        <v>100</v>
      </c>
      <c r="V36" s="3735" t="s">
        <v>16</v>
      </c>
      <c r="W36" s="3157">
        <f t="shared" si="14"/>
        <v>100</v>
      </c>
      <c r="X36" s="909"/>
      <c r="Y36" s="4585"/>
      <c r="Z36" s="907" t="str">
        <f t="shared" si="18"/>
        <v>公共部分装修</v>
      </c>
      <c r="AA36" s="907">
        <f t="shared" si="15"/>
        <v>1</v>
      </c>
      <c r="AB36" s="907">
        <f t="shared" si="16"/>
        <v>1</v>
      </c>
      <c r="AC36" s="907">
        <f t="shared" si="17"/>
        <v>1</v>
      </c>
    </row>
    <row r="37" spans="1:29" s="46" customFormat="1" ht="15">
      <c r="A37" s="281"/>
      <c r="B37" s="2789" t="s">
        <v>1608</v>
      </c>
      <c r="C37" s="2827">
        <v>1</v>
      </c>
      <c r="D37" s="2888">
        <v>100</v>
      </c>
      <c r="E37" s="2827">
        <v>1</v>
      </c>
      <c r="F37" s="3719">
        <f>LOOKUP(E37,112:112,113:113)-LOOKUP(C37,112:112,113:113)+100</f>
        <v>100</v>
      </c>
      <c r="G37" s="2875">
        <v>1</v>
      </c>
      <c r="H37" s="3731">
        <f>LOOKUP(G37,112:112,113:113)-LOOKUP(C37,112:112,113:113)+100</f>
        <v>100</v>
      </c>
      <c r="I37" s="2876">
        <v>1</v>
      </c>
      <c r="J37" s="3731">
        <f>LOOKUP(I37,112:112,113:113)-LOOKUP(C37,112:112,113:113)+100</f>
        <v>100</v>
      </c>
      <c r="K37" s="2803">
        <v>1</v>
      </c>
      <c r="L37" s="1976"/>
      <c r="M37" s="1929"/>
      <c r="N37" s="1929"/>
      <c r="O37" s="1929"/>
      <c r="P37" s="4634"/>
      <c r="Q37" s="1698" t="str">
        <f t="shared" si="11"/>
        <v>成新度</v>
      </c>
      <c r="R37" s="3633" t="s">
        <v>16</v>
      </c>
      <c r="S37" s="3156">
        <f t="shared" si="12"/>
        <v>100</v>
      </c>
      <c r="T37" s="3633" t="s">
        <v>16</v>
      </c>
      <c r="U37" s="3156">
        <f t="shared" si="13"/>
        <v>100</v>
      </c>
      <c r="V37" s="3633" t="s">
        <v>16</v>
      </c>
      <c r="W37" s="3156">
        <f t="shared" si="14"/>
        <v>100</v>
      </c>
      <c r="X37" s="482"/>
      <c r="Y37" s="4585"/>
      <c r="Z37" s="28" t="str">
        <f t="shared" si="18"/>
        <v>成新度</v>
      </c>
      <c r="AA37" s="28">
        <f t="shared" si="15"/>
        <v>1</v>
      </c>
      <c r="AB37" s="28">
        <f t="shared" si="16"/>
        <v>1</v>
      </c>
      <c r="AC37" s="28">
        <f t="shared" si="17"/>
        <v>1</v>
      </c>
    </row>
    <row r="38" spans="1:29" ht="15">
      <c r="A38" s="280"/>
      <c r="B38" s="2789" t="s">
        <v>1609</v>
      </c>
      <c r="C38" s="2826" t="s">
        <v>4228</v>
      </c>
      <c r="D38" s="2890">
        <v>100</v>
      </c>
      <c r="E38" s="2869" t="s">
        <v>4228</v>
      </c>
      <c r="F38" s="3728">
        <f>SUMIF(114:114,E38,115:115)-SUMIF(114:114,C38,115:115)+100</f>
        <v>100</v>
      </c>
      <c r="G38" s="2826" t="s">
        <v>4228</v>
      </c>
      <c r="H38" s="3725">
        <f>SUMIF(114:114,G38,115:115)-SUMIF(114:114,C38,115:115)+100</f>
        <v>100</v>
      </c>
      <c r="I38" s="2869" t="s">
        <v>4228</v>
      </c>
      <c r="J38" s="3725">
        <f>SUMIF(114:114,I38,115:115)-SUMIF(114:114,C38,115:115)+100</f>
        <v>100</v>
      </c>
      <c r="K38" s="2803">
        <v>1</v>
      </c>
      <c r="L38" s="1980"/>
      <c r="M38" s="1975"/>
      <c r="N38" s="1975"/>
      <c r="O38" s="1975"/>
      <c r="P38" s="4634" t="s">
        <v>1603</v>
      </c>
      <c r="Q38" s="1507" t="str">
        <f t="shared" si="11"/>
        <v>物业管理</v>
      </c>
      <c r="R38" s="3735" t="s">
        <v>16</v>
      </c>
      <c r="S38" s="3157">
        <f t="shared" si="12"/>
        <v>100</v>
      </c>
      <c r="T38" s="3735" t="s">
        <v>16</v>
      </c>
      <c r="U38" s="3157">
        <f t="shared" si="13"/>
        <v>100</v>
      </c>
      <c r="V38" s="3735" t="s">
        <v>16</v>
      </c>
      <c r="W38" s="3157">
        <f t="shared" si="14"/>
        <v>100</v>
      </c>
      <c r="X38" s="909"/>
      <c r="Y38" s="4585" t="s">
        <v>1603</v>
      </c>
      <c r="Z38" s="907" t="str">
        <f t="shared" si="18"/>
        <v>物业管理</v>
      </c>
      <c r="AA38" s="907">
        <f t="shared" si="15"/>
        <v>1</v>
      </c>
      <c r="AB38" s="907">
        <f t="shared" si="16"/>
        <v>1</v>
      </c>
      <c r="AC38" s="907">
        <f t="shared" si="17"/>
        <v>1</v>
      </c>
    </row>
    <row r="39" spans="1:29" ht="15">
      <c r="A39" s="280"/>
      <c r="B39" s="2789" t="s">
        <v>1610</v>
      </c>
      <c r="C39" s="2826" t="s">
        <v>3603</v>
      </c>
      <c r="D39" s="2890">
        <v>100</v>
      </c>
      <c r="E39" s="2869" t="s">
        <v>3603</v>
      </c>
      <c r="F39" s="3728">
        <f>SUMIF(116:116,E39,117:117)-SUMIF(116:116,C39,117:117)+100</f>
        <v>100</v>
      </c>
      <c r="G39" s="2826" t="s">
        <v>3603</v>
      </c>
      <c r="H39" s="3725">
        <f>SUMIF(116:116,G39,117:117)-SUMIF(116:116,C39,117:117)+100</f>
        <v>100</v>
      </c>
      <c r="I39" s="2869" t="s">
        <v>3603</v>
      </c>
      <c r="J39" s="3725">
        <f>SUMIF(116:116,I39,117:117)-SUMIF(116:116,C39,117:117)+100</f>
        <v>100</v>
      </c>
      <c r="K39" s="2803">
        <v>1</v>
      </c>
      <c r="L39" s="1980"/>
      <c r="M39" s="1975"/>
      <c r="N39" s="1975"/>
      <c r="O39" s="1975"/>
      <c r="P39" s="4634"/>
      <c r="Q39" s="1507" t="str">
        <f t="shared" si="11"/>
        <v>市政基础设施</v>
      </c>
      <c r="R39" s="3735" t="s">
        <v>16</v>
      </c>
      <c r="S39" s="3157">
        <f t="shared" si="12"/>
        <v>100</v>
      </c>
      <c r="T39" s="3735" t="s">
        <v>16</v>
      </c>
      <c r="U39" s="3157">
        <f t="shared" si="13"/>
        <v>100</v>
      </c>
      <c r="V39" s="3735" t="s">
        <v>16</v>
      </c>
      <c r="W39" s="3157">
        <f t="shared" si="14"/>
        <v>100</v>
      </c>
      <c r="X39" s="909"/>
      <c r="Y39" s="4585"/>
      <c r="Z39" s="907" t="str">
        <f t="shared" si="18"/>
        <v>市政基础设施</v>
      </c>
      <c r="AA39" s="907">
        <f t="shared" si="15"/>
        <v>1</v>
      </c>
      <c r="AB39" s="907">
        <f t="shared" si="16"/>
        <v>1</v>
      </c>
      <c r="AC39" s="907">
        <f t="shared" si="17"/>
        <v>1</v>
      </c>
    </row>
    <row r="40" spans="1:29" ht="15">
      <c r="A40" s="280"/>
      <c r="B40" s="2789" t="s">
        <v>1611</v>
      </c>
      <c r="C40" s="2826" t="s">
        <v>4229</v>
      </c>
      <c r="D40" s="2890">
        <v>100</v>
      </c>
      <c r="E40" s="2869" t="s">
        <v>4229</v>
      </c>
      <c r="F40" s="3728">
        <f>SUMIF(118:118,E40,119:119)-SUMIF(118:118,C40,119:119)+100</f>
        <v>100</v>
      </c>
      <c r="G40" s="2826" t="s">
        <v>4229</v>
      </c>
      <c r="H40" s="3725">
        <f>SUMIF(118:118,G40,119:119)-SUMIF(118:118,C40,119:119)+100</f>
        <v>100</v>
      </c>
      <c r="I40" s="2869" t="s">
        <v>4229</v>
      </c>
      <c r="J40" s="3725">
        <f>SUMIF(118:118,I40,119:119)-SUMIF(118:118,C40,119:119)+100</f>
        <v>100</v>
      </c>
      <c r="K40" s="2803">
        <v>1</v>
      </c>
      <c r="L40" s="1980"/>
      <c r="M40" s="1975"/>
      <c r="N40" s="1975"/>
      <c r="O40" s="1975"/>
      <c r="P40" s="4634"/>
      <c r="Q40" s="1507" t="str">
        <f t="shared" si="11"/>
        <v>房型</v>
      </c>
      <c r="R40" s="3735" t="s">
        <v>16</v>
      </c>
      <c r="S40" s="3157">
        <f t="shared" si="12"/>
        <v>100</v>
      </c>
      <c r="T40" s="3735" t="s">
        <v>16</v>
      </c>
      <c r="U40" s="3157">
        <f t="shared" si="13"/>
        <v>100</v>
      </c>
      <c r="V40" s="3735" t="s">
        <v>16</v>
      </c>
      <c r="W40" s="3157">
        <f t="shared" si="14"/>
        <v>100</v>
      </c>
      <c r="X40" s="909"/>
      <c r="Y40" s="4585"/>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634"/>
      <c r="Q41" s="2864" t="str">
        <f t="shared" si="11"/>
        <v>单套/主力户型建筑面积</v>
      </c>
      <c r="R41" s="3736" t="s">
        <v>16</v>
      </c>
      <c r="S41" s="3158">
        <f t="shared" si="12"/>
        <v>100</v>
      </c>
      <c r="T41" s="3736" t="s">
        <v>16</v>
      </c>
      <c r="U41" s="3158">
        <f t="shared" si="13"/>
        <v>100</v>
      </c>
      <c r="V41" s="3736" t="s">
        <v>16</v>
      </c>
      <c r="W41" s="3158">
        <f t="shared" si="14"/>
        <v>100</v>
      </c>
      <c r="X41" s="484"/>
      <c r="Y41" s="4585"/>
      <c r="Z41" s="485" t="str">
        <f t="shared" si="18"/>
        <v>单套/主力户型建筑面积</v>
      </c>
      <c r="AA41" s="907">
        <f t="shared" si="15"/>
        <v>1</v>
      </c>
      <c r="AB41" s="907">
        <f t="shared" si="16"/>
        <v>1</v>
      </c>
      <c r="AC41" s="907">
        <f t="shared" si="17"/>
        <v>1</v>
      </c>
    </row>
    <row r="42" spans="1:29" ht="15">
      <c r="A42" s="280"/>
      <c r="B42" s="2789" t="s">
        <v>1613</v>
      </c>
      <c r="C42" s="2826" t="s">
        <v>4227</v>
      </c>
      <c r="D42" s="2890">
        <v>100</v>
      </c>
      <c r="E42" s="2869" t="s">
        <v>4227</v>
      </c>
      <c r="F42" s="3728">
        <f>SUMIF(122:122,E42,123:123)-SUMIF(122:122,C42,123:123)+100</f>
        <v>100</v>
      </c>
      <c r="G42" s="2826" t="s">
        <v>4227</v>
      </c>
      <c r="H42" s="3725">
        <f>SUMIF(122:122,G42,123:123)-SUMIF(122:122,C42,123:123)+100</f>
        <v>100</v>
      </c>
      <c r="I42" s="2869" t="s">
        <v>4227</v>
      </c>
      <c r="J42" s="3725">
        <f>SUMIF(122:122,I42,123:123)-SUMIF(122:122,C42,123:123)+100</f>
        <v>100</v>
      </c>
      <c r="K42" s="2803">
        <v>1</v>
      </c>
      <c r="L42" s="1980"/>
      <c r="M42" s="1975"/>
      <c r="N42" s="1975"/>
      <c r="O42" s="1975"/>
      <c r="P42" s="4634"/>
      <c r="Q42" s="1507" t="str">
        <f t="shared" si="11"/>
        <v>内部装修</v>
      </c>
      <c r="R42" s="3735" t="s">
        <v>16</v>
      </c>
      <c r="S42" s="3157">
        <f t="shared" si="12"/>
        <v>100</v>
      </c>
      <c r="T42" s="3735" t="s">
        <v>16</v>
      </c>
      <c r="U42" s="3157">
        <f t="shared" si="13"/>
        <v>100</v>
      </c>
      <c r="V42" s="3735" t="s">
        <v>16</v>
      </c>
      <c r="W42" s="3157">
        <f t="shared" si="14"/>
        <v>100</v>
      </c>
      <c r="X42" s="909"/>
      <c r="Y42" s="4585"/>
      <c r="Z42" s="907" t="str">
        <f t="shared" si="18"/>
        <v>内部装修</v>
      </c>
      <c r="AA42" s="907">
        <f t="shared" si="15"/>
        <v>1</v>
      </c>
      <c r="AB42" s="907">
        <f t="shared" si="16"/>
        <v>1</v>
      </c>
      <c r="AC42" s="907">
        <f t="shared" si="17"/>
        <v>1</v>
      </c>
    </row>
    <row r="43" spans="1:29" ht="15">
      <c r="A43" s="280"/>
      <c r="B43" s="2789" t="s">
        <v>1614</v>
      </c>
      <c r="C43" s="2826" t="s">
        <v>3602</v>
      </c>
      <c r="D43" s="2890">
        <v>100</v>
      </c>
      <c r="E43" s="2869" t="s">
        <v>3602</v>
      </c>
      <c r="F43" s="3728">
        <f>SUMIF(124:124,E43,125:125)-SUMIF(124:124,C43,125:125)+100</f>
        <v>100</v>
      </c>
      <c r="G43" s="2826" t="s">
        <v>3602</v>
      </c>
      <c r="H43" s="3725">
        <f>SUMIF(124:124,G43,125:125)-SUMIF(124:124,C43,125:125)+100</f>
        <v>100</v>
      </c>
      <c r="I43" s="2869" t="s">
        <v>3602</v>
      </c>
      <c r="J43" s="3725">
        <f>SUMIF(124:124,I43,125:125)-SUMIF(124:124,C43,125:125)+100</f>
        <v>100</v>
      </c>
      <c r="K43" s="2803">
        <v>1</v>
      </c>
      <c r="L43" s="1980"/>
      <c r="M43" s="1975"/>
      <c r="N43" s="1975"/>
      <c r="O43" s="1975"/>
      <c r="P43" s="4634"/>
      <c r="Q43" s="1507" t="str">
        <f t="shared" si="11"/>
        <v>内部装修维护情况</v>
      </c>
      <c r="R43" s="3735" t="s">
        <v>16</v>
      </c>
      <c r="S43" s="3157">
        <f t="shared" si="12"/>
        <v>100</v>
      </c>
      <c r="T43" s="3735" t="s">
        <v>16</v>
      </c>
      <c r="U43" s="3157">
        <f t="shared" si="13"/>
        <v>100</v>
      </c>
      <c r="V43" s="3735" t="s">
        <v>16</v>
      </c>
      <c r="W43" s="3157">
        <f t="shared" si="14"/>
        <v>100</v>
      </c>
      <c r="X43" s="909"/>
      <c r="Y43" s="4585"/>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634"/>
      <c r="Q44" s="1698">
        <f t="shared" si="11"/>
        <v>111</v>
      </c>
      <c r="R44" s="3633" t="s">
        <v>16</v>
      </c>
      <c r="S44" s="3156">
        <f t="shared" si="12"/>
        <v>100</v>
      </c>
      <c r="T44" s="3633" t="s">
        <v>16</v>
      </c>
      <c r="U44" s="3156">
        <f t="shared" si="13"/>
        <v>100</v>
      </c>
      <c r="V44" s="3633" t="s">
        <v>16</v>
      </c>
      <c r="W44" s="3156">
        <f t="shared" si="14"/>
        <v>100</v>
      </c>
      <c r="X44" s="482"/>
      <c r="Y44" s="4585"/>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634"/>
      <c r="Q45" s="1507">
        <f t="shared" si="11"/>
        <v>111</v>
      </c>
      <c r="R45" s="3735" t="s">
        <v>16</v>
      </c>
      <c r="S45" s="3157">
        <f t="shared" si="12"/>
        <v>100</v>
      </c>
      <c r="T45" s="3735" t="s">
        <v>16</v>
      </c>
      <c r="U45" s="3157">
        <f t="shared" si="13"/>
        <v>100</v>
      </c>
      <c r="V45" s="3735" t="s">
        <v>16</v>
      </c>
      <c r="W45" s="3157">
        <f t="shared" si="14"/>
        <v>100</v>
      </c>
      <c r="X45" s="909"/>
      <c r="Y45" s="4585"/>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635"/>
      <c r="Q46" s="1507">
        <f t="shared" si="11"/>
        <v>111</v>
      </c>
      <c r="R46" s="3735" t="s">
        <v>15</v>
      </c>
      <c r="S46" s="3157">
        <f t="shared" si="12"/>
        <v>100</v>
      </c>
      <c r="T46" s="3735" t="s">
        <v>15</v>
      </c>
      <c r="U46" s="3157">
        <f t="shared" si="13"/>
        <v>100</v>
      </c>
      <c r="V46" s="3735" t="s">
        <v>15</v>
      </c>
      <c r="W46" s="3157">
        <f t="shared" si="14"/>
        <v>100</v>
      </c>
      <c r="X46" s="909"/>
      <c r="Y46" s="4636"/>
      <c r="Z46" s="907">
        <f t="shared" si="18"/>
        <v>111</v>
      </c>
      <c r="AA46" s="907">
        <f t="shared" si="15"/>
        <v>1</v>
      </c>
      <c r="AB46" s="907">
        <f t="shared" si="16"/>
        <v>1</v>
      </c>
      <c r="AC46" s="907">
        <f t="shared" si="17"/>
        <v>1</v>
      </c>
    </row>
    <row r="47" spans="1:29" ht="15">
      <c r="A47" s="286" t="s">
        <v>1615</v>
      </c>
      <c r="B47" s="287"/>
      <c r="C47" s="765" t="s">
        <v>14</v>
      </c>
      <c r="D47" s="288"/>
      <c r="E47" s="3205">
        <f>住宅!F11</f>
        <v>78553</v>
      </c>
      <c r="F47" s="766"/>
      <c r="G47" s="3206">
        <v>71474</v>
      </c>
      <c r="H47" s="767"/>
      <c r="I47" s="3205">
        <f>住宅!F3</f>
        <v>77856</v>
      </c>
      <c r="J47" s="767"/>
      <c r="K47" s="2808"/>
      <c r="L47" s="1982"/>
      <c r="M47" s="1975"/>
      <c r="N47" s="1975"/>
      <c r="O47" s="1975"/>
      <c r="P47" s="4578" t="str">
        <f>A47</f>
        <v>成交单价（元/平方米）</v>
      </c>
      <c r="Q47" s="4578"/>
      <c r="R47" s="4570">
        <f>E47</f>
        <v>78553</v>
      </c>
      <c r="S47" s="4570"/>
      <c r="T47" s="4570">
        <f>G47</f>
        <v>71474</v>
      </c>
      <c r="U47" s="4570"/>
      <c r="V47" s="4570">
        <f>I47</f>
        <v>77856</v>
      </c>
      <c r="W47" s="4570"/>
      <c r="X47" s="265"/>
      <c r="Y47" s="486"/>
      <c r="Z47" s="265"/>
      <c r="AA47" s="265"/>
      <c r="AB47" s="265"/>
      <c r="AC47" s="265"/>
    </row>
    <row r="48" spans="1:29" ht="15.75" thickBot="1">
      <c r="A48" s="289" t="s">
        <v>1616</v>
      </c>
      <c r="B48" s="290"/>
      <c r="C48" s="3733">
        <f>R49</f>
        <v>76736</v>
      </c>
      <c r="D48" s="3846" t="s">
        <v>2042</v>
      </c>
      <c r="E48" s="2885">
        <f>R48</f>
        <v>78553</v>
      </c>
      <c r="F48" s="2801"/>
      <c r="G48" s="2884">
        <f>T48</f>
        <v>72211</v>
      </c>
      <c r="H48" s="2801"/>
      <c r="I48" s="2885">
        <f>V48</f>
        <v>79445</v>
      </c>
      <c r="J48" s="2801"/>
      <c r="K48" s="2855">
        <f>F48+H48+J48</f>
        <v>0</v>
      </c>
      <c r="L48" s="1982"/>
      <c r="M48" s="1975"/>
      <c r="N48" s="1975"/>
      <c r="O48" s="1975"/>
      <c r="P48" s="4578" t="str">
        <f>A48</f>
        <v>比较价值（元/平方米）</v>
      </c>
      <c r="Q48" s="4578"/>
      <c r="R48" s="4570">
        <f>IF(F1="售价",ROUND(PRODUCT(R47,AA7:AA46),0),ROUND(PRODUCT(R47,AA7:AA46),1))</f>
        <v>78553</v>
      </c>
      <c r="S48" s="4570"/>
      <c r="T48" s="4570">
        <f>IF(F1="售价",ROUND(PRODUCT(T47,AB7:AB46),0),ROUND(PRODUCT(T47,AB7:AB46),1))</f>
        <v>72211</v>
      </c>
      <c r="U48" s="4570"/>
      <c r="V48" s="4570">
        <f>IF(F1="售价",ROUND(PRODUCT(V47,AC7:AC46),0),ROUND(PRODUCT(V47,AC7:AC46),1))</f>
        <v>79445</v>
      </c>
      <c r="W48" s="4570"/>
      <c r="X48" s="265"/>
      <c r="Y48" s="265"/>
      <c r="Z48" s="265"/>
      <c r="AA48" s="265"/>
      <c r="AB48" s="265"/>
      <c r="AC48" s="265"/>
    </row>
    <row r="49" spans="1:29" ht="15.75" thickBot="1">
      <c r="A49" s="291" t="s">
        <v>1617</v>
      </c>
      <c r="B49" s="292"/>
      <c r="C49" s="3734">
        <f>R49</f>
        <v>76736</v>
      </c>
      <c r="D49" s="241"/>
      <c r="E49" s="241"/>
      <c r="F49" s="241"/>
      <c r="G49" s="241"/>
      <c r="H49" s="241"/>
      <c r="I49" s="241"/>
      <c r="J49" s="241"/>
      <c r="K49" s="1372"/>
      <c r="L49" s="1982"/>
      <c r="M49" s="1975"/>
      <c r="N49" s="1975"/>
      <c r="O49" s="1975"/>
      <c r="P49" s="4571" t="str">
        <f>A49</f>
        <v>估价对象XX用房的比较价值（楼面单价，元/平方米）</v>
      </c>
      <c r="Q49" s="4572"/>
      <c r="R49" s="4573">
        <f>IF(F1="售价",ROUND(IF(D48="简单平均",AVERAGE(R48:V48),R48*F48+T48*H48+V48*J48),0),ROUND(IF(D48="简单平均",AVERAGE(R48:V48),R48*F48+T48*H48+V48*J48),1))</f>
        <v>76736</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f>IF(E47&lt;E48,E48/E47-1,E47/E48-1)</f>
        <v>0</v>
      </c>
      <c r="F52" s="299" t="str">
        <f>IF(OR(E52&gt;=0.3,E52&lt;=-0.3),"超过30%","")</f>
        <v/>
      </c>
      <c r="G52" s="298">
        <f>IF(G47&lt;G48,G48/G47-1,G47/G48-1)</f>
        <v>1.0311441922937092E-2</v>
      </c>
      <c r="H52" s="299" t="str">
        <f>IF(OR(G52&gt;=0.3,G52&lt;=-0.3),"超过30%","")</f>
        <v/>
      </c>
      <c r="I52" s="298">
        <f>IF(I47&lt;I48,I48/I47-1,I47/I48-1)</f>
        <v>2.040947390053427E-2</v>
      </c>
      <c r="J52" s="299" t="str">
        <f>IF(OR(I52&gt;=0.3,I52&lt;=-0.3),"超过30%","")</f>
        <v/>
      </c>
      <c r="K52" s="1987"/>
      <c r="L52" s="1983"/>
      <c r="M52" s="1975"/>
      <c r="N52" s="1975"/>
      <c r="O52" s="1975"/>
    </row>
    <row r="53" spans="1:29" ht="13.5" customHeight="1">
      <c r="A53" s="1975"/>
      <c r="B53" s="1975"/>
      <c r="C53" s="296" t="s">
        <v>1619</v>
      </c>
      <c r="D53" s="300"/>
      <c r="E53" s="298">
        <f>IF(E48&lt;G48,G48/E48-1,E48/G48-1)</f>
        <v>8.7825954494467506E-2</v>
      </c>
      <c r="F53" s="299" t="str">
        <f>IF(OR(E53&gt;=0.2,E53&lt;=-0.2),"超过20%","")</f>
        <v/>
      </c>
      <c r="G53" s="298">
        <f>IF(G48&lt;I48,I48/G48-1,G48/I48-1)</f>
        <v>0.10017864314301139</v>
      </c>
      <c r="H53" s="299" t="str">
        <f>IF(OR(G53&gt;=0.2,G53&lt;=-0.2),"超过20%","")</f>
        <v/>
      </c>
      <c r="I53" s="298">
        <f>IF(I48&lt;E48,E48/I48-1,I48/E48-1)</f>
        <v>1.1355390627983741E-2</v>
      </c>
      <c r="J53" s="299" t="str">
        <f>IF(OR(I53&gt;=0.2,I53&lt;=-0.2),"超过20%","")</f>
        <v/>
      </c>
      <c r="K53" s="1987"/>
      <c r="L53" s="1983"/>
      <c r="M53" s="1975"/>
      <c r="N53" s="1975"/>
      <c r="O53" s="1975"/>
    </row>
    <row r="54" spans="1:29" s="301" customFormat="1" ht="13.5" customHeight="1">
      <c r="A54" s="1985"/>
      <c r="B54" s="1985"/>
      <c r="C54" s="296" t="s">
        <v>1620</v>
      </c>
      <c r="D54" s="300"/>
      <c r="E54" s="298">
        <f>IF(E47&lt;G47,G47/E47-1,E47/G47-1)</f>
        <v>9.9043008646500841E-2</v>
      </c>
      <c r="F54" s="299" t="str">
        <f>IF(OR(E54&gt;=0.3,E54&lt;=-0.3),"超过30%","")</f>
        <v/>
      </c>
      <c r="G54" s="298">
        <f>IF(G47&lt;I47,I47/G47-1,G47/I47-1)</f>
        <v>8.9291210789937514E-2</v>
      </c>
      <c r="H54" s="299" t="str">
        <f>IF(OR(G54&gt;=0.3,G54&lt;=-0.3),"超过30%","")</f>
        <v/>
      </c>
      <c r="I54" s="298">
        <f>IF(I47&lt;E47,E47/I47-1,I47/E47-1)</f>
        <v>8.9524249897245944E-3</v>
      </c>
      <c r="J54" s="299" t="str">
        <f>IF(OR(I54&gt;=0.3,I54&lt;=-0.3),"超过30%","")</f>
        <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t="str">
        <f>C9</f>
        <v>住宅</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3863</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98</v>
      </c>
      <c r="E69" s="337">
        <f t="shared" si="21"/>
        <v>96</v>
      </c>
      <c r="F69" s="337">
        <f t="shared" si="21"/>
        <v>94</v>
      </c>
      <c r="G69" s="337">
        <f t="shared" si="21"/>
        <v>92</v>
      </c>
      <c r="H69" s="337">
        <f t="shared" si="21"/>
        <v>90</v>
      </c>
      <c r="I69" s="337">
        <f t="shared" si="21"/>
        <v>88</v>
      </c>
      <c r="J69" s="337">
        <f t="shared" si="21"/>
        <v>86</v>
      </c>
      <c r="K69" s="337">
        <f t="shared" si="21"/>
        <v>84</v>
      </c>
      <c r="L69" s="337">
        <f t="shared" si="21"/>
        <v>82</v>
      </c>
      <c r="M69" s="338">
        <f t="shared" si="21"/>
        <v>80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98</v>
      </c>
      <c r="E77" s="337">
        <f>D77-$K15</f>
        <v>96</v>
      </c>
      <c r="F77" s="337">
        <f>E77-$K15</f>
        <v>94</v>
      </c>
      <c r="G77" s="337">
        <f>F77-$K15</f>
        <v>92</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98</v>
      </c>
      <c r="E79" s="337">
        <f>D79-$K17</f>
        <v>96</v>
      </c>
      <c r="F79" s="337">
        <f>E79-$K17</f>
        <v>94</v>
      </c>
      <c r="G79" s="337">
        <f>F79-$K17</f>
        <v>92</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98</v>
      </c>
      <c r="E81" s="337">
        <f>D81-$K19</f>
        <v>96</v>
      </c>
      <c r="F81" s="337">
        <f>E81-$K19</f>
        <v>94</v>
      </c>
      <c r="G81" s="337">
        <f>F81-$K19</f>
        <v>92</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98</v>
      </c>
      <c r="E85" s="337">
        <f>D85-$K23</f>
        <v>96</v>
      </c>
      <c r="F85" s="337">
        <f>E85-$K23</f>
        <v>94</v>
      </c>
      <c r="G85" s="337">
        <f>F85-$K23</f>
        <v>92</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t="s">
        <v>4223</v>
      </c>
      <c r="D100" s="324" t="s">
        <v>4224</v>
      </c>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99</v>
      </c>
      <c r="E101" s="337">
        <f t="shared" si="25"/>
        <v>98</v>
      </c>
      <c r="F101" s="337">
        <f t="shared" si="25"/>
        <v>97</v>
      </c>
      <c r="G101" s="337">
        <f t="shared" si="25"/>
        <v>96</v>
      </c>
      <c r="H101" s="337">
        <f t="shared" si="25"/>
        <v>95</v>
      </c>
      <c r="I101" s="337">
        <f t="shared" si="25"/>
        <v>94</v>
      </c>
      <c r="J101" s="337">
        <f t="shared" si="25"/>
        <v>93</v>
      </c>
      <c r="K101" s="337">
        <f t="shared" si="25"/>
        <v>92</v>
      </c>
      <c r="L101" s="337">
        <f t="shared" si="25"/>
        <v>91</v>
      </c>
      <c r="M101" s="337">
        <f t="shared" si="25"/>
        <v>90</v>
      </c>
      <c r="N101" s="612"/>
      <c r="O101" s="612"/>
      <c r="P101" s="1379"/>
      <c r="Q101" s="302"/>
    </row>
    <row r="102" spans="1:17" ht="29.25" thickTop="1">
      <c r="A102" s="254"/>
      <c r="B102" s="331" t="s">
        <v>1644</v>
      </c>
      <c r="C102" s="368" t="str">
        <f>C103&amp;"(含)"&amp;"-"&amp;D103</f>
        <v>0(含)-50000</v>
      </c>
      <c r="D102" s="368" t="str">
        <f t="shared" ref="D102:L102" si="26">D103&amp;"(含)"&amp;"-"&amp;E103</f>
        <v>50000(含)-100000</v>
      </c>
      <c r="E102" s="368" t="str">
        <f t="shared" si="26"/>
        <v>100000(含)-150000</v>
      </c>
      <c r="F102" s="368" t="str">
        <f t="shared" si="26"/>
        <v>150000(含)-200000</v>
      </c>
      <c r="G102" s="368" t="str">
        <f t="shared" si="26"/>
        <v>200000(含)-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50000</v>
      </c>
      <c r="E103" s="5">
        <v>100000</v>
      </c>
      <c r="F103" s="5">
        <v>150000</v>
      </c>
      <c r="G103" s="5">
        <v>200000</v>
      </c>
      <c r="H103" s="5"/>
      <c r="I103" s="5"/>
      <c r="J103" s="383"/>
      <c r="K103" s="383"/>
      <c r="L103" s="384"/>
      <c r="M103" s="385"/>
      <c r="N103" s="613"/>
      <c r="O103" s="613"/>
      <c r="P103" s="1380"/>
      <c r="Q103" s="351"/>
    </row>
    <row r="104" spans="1:17" s="279" customFormat="1" ht="15.75" thickBot="1">
      <c r="A104" s="346"/>
      <c r="B104" s="336"/>
      <c r="C104" s="352">
        <v>100</v>
      </c>
      <c r="D104" s="329">
        <v>101</v>
      </c>
      <c r="E104" s="329">
        <v>102</v>
      </c>
      <c r="F104" s="329">
        <v>103</v>
      </c>
      <c r="G104" s="329">
        <v>104</v>
      </c>
      <c r="H104" s="329"/>
      <c r="I104" s="329"/>
      <c r="J104" s="329"/>
      <c r="K104" s="329"/>
      <c r="L104" s="329"/>
      <c r="M104" s="329"/>
      <c r="N104" s="612"/>
      <c r="O104" s="612"/>
      <c r="P104" s="1380"/>
      <c r="Q104" s="351"/>
    </row>
    <row r="105" spans="1:17" ht="15" thickTop="1">
      <c r="A105" s="280"/>
      <c r="B105" s="331" t="s">
        <v>1645</v>
      </c>
      <c r="C105" s="347" t="s">
        <v>4225</v>
      </c>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99</v>
      </c>
      <c r="E106" s="337">
        <f t="shared" si="27"/>
        <v>98</v>
      </c>
      <c r="F106" s="337">
        <f t="shared" si="27"/>
        <v>97</v>
      </c>
      <c r="G106" s="337">
        <f t="shared" si="27"/>
        <v>96</v>
      </c>
      <c r="H106" s="337">
        <f t="shared" si="27"/>
        <v>95</v>
      </c>
      <c r="I106" s="337">
        <f t="shared" si="27"/>
        <v>94</v>
      </c>
      <c r="J106" s="337">
        <f t="shared" si="27"/>
        <v>93</v>
      </c>
      <c r="K106" s="337">
        <f t="shared" si="27"/>
        <v>92</v>
      </c>
      <c r="L106" s="337">
        <f t="shared" si="27"/>
        <v>91</v>
      </c>
      <c r="M106" s="337">
        <f t="shared" si="27"/>
        <v>90</v>
      </c>
      <c r="N106" s="612"/>
      <c r="O106" s="612"/>
      <c r="P106" s="1379"/>
      <c r="Q106" s="302"/>
    </row>
    <row r="107" spans="1:17" ht="15" thickTop="1">
      <c r="A107" s="280"/>
      <c r="B107" s="331" t="s">
        <v>1646</v>
      </c>
      <c r="C107" s="372" t="s">
        <v>4226</v>
      </c>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99</v>
      </c>
      <c r="E108" s="337">
        <f t="shared" si="28"/>
        <v>98</v>
      </c>
      <c r="F108" s="337">
        <f t="shared" si="28"/>
        <v>97</v>
      </c>
      <c r="G108" s="337">
        <f t="shared" si="28"/>
        <v>96</v>
      </c>
      <c r="H108" s="337">
        <f t="shared" si="28"/>
        <v>95</v>
      </c>
      <c r="I108" s="337">
        <f t="shared" si="28"/>
        <v>94</v>
      </c>
      <c r="J108" s="337">
        <f t="shared" si="28"/>
        <v>93</v>
      </c>
      <c r="K108" s="337">
        <f t="shared" si="28"/>
        <v>92</v>
      </c>
      <c r="L108" s="337">
        <f t="shared" si="28"/>
        <v>91</v>
      </c>
      <c r="M108" s="337">
        <f t="shared" si="28"/>
        <v>90</v>
      </c>
      <c r="N108" s="612"/>
      <c r="O108" s="612"/>
      <c r="P108" s="1379"/>
      <c r="Q108" s="302"/>
    </row>
    <row r="109" spans="1:17" ht="15" thickTop="1">
      <c r="A109" s="280"/>
      <c r="B109" s="331" t="s">
        <v>1647</v>
      </c>
      <c r="C109" s="347" t="s">
        <v>4227</v>
      </c>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99</v>
      </c>
      <c r="E110" s="337">
        <f t="shared" si="29"/>
        <v>98</v>
      </c>
      <c r="F110" s="337">
        <f t="shared" si="29"/>
        <v>97</v>
      </c>
      <c r="G110" s="337">
        <f t="shared" si="29"/>
        <v>96</v>
      </c>
      <c r="H110" s="337">
        <f t="shared" si="29"/>
        <v>95</v>
      </c>
      <c r="I110" s="337">
        <f t="shared" si="29"/>
        <v>94</v>
      </c>
      <c r="J110" s="337">
        <f t="shared" si="29"/>
        <v>93</v>
      </c>
      <c r="K110" s="337">
        <f t="shared" si="29"/>
        <v>92</v>
      </c>
      <c r="L110" s="337">
        <f t="shared" si="29"/>
        <v>91</v>
      </c>
      <c r="M110" s="337">
        <f t="shared" si="29"/>
        <v>90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101</v>
      </c>
      <c r="E113" s="337">
        <f>D113+$K37</f>
        <v>102</v>
      </c>
      <c r="F113" s="337">
        <f>E113+$K37</f>
        <v>103</v>
      </c>
      <c r="G113" s="337">
        <f>F113+$K37</f>
        <v>104</v>
      </c>
      <c r="H113" s="337">
        <f>G113+$K37</f>
        <v>105</v>
      </c>
      <c r="I113" s="337">
        <f t="shared" ref="I113:M113" si="32">H113+$K37</f>
        <v>106</v>
      </c>
      <c r="J113" s="337">
        <f t="shared" si="32"/>
        <v>107</v>
      </c>
      <c r="K113" s="337">
        <f t="shared" si="32"/>
        <v>108</v>
      </c>
      <c r="L113" s="337">
        <f t="shared" si="32"/>
        <v>109</v>
      </c>
      <c r="M113" s="337">
        <f t="shared" si="32"/>
        <v>110</v>
      </c>
      <c r="N113" s="613"/>
      <c r="O113" s="613"/>
      <c r="P113" s="1380"/>
      <c r="Q113" s="351"/>
    </row>
    <row r="114" spans="1:17" ht="15" thickTop="1">
      <c r="A114" s="280"/>
      <c r="B114" s="331" t="s">
        <v>1648</v>
      </c>
      <c r="C114" s="347" t="s">
        <v>4228</v>
      </c>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99</v>
      </c>
      <c r="E115" s="337">
        <f t="shared" si="33"/>
        <v>98</v>
      </c>
      <c r="F115" s="337">
        <f t="shared" si="33"/>
        <v>97</v>
      </c>
      <c r="G115" s="337">
        <f t="shared" si="33"/>
        <v>96</v>
      </c>
      <c r="H115" s="337">
        <f t="shared" si="33"/>
        <v>95</v>
      </c>
      <c r="I115" s="337">
        <f t="shared" si="33"/>
        <v>94</v>
      </c>
      <c r="J115" s="337">
        <f t="shared" si="33"/>
        <v>93</v>
      </c>
      <c r="K115" s="337">
        <f t="shared" si="33"/>
        <v>92</v>
      </c>
      <c r="L115" s="337">
        <f t="shared" si="33"/>
        <v>91</v>
      </c>
      <c r="M115" s="337">
        <f t="shared" si="33"/>
        <v>90</v>
      </c>
      <c r="N115" s="612"/>
      <c r="O115" s="612"/>
      <c r="P115" s="1379"/>
      <c r="Q115" s="302"/>
    </row>
    <row r="116" spans="1:17" ht="15" thickTop="1">
      <c r="A116" s="280"/>
      <c r="B116" s="331" t="s">
        <v>1649</v>
      </c>
      <c r="C116" s="4271" t="s">
        <v>4233</v>
      </c>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99</v>
      </c>
      <c r="E117" s="337">
        <f>D117-$K39</f>
        <v>98</v>
      </c>
      <c r="F117" s="337">
        <f>E117-$K39</f>
        <v>97</v>
      </c>
      <c r="G117" s="337">
        <f>F117-$K39</f>
        <v>96</v>
      </c>
      <c r="H117" s="337"/>
      <c r="I117" s="337"/>
      <c r="J117" s="337"/>
      <c r="K117" s="337"/>
      <c r="L117" s="337"/>
      <c r="M117" s="338"/>
      <c r="N117" s="612"/>
      <c r="O117" s="612"/>
      <c r="P117" s="1379"/>
      <c r="Q117" s="302"/>
    </row>
    <row r="118" spans="1:17" ht="15" thickTop="1">
      <c r="A118" s="280"/>
      <c r="B118" s="331" t="s">
        <v>1650</v>
      </c>
      <c r="C118" s="372" t="s">
        <v>4229</v>
      </c>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99</v>
      </c>
      <c r="E119" s="337">
        <f t="shared" si="34"/>
        <v>98</v>
      </c>
      <c r="F119" s="337">
        <f t="shared" si="34"/>
        <v>97</v>
      </c>
      <c r="G119" s="337">
        <f t="shared" si="34"/>
        <v>96</v>
      </c>
      <c r="H119" s="337">
        <f t="shared" si="34"/>
        <v>95</v>
      </c>
      <c r="I119" s="337">
        <f t="shared" si="34"/>
        <v>94</v>
      </c>
      <c r="J119" s="337">
        <f t="shared" si="34"/>
        <v>93</v>
      </c>
      <c r="K119" s="337">
        <f t="shared" si="34"/>
        <v>92</v>
      </c>
      <c r="L119" s="337">
        <f t="shared" si="34"/>
        <v>91</v>
      </c>
      <c r="M119" s="337">
        <f t="shared" si="34"/>
        <v>90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t="s">
        <v>4227</v>
      </c>
      <c r="D122" s="347" t="s">
        <v>4230</v>
      </c>
      <c r="E122" s="347" t="s">
        <v>4231</v>
      </c>
      <c r="F122" s="372" t="s">
        <v>4232</v>
      </c>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99</v>
      </c>
      <c r="E123" s="337">
        <f t="shared" si="35"/>
        <v>98</v>
      </c>
      <c r="F123" s="337">
        <f t="shared" si="35"/>
        <v>97</v>
      </c>
      <c r="G123" s="337">
        <f t="shared" si="35"/>
        <v>96</v>
      </c>
      <c r="H123" s="337">
        <f t="shared" si="35"/>
        <v>95</v>
      </c>
      <c r="I123" s="337">
        <f t="shared" si="35"/>
        <v>94</v>
      </c>
      <c r="J123" s="337">
        <f t="shared" si="35"/>
        <v>93</v>
      </c>
      <c r="K123" s="337">
        <f t="shared" si="35"/>
        <v>92</v>
      </c>
      <c r="L123" s="337">
        <f t="shared" si="35"/>
        <v>91</v>
      </c>
      <c r="M123" s="337">
        <f t="shared" si="35"/>
        <v>90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99</v>
      </c>
      <c r="E125" s="337">
        <f>D125-$K43</f>
        <v>98</v>
      </c>
      <c r="F125" s="337">
        <f>E125-$K43</f>
        <v>97</v>
      </c>
      <c r="G125" s="337">
        <f>F125-$K43</f>
        <v>96</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82371.62</v>
      </c>
      <c r="E3" s="3847" t="s">
        <v>3466</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90" t="s">
        <v>1677</v>
      </c>
      <c r="D4" s="4591"/>
      <c r="E4" s="4592" t="s">
        <v>1678</v>
      </c>
      <c r="F4" s="4593"/>
      <c r="G4" s="4590" t="s">
        <v>1679</v>
      </c>
      <c r="H4" s="4591"/>
      <c r="I4" s="4590" t="s">
        <v>1680</v>
      </c>
      <c r="J4" s="4591"/>
      <c r="K4" s="2863" t="s">
        <v>1681</v>
      </c>
      <c r="L4" s="1974"/>
      <c r="M4" s="1975"/>
      <c r="N4" s="1975"/>
      <c r="O4" s="1975"/>
      <c r="P4" s="4594" t="s">
        <v>1682</v>
      </c>
      <c r="Q4" s="4595"/>
      <c r="R4" s="4600" t="s">
        <v>1678</v>
      </c>
      <c r="S4" s="4601"/>
      <c r="T4" s="4600" t="s">
        <v>1679</v>
      </c>
      <c r="U4" s="4601"/>
      <c r="V4" s="4606" t="s">
        <v>1680</v>
      </c>
      <c r="W4" s="4606"/>
      <c r="X4" s="909"/>
      <c r="Y4" s="4615" t="s">
        <v>1682</v>
      </c>
      <c r="Z4" s="4616"/>
      <c r="AA4" s="4587" t="s">
        <v>1678</v>
      </c>
      <c r="AB4" s="4642" t="s">
        <v>1679</v>
      </c>
      <c r="AC4" s="4587" t="s">
        <v>1680</v>
      </c>
    </row>
    <row r="5" spans="1:29" ht="15">
      <c r="A5" s="238"/>
      <c r="B5" s="239"/>
      <c r="C5" s="4609" t="s">
        <v>1580</v>
      </c>
      <c r="D5" s="4610"/>
      <c r="E5" s="4624" t="s">
        <v>1581</v>
      </c>
      <c r="F5" s="4625"/>
      <c r="G5" s="4609" t="s">
        <v>1582</v>
      </c>
      <c r="H5" s="4610"/>
      <c r="I5" s="4609" t="s">
        <v>1583</v>
      </c>
      <c r="J5" s="4610"/>
      <c r="K5" s="2863"/>
      <c r="L5" s="1974"/>
      <c r="M5" s="1975"/>
      <c r="N5" s="1975"/>
      <c r="O5" s="1975"/>
      <c r="P5" s="4596"/>
      <c r="Q5" s="4597"/>
      <c r="R5" s="4602"/>
      <c r="S5" s="4603"/>
      <c r="T5" s="4602"/>
      <c r="U5" s="4603"/>
      <c r="V5" s="4606"/>
      <c r="W5" s="4606"/>
      <c r="X5" s="909"/>
      <c r="Y5" s="4617"/>
      <c r="Z5" s="4618"/>
      <c r="AA5" s="4588"/>
      <c r="AB5" s="4642"/>
      <c r="AC5" s="4588"/>
    </row>
    <row r="6" spans="1:29" ht="15.75" thickBot="1">
      <c r="A6" s="240"/>
      <c r="B6" s="241"/>
      <c r="C6" s="4607" t="s">
        <v>1584</v>
      </c>
      <c r="D6" s="4608"/>
      <c r="E6" s="4622" t="s">
        <v>1584</v>
      </c>
      <c r="F6" s="4623"/>
      <c r="G6" s="4607" t="s">
        <v>1584</v>
      </c>
      <c r="H6" s="4608"/>
      <c r="I6" s="4607" t="s">
        <v>1584</v>
      </c>
      <c r="J6" s="4608"/>
      <c r="K6" s="2863" t="s">
        <v>1585</v>
      </c>
      <c r="L6" s="1974"/>
      <c r="M6" s="1975"/>
      <c r="N6" s="1975"/>
      <c r="O6" s="1975"/>
      <c r="P6" s="4598"/>
      <c r="Q6" s="4599"/>
      <c r="R6" s="4602"/>
      <c r="S6" s="4603"/>
      <c r="T6" s="4604"/>
      <c r="U6" s="4605"/>
      <c r="V6" s="4606"/>
      <c r="W6" s="4606"/>
      <c r="X6" s="909"/>
      <c r="Y6" s="4619"/>
      <c r="Z6" s="4620"/>
      <c r="AA6" s="4589"/>
      <c r="AB6" s="4642"/>
      <c r="AC6" s="4589"/>
    </row>
    <row r="7" spans="1:29" s="46" customFormat="1" ht="15.75" thickBot="1">
      <c r="A7" s="242" t="s">
        <v>1586</v>
      </c>
      <c r="B7" s="243"/>
      <c r="C7" s="244">
        <f>'数据-取费表'!B2</f>
        <v>46091</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611" t="s">
        <v>1587</v>
      </c>
      <c r="Q7" s="4621"/>
      <c r="R7" s="3633" t="s">
        <v>13</v>
      </c>
      <c r="S7" s="3156">
        <f t="shared" ref="S7:S15" si="0">F7</f>
        <v>0</v>
      </c>
      <c r="T7" s="3633" t="s">
        <v>13</v>
      </c>
      <c r="U7" s="3156">
        <f t="shared" ref="U7:U15" si="1">H7</f>
        <v>0</v>
      </c>
      <c r="V7" s="3633" t="s">
        <v>13</v>
      </c>
      <c r="W7" s="3156">
        <f t="shared" ref="W7:W15" si="2">J7</f>
        <v>0</v>
      </c>
      <c r="X7" s="482"/>
      <c r="Y7" s="4613" t="s">
        <v>1587</v>
      </c>
      <c r="Z7" s="4614"/>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611" t="s">
        <v>1590</v>
      </c>
      <c r="Q8" s="4612"/>
      <c r="R8" s="3633" t="s">
        <v>13</v>
      </c>
      <c r="S8" s="3156">
        <f t="shared" si="0"/>
        <v>100</v>
      </c>
      <c r="T8" s="3633" t="s">
        <v>13</v>
      </c>
      <c r="U8" s="3156">
        <f t="shared" si="1"/>
        <v>100</v>
      </c>
      <c r="V8" s="3633" t="s">
        <v>13</v>
      </c>
      <c r="W8" s="3156">
        <f t="shared" si="2"/>
        <v>100</v>
      </c>
      <c r="X8" s="482"/>
      <c r="Y8" s="4613" t="s">
        <v>1590</v>
      </c>
      <c r="Z8" s="4614"/>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639" t="s">
        <v>1593</v>
      </c>
      <c r="Q9" s="1698" t="str">
        <f t="shared" ref="Q9:Q15" si="6">B9</f>
        <v>用途</v>
      </c>
      <c r="R9" s="3633" t="s">
        <v>13</v>
      </c>
      <c r="S9" s="3156">
        <f t="shared" si="0"/>
        <v>100</v>
      </c>
      <c r="T9" s="3633" t="s">
        <v>13</v>
      </c>
      <c r="U9" s="3156">
        <f t="shared" si="1"/>
        <v>100</v>
      </c>
      <c r="V9" s="3633" t="s">
        <v>13</v>
      </c>
      <c r="W9" s="3156">
        <f t="shared" si="2"/>
        <v>100</v>
      </c>
      <c r="X9" s="482"/>
      <c r="Y9" s="4586"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639"/>
      <c r="Q10" s="1698" t="str">
        <f t="shared" si="6"/>
        <v>土地使用年限（年）</v>
      </c>
      <c r="R10" s="3633" t="s">
        <v>13</v>
      </c>
      <c r="S10" s="3156">
        <f t="shared" si="0"/>
        <v>100</v>
      </c>
      <c r="T10" s="3633" t="s">
        <v>13</v>
      </c>
      <c r="U10" s="3156">
        <f t="shared" si="1"/>
        <v>100</v>
      </c>
      <c r="V10" s="3633" t="s">
        <v>13</v>
      </c>
      <c r="W10" s="3156">
        <f t="shared" si="2"/>
        <v>100</v>
      </c>
      <c r="X10" s="482"/>
      <c r="Y10" s="4586"/>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639"/>
      <c r="Q11" s="1698" t="str">
        <f t="shared" si="6"/>
        <v>容积率</v>
      </c>
      <c r="R11" s="3633" t="s">
        <v>13</v>
      </c>
      <c r="S11" s="3156">
        <f t="shared" si="0"/>
        <v>100</v>
      </c>
      <c r="T11" s="3633" t="s">
        <v>13</v>
      </c>
      <c r="U11" s="3156">
        <f t="shared" si="1"/>
        <v>100</v>
      </c>
      <c r="V11" s="3633" t="s">
        <v>13</v>
      </c>
      <c r="W11" s="3156">
        <f t="shared" si="2"/>
        <v>100</v>
      </c>
      <c r="X11" s="482"/>
      <c r="Y11" s="4586"/>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639"/>
      <c r="Q12" s="1698">
        <f t="shared" si="6"/>
        <v>111</v>
      </c>
      <c r="R12" s="3633" t="s">
        <v>13</v>
      </c>
      <c r="S12" s="3156">
        <f t="shared" si="0"/>
        <v>100</v>
      </c>
      <c r="T12" s="3633" t="s">
        <v>13</v>
      </c>
      <c r="U12" s="3156">
        <f t="shared" si="1"/>
        <v>100</v>
      </c>
      <c r="V12" s="3633" t="s">
        <v>13</v>
      </c>
      <c r="W12" s="3156">
        <f t="shared" si="2"/>
        <v>100</v>
      </c>
      <c r="X12" s="482"/>
      <c r="Y12" s="4586"/>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639"/>
      <c r="Q13" s="1698">
        <f t="shared" si="6"/>
        <v>111</v>
      </c>
      <c r="R13" s="3633" t="s">
        <v>13</v>
      </c>
      <c r="S13" s="3156">
        <f t="shared" si="0"/>
        <v>100</v>
      </c>
      <c r="T13" s="3633" t="s">
        <v>13</v>
      </c>
      <c r="U13" s="3156">
        <f t="shared" si="1"/>
        <v>100</v>
      </c>
      <c r="V13" s="3633" t="s">
        <v>13</v>
      </c>
      <c r="W13" s="3156">
        <f t="shared" si="2"/>
        <v>100</v>
      </c>
      <c r="X13" s="482"/>
      <c r="Y13" s="4586"/>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639"/>
      <c r="Q14" s="1698">
        <f t="shared" si="6"/>
        <v>111</v>
      </c>
      <c r="R14" s="3633" t="s">
        <v>13</v>
      </c>
      <c r="S14" s="3156">
        <f t="shared" si="0"/>
        <v>100</v>
      </c>
      <c r="T14" s="3633" t="s">
        <v>13</v>
      </c>
      <c r="U14" s="3156">
        <f t="shared" si="1"/>
        <v>100</v>
      </c>
      <c r="V14" s="3633" t="s">
        <v>13</v>
      </c>
      <c r="W14" s="3156">
        <f t="shared" si="2"/>
        <v>100</v>
      </c>
      <c r="X14" s="482"/>
      <c r="Y14" s="4586"/>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637" t="s">
        <v>1598</v>
      </c>
      <c r="Q15" s="1507" t="str">
        <f t="shared" si="6"/>
        <v>商业繁华度</v>
      </c>
      <c r="R15" s="3735" t="s">
        <v>13</v>
      </c>
      <c r="S15" s="3157">
        <f t="shared" si="0"/>
        <v>100</v>
      </c>
      <c r="T15" s="3735" t="s">
        <v>13</v>
      </c>
      <c r="U15" s="3157">
        <f t="shared" si="1"/>
        <v>100</v>
      </c>
      <c r="V15" s="3735" t="s">
        <v>13</v>
      </c>
      <c r="W15" s="3157">
        <f t="shared" si="2"/>
        <v>100</v>
      </c>
      <c r="X15" s="909"/>
      <c r="Y15" s="4581"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638"/>
      <c r="Q16" s="1507"/>
      <c r="R16" s="3735"/>
      <c r="S16" s="3157"/>
      <c r="T16" s="3735"/>
      <c r="U16" s="3157"/>
      <c r="V16" s="3735"/>
      <c r="W16" s="3157"/>
      <c r="X16" s="909"/>
      <c r="Y16" s="4582"/>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638"/>
      <c r="Q17" s="1507" t="str">
        <f>B17</f>
        <v>交通便捷度</v>
      </c>
      <c r="R17" s="3735" t="s">
        <v>13</v>
      </c>
      <c r="S17" s="3157">
        <f>F17</f>
        <v>100</v>
      </c>
      <c r="T17" s="3735" t="s">
        <v>13</v>
      </c>
      <c r="U17" s="3157">
        <f>H17</f>
        <v>100</v>
      </c>
      <c r="V17" s="3735" t="s">
        <v>13</v>
      </c>
      <c r="W17" s="3157">
        <f>J17</f>
        <v>100</v>
      </c>
      <c r="X17" s="909"/>
      <c r="Y17" s="4582"/>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638"/>
      <c r="Q18" s="1507"/>
      <c r="R18" s="3735"/>
      <c r="S18" s="3157"/>
      <c r="T18" s="3735"/>
      <c r="U18" s="3157"/>
      <c r="V18" s="3735"/>
      <c r="W18" s="3157"/>
      <c r="X18" s="909"/>
      <c r="Y18" s="4582"/>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638"/>
      <c r="Q19" s="1507" t="str">
        <f>B19</f>
        <v>公共配套设施</v>
      </c>
      <c r="R19" s="3735" t="s">
        <v>13</v>
      </c>
      <c r="S19" s="3157">
        <f>F19</f>
        <v>100</v>
      </c>
      <c r="T19" s="3735" t="s">
        <v>13</v>
      </c>
      <c r="U19" s="3157">
        <f>H19</f>
        <v>100</v>
      </c>
      <c r="V19" s="3735" t="s">
        <v>13</v>
      </c>
      <c r="W19" s="3157">
        <f>J19</f>
        <v>100</v>
      </c>
      <c r="X19" s="909"/>
      <c r="Y19" s="4582"/>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638"/>
      <c r="Q20" s="1507"/>
      <c r="R20" s="3735"/>
      <c r="S20" s="3157"/>
      <c r="T20" s="3735"/>
      <c r="U20" s="3157"/>
      <c r="V20" s="3735"/>
      <c r="W20" s="3157"/>
      <c r="X20" s="909"/>
      <c r="Y20" s="4582"/>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638"/>
      <c r="Q21" s="1507" t="str">
        <f>B21</f>
        <v>基础设施水平</v>
      </c>
      <c r="R21" s="3735" t="s">
        <v>13</v>
      </c>
      <c r="S21" s="3157">
        <f>F21</f>
        <v>100</v>
      </c>
      <c r="T21" s="3735" t="s">
        <v>13</v>
      </c>
      <c r="U21" s="3157">
        <f>H21</f>
        <v>100</v>
      </c>
      <c r="V21" s="3735" t="s">
        <v>13</v>
      </c>
      <c r="W21" s="3157">
        <f>J21</f>
        <v>100</v>
      </c>
      <c r="X21" s="909"/>
      <c r="Y21" s="4582"/>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638"/>
      <c r="Q22" s="1507"/>
      <c r="R22" s="3735"/>
      <c r="S22" s="3157"/>
      <c r="T22" s="3735"/>
      <c r="U22" s="3157"/>
      <c r="V22" s="3735"/>
      <c r="W22" s="3157"/>
      <c r="X22" s="909"/>
      <c r="Y22" s="4582"/>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638"/>
      <c r="Q23" s="1507" t="str">
        <f>B23</f>
        <v>自然及人文环境</v>
      </c>
      <c r="R23" s="3735" t="s">
        <v>13</v>
      </c>
      <c r="S23" s="3157">
        <f>F23</f>
        <v>100</v>
      </c>
      <c r="T23" s="3735" t="s">
        <v>13</v>
      </c>
      <c r="U23" s="3157">
        <f>H23</f>
        <v>100</v>
      </c>
      <c r="V23" s="3735" t="s">
        <v>13</v>
      </c>
      <c r="W23" s="3157">
        <f>J23</f>
        <v>100</v>
      </c>
      <c r="X23" s="909"/>
      <c r="Y23" s="4582"/>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638"/>
      <c r="Q24" s="1507"/>
      <c r="R24" s="3735"/>
      <c r="S24" s="3157"/>
      <c r="T24" s="3735"/>
      <c r="U24" s="3157"/>
      <c r="V24" s="3735"/>
      <c r="W24" s="3157"/>
      <c r="X24" s="909"/>
      <c r="Y24" s="4582"/>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638"/>
      <c r="Q25" s="1507" t="str">
        <f t="shared" ref="Q25:Q46" si="11">B25</f>
        <v>临街状况</v>
      </c>
      <c r="R25" s="3735" t="s">
        <v>13</v>
      </c>
      <c r="S25" s="3157">
        <f>F25</f>
        <v>100</v>
      </c>
      <c r="T25" s="3735" t="s">
        <v>13</v>
      </c>
      <c r="U25" s="3157">
        <f>H25</f>
        <v>100</v>
      </c>
      <c r="V25" s="3735" t="s">
        <v>13</v>
      </c>
      <c r="W25" s="3157">
        <f>J25</f>
        <v>100</v>
      </c>
      <c r="X25" s="909"/>
      <c r="Y25" s="4582"/>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638"/>
      <c r="Q26" s="1507" t="str">
        <f t="shared" si="11"/>
        <v>平面位置/可视性</v>
      </c>
      <c r="R26" s="3735" t="s">
        <v>13</v>
      </c>
      <c r="S26" s="3157">
        <f>F26</f>
        <v>100</v>
      </c>
      <c r="T26" s="3735" t="s">
        <v>13</v>
      </c>
      <c r="U26" s="3157">
        <f>H26</f>
        <v>100</v>
      </c>
      <c r="V26" s="3735" t="s">
        <v>13</v>
      </c>
      <c r="W26" s="3157">
        <f>J26</f>
        <v>100</v>
      </c>
      <c r="X26" s="909"/>
      <c r="Y26" s="4582"/>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638"/>
      <c r="Q27" s="1698" t="str">
        <f t="shared" si="11"/>
        <v>人流量</v>
      </c>
      <c r="R27" s="3633" t="s">
        <v>13</v>
      </c>
      <c r="S27" s="3156">
        <f>F27</f>
        <v>100</v>
      </c>
      <c r="T27" s="3633" t="s">
        <v>13</v>
      </c>
      <c r="U27" s="3156">
        <f>H27</f>
        <v>100</v>
      </c>
      <c r="V27" s="3633" t="s">
        <v>13</v>
      </c>
      <c r="W27" s="3156">
        <f>J27</f>
        <v>100</v>
      </c>
      <c r="X27" s="482"/>
      <c r="Y27" s="4582"/>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638"/>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82"/>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638"/>
      <c r="Q29" s="1507">
        <f t="shared" si="11"/>
        <v>111</v>
      </c>
      <c r="R29" s="3735" t="s">
        <v>13</v>
      </c>
      <c r="S29" s="3157">
        <f t="shared" si="12"/>
        <v>100</v>
      </c>
      <c r="T29" s="3735" t="s">
        <v>13</v>
      </c>
      <c r="U29" s="3157">
        <f t="shared" si="13"/>
        <v>100</v>
      </c>
      <c r="V29" s="3735" t="s">
        <v>13</v>
      </c>
      <c r="W29" s="3157">
        <f t="shared" si="14"/>
        <v>100</v>
      </c>
      <c r="X29" s="909"/>
      <c r="Y29" s="4582"/>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638"/>
      <c r="Q30" s="1507">
        <f t="shared" si="11"/>
        <v>111</v>
      </c>
      <c r="R30" s="3735" t="s">
        <v>13</v>
      </c>
      <c r="S30" s="3157">
        <f t="shared" si="12"/>
        <v>100</v>
      </c>
      <c r="T30" s="3735" t="s">
        <v>13</v>
      </c>
      <c r="U30" s="3157">
        <f t="shared" si="13"/>
        <v>100</v>
      </c>
      <c r="V30" s="3735" t="s">
        <v>13</v>
      </c>
      <c r="W30" s="3157">
        <f t="shared" si="14"/>
        <v>100</v>
      </c>
      <c r="X30" s="909"/>
      <c r="Y30" s="4582"/>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638"/>
      <c r="Q31" s="1507">
        <f t="shared" si="11"/>
        <v>111</v>
      </c>
      <c r="R31" s="3735" t="s">
        <v>13</v>
      </c>
      <c r="S31" s="3157">
        <f t="shared" si="12"/>
        <v>100</v>
      </c>
      <c r="T31" s="3735" t="s">
        <v>13</v>
      </c>
      <c r="U31" s="3157">
        <f t="shared" si="13"/>
        <v>100</v>
      </c>
      <c r="V31" s="3735" t="s">
        <v>13</v>
      </c>
      <c r="W31" s="3157">
        <f t="shared" si="14"/>
        <v>100</v>
      </c>
      <c r="X31" s="909"/>
      <c r="Y31" s="4582"/>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633" t="s">
        <v>1603</v>
      </c>
      <c r="Q32" s="1507" t="str">
        <f t="shared" si="11"/>
        <v>商业类型</v>
      </c>
      <c r="R32" s="3735" t="s">
        <v>13</v>
      </c>
      <c r="S32" s="3157">
        <f t="shared" si="12"/>
        <v>100</v>
      </c>
      <c r="T32" s="3735" t="s">
        <v>13</v>
      </c>
      <c r="U32" s="3157">
        <f t="shared" si="13"/>
        <v>100</v>
      </c>
      <c r="V32" s="3735" t="s">
        <v>13</v>
      </c>
      <c r="W32" s="3157">
        <f t="shared" si="14"/>
        <v>100</v>
      </c>
      <c r="X32" s="909"/>
      <c r="Y32" s="4585"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634"/>
      <c r="Q33" s="2864" t="str">
        <f t="shared" si="11"/>
        <v>项目建筑规模</v>
      </c>
      <c r="R33" s="3736" t="s">
        <v>13</v>
      </c>
      <c r="S33" s="3158" t="e">
        <f t="shared" si="12"/>
        <v>#N/A</v>
      </c>
      <c r="T33" s="3736" t="s">
        <v>13</v>
      </c>
      <c r="U33" s="3158" t="e">
        <f t="shared" si="13"/>
        <v>#N/A</v>
      </c>
      <c r="V33" s="3736" t="s">
        <v>13</v>
      </c>
      <c r="W33" s="3158" t="e">
        <f t="shared" si="14"/>
        <v>#N/A</v>
      </c>
      <c r="X33" s="484"/>
      <c r="Y33" s="4585"/>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634"/>
      <c r="Q34" s="1507" t="str">
        <f t="shared" si="11"/>
        <v>建筑结构</v>
      </c>
      <c r="R34" s="3735" t="s">
        <v>13</v>
      </c>
      <c r="S34" s="3157">
        <f t="shared" si="12"/>
        <v>100</v>
      </c>
      <c r="T34" s="3735" t="s">
        <v>13</v>
      </c>
      <c r="U34" s="3157">
        <f t="shared" si="13"/>
        <v>100</v>
      </c>
      <c r="V34" s="3735" t="s">
        <v>13</v>
      </c>
      <c r="W34" s="3157">
        <f t="shared" si="14"/>
        <v>100</v>
      </c>
      <c r="X34" s="909"/>
      <c r="Y34" s="4585"/>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634"/>
      <c r="Q35" s="1507" t="str">
        <f t="shared" si="11"/>
        <v>公共部分装修</v>
      </c>
      <c r="R35" s="3735" t="s">
        <v>13</v>
      </c>
      <c r="S35" s="3157">
        <f t="shared" si="12"/>
        <v>100</v>
      </c>
      <c r="T35" s="3735" t="s">
        <v>13</v>
      </c>
      <c r="U35" s="3157">
        <f t="shared" si="13"/>
        <v>100</v>
      </c>
      <c r="V35" s="3735" t="s">
        <v>13</v>
      </c>
      <c r="W35" s="3157">
        <f t="shared" si="14"/>
        <v>100</v>
      </c>
      <c r="X35" s="909"/>
      <c r="Y35" s="4585"/>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634"/>
      <c r="Q36" s="1507" t="str">
        <f t="shared" si="11"/>
        <v>成新度</v>
      </c>
      <c r="R36" s="3735" t="s">
        <v>13</v>
      </c>
      <c r="S36" s="3157" t="e">
        <f t="shared" si="12"/>
        <v>#N/A</v>
      </c>
      <c r="T36" s="3735" t="s">
        <v>13</v>
      </c>
      <c r="U36" s="3157" t="e">
        <f t="shared" si="13"/>
        <v>#N/A</v>
      </c>
      <c r="V36" s="3735" t="s">
        <v>13</v>
      </c>
      <c r="W36" s="3157" t="e">
        <f t="shared" si="14"/>
        <v>#N/A</v>
      </c>
      <c r="X36" s="909"/>
      <c r="Y36" s="4585"/>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634"/>
      <c r="Q37" s="1698" t="str">
        <f t="shared" si="11"/>
        <v>市政基础设施</v>
      </c>
      <c r="R37" s="3633" t="s">
        <v>13</v>
      </c>
      <c r="S37" s="3156">
        <f t="shared" si="12"/>
        <v>100</v>
      </c>
      <c r="T37" s="3633" t="s">
        <v>13</v>
      </c>
      <c r="U37" s="3156">
        <f t="shared" si="13"/>
        <v>100</v>
      </c>
      <c r="V37" s="3633" t="s">
        <v>13</v>
      </c>
      <c r="W37" s="3156">
        <f t="shared" si="14"/>
        <v>100</v>
      </c>
      <c r="X37" s="482"/>
      <c r="Y37" s="4585"/>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634" t="s">
        <v>1603</v>
      </c>
      <c r="Q38" s="1507" t="str">
        <f t="shared" si="11"/>
        <v>业态</v>
      </c>
      <c r="R38" s="3735" t="s">
        <v>13</v>
      </c>
      <c r="S38" s="3157">
        <f t="shared" si="12"/>
        <v>100</v>
      </c>
      <c r="T38" s="3735" t="s">
        <v>13</v>
      </c>
      <c r="U38" s="3157">
        <f t="shared" si="13"/>
        <v>100</v>
      </c>
      <c r="V38" s="3735" t="s">
        <v>13</v>
      </c>
      <c r="W38" s="3157">
        <f t="shared" si="14"/>
        <v>100</v>
      </c>
      <c r="X38" s="909"/>
      <c r="Y38" s="4585"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634"/>
      <c r="Q39" s="1507" t="str">
        <f t="shared" si="11"/>
        <v>层高</v>
      </c>
      <c r="R39" s="3735" t="s">
        <v>13</v>
      </c>
      <c r="S39" s="3157">
        <f t="shared" si="12"/>
        <v>100</v>
      </c>
      <c r="T39" s="3735" t="s">
        <v>13</v>
      </c>
      <c r="U39" s="3157">
        <f t="shared" si="13"/>
        <v>100</v>
      </c>
      <c r="V39" s="3735" t="s">
        <v>13</v>
      </c>
      <c r="W39" s="3157">
        <f t="shared" si="14"/>
        <v>100</v>
      </c>
      <c r="X39" s="909"/>
      <c r="Y39" s="4585"/>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634"/>
      <c r="Q40" s="1507" t="str">
        <f t="shared" si="11"/>
        <v>单套建筑面积</v>
      </c>
      <c r="R40" s="3735" t="s">
        <v>13</v>
      </c>
      <c r="S40" s="3157">
        <f t="shared" si="12"/>
        <v>100</v>
      </c>
      <c r="T40" s="3735" t="s">
        <v>13</v>
      </c>
      <c r="U40" s="3157">
        <f t="shared" si="13"/>
        <v>100</v>
      </c>
      <c r="V40" s="3735" t="s">
        <v>13</v>
      </c>
      <c r="W40" s="3157">
        <f t="shared" si="14"/>
        <v>100</v>
      </c>
      <c r="X40" s="909"/>
      <c r="Y40" s="4585"/>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634"/>
      <c r="Q41" s="2864" t="str">
        <f t="shared" si="11"/>
        <v>进深比</v>
      </c>
      <c r="R41" s="3736" t="s">
        <v>13</v>
      </c>
      <c r="S41" s="3158">
        <f t="shared" si="12"/>
        <v>100</v>
      </c>
      <c r="T41" s="3736" t="s">
        <v>13</v>
      </c>
      <c r="U41" s="3158">
        <f t="shared" si="13"/>
        <v>100</v>
      </c>
      <c r="V41" s="3736" t="s">
        <v>13</v>
      </c>
      <c r="W41" s="3158">
        <f t="shared" si="14"/>
        <v>100</v>
      </c>
      <c r="X41" s="484"/>
      <c r="Y41" s="4585"/>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634"/>
      <c r="Q42" s="1507" t="str">
        <f t="shared" si="11"/>
        <v>内部装修</v>
      </c>
      <c r="R42" s="3735" t="s">
        <v>13</v>
      </c>
      <c r="S42" s="3157">
        <f t="shared" si="12"/>
        <v>100</v>
      </c>
      <c r="T42" s="3735" t="s">
        <v>13</v>
      </c>
      <c r="U42" s="3157">
        <f t="shared" si="13"/>
        <v>100</v>
      </c>
      <c r="V42" s="3735" t="s">
        <v>13</v>
      </c>
      <c r="W42" s="3157">
        <f t="shared" si="14"/>
        <v>100</v>
      </c>
      <c r="X42" s="909"/>
      <c r="Y42" s="4585"/>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634"/>
      <c r="Q43" s="1507" t="str">
        <f t="shared" si="11"/>
        <v>内部装修维护情况</v>
      </c>
      <c r="R43" s="3735" t="s">
        <v>13</v>
      </c>
      <c r="S43" s="3157">
        <f t="shared" si="12"/>
        <v>100</v>
      </c>
      <c r="T43" s="3735" t="s">
        <v>13</v>
      </c>
      <c r="U43" s="3157">
        <f t="shared" si="13"/>
        <v>100</v>
      </c>
      <c r="V43" s="3735" t="s">
        <v>13</v>
      </c>
      <c r="W43" s="3157">
        <f t="shared" si="14"/>
        <v>100</v>
      </c>
      <c r="X43" s="909"/>
      <c r="Y43" s="4585"/>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634"/>
      <c r="Q44" s="1698">
        <f t="shared" si="11"/>
        <v>111</v>
      </c>
      <c r="R44" s="3633" t="s">
        <v>13</v>
      </c>
      <c r="S44" s="3156">
        <f t="shared" si="12"/>
        <v>100</v>
      </c>
      <c r="T44" s="3633" t="s">
        <v>13</v>
      </c>
      <c r="U44" s="3156">
        <f t="shared" si="13"/>
        <v>100</v>
      </c>
      <c r="V44" s="3633" t="s">
        <v>13</v>
      </c>
      <c r="W44" s="3156">
        <f t="shared" si="14"/>
        <v>100</v>
      </c>
      <c r="X44" s="482"/>
      <c r="Y44" s="4585"/>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634"/>
      <c r="Q45" s="1507">
        <f t="shared" si="11"/>
        <v>111</v>
      </c>
      <c r="R45" s="3735" t="s">
        <v>13</v>
      </c>
      <c r="S45" s="3157">
        <f t="shared" si="12"/>
        <v>100</v>
      </c>
      <c r="T45" s="3735" t="s">
        <v>13</v>
      </c>
      <c r="U45" s="3157">
        <f t="shared" si="13"/>
        <v>100</v>
      </c>
      <c r="V45" s="3735" t="s">
        <v>13</v>
      </c>
      <c r="W45" s="3157">
        <f t="shared" si="14"/>
        <v>100</v>
      </c>
      <c r="X45" s="909"/>
      <c r="Y45" s="4585"/>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635"/>
      <c r="Q46" s="1507">
        <f t="shared" si="11"/>
        <v>111</v>
      </c>
      <c r="R46" s="3735" t="s">
        <v>13</v>
      </c>
      <c r="S46" s="3157">
        <f t="shared" si="12"/>
        <v>100</v>
      </c>
      <c r="T46" s="3735" t="s">
        <v>13</v>
      </c>
      <c r="U46" s="3157">
        <f t="shared" si="13"/>
        <v>100</v>
      </c>
      <c r="V46" s="3735" t="s">
        <v>13</v>
      </c>
      <c r="W46" s="3157">
        <f t="shared" si="14"/>
        <v>100</v>
      </c>
      <c r="X46" s="909"/>
      <c r="Y46" s="4636"/>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578" t="str">
        <f>A47</f>
        <v>成交单价（元/平方米）</v>
      </c>
      <c r="Q47" s="4578"/>
      <c r="R47" s="4570">
        <f>E47</f>
        <v>0</v>
      </c>
      <c r="S47" s="4570"/>
      <c r="T47" s="4570">
        <f>G47</f>
        <v>0</v>
      </c>
      <c r="U47" s="4570"/>
      <c r="V47" s="4570">
        <f>I47</f>
        <v>0</v>
      </c>
      <c r="W47" s="4570"/>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578" t="str">
        <f>A48</f>
        <v>比较价值（元/平方米）</v>
      </c>
      <c r="Q48" s="4578"/>
      <c r="R48" s="4570" t="e">
        <f>IF(F1="售价",ROUND(PRODUCT(R47,AA7:AA46),0),ROUND(PRODUCT(R47,AA7:AA46),1))</f>
        <v>#DIV/0!</v>
      </c>
      <c r="S48" s="4570"/>
      <c r="T48" s="4570" t="e">
        <f>IF(F1="售价",ROUND(PRODUCT(T47,AB7:AB46),0),ROUND(PRODUCT(T47,AB7:AB46),1))</f>
        <v>#DIV/0!</v>
      </c>
      <c r="U48" s="4570"/>
      <c r="V48" s="4570" t="e">
        <f>IF(F1="售价",ROUND(PRODUCT(V47,AC7:AC46),0),ROUND(PRODUCT(V47,AC7:AC46),1))</f>
        <v>#DIV/0!</v>
      </c>
      <c r="W48" s="4570"/>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3864</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82371.62</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74" t="s">
        <v>1677</v>
      </c>
      <c r="D4" s="4649"/>
      <c r="E4" s="4650" t="s">
        <v>1678</v>
      </c>
      <c r="F4" s="4651"/>
      <c r="G4" s="4574" t="s">
        <v>1679</v>
      </c>
      <c r="H4" s="4649"/>
      <c r="I4" s="4574" t="s">
        <v>1680</v>
      </c>
      <c r="J4" s="4649"/>
      <c r="K4" s="393" t="s">
        <v>1681</v>
      </c>
      <c r="L4" s="1974"/>
      <c r="M4" s="1975"/>
      <c r="N4" s="1975"/>
      <c r="O4" s="1975"/>
      <c r="P4" s="4652" t="s">
        <v>1682</v>
      </c>
      <c r="Q4" s="4653"/>
      <c r="R4" s="4656" t="s">
        <v>1678</v>
      </c>
      <c r="S4" s="4657"/>
      <c r="T4" s="4656" t="s">
        <v>1679</v>
      </c>
      <c r="U4" s="4657"/>
      <c r="V4" s="4658" t="s">
        <v>1680</v>
      </c>
      <c r="W4" s="4658"/>
      <c r="X4" s="1413"/>
      <c r="Y4" s="4664" t="s">
        <v>1682</v>
      </c>
      <c r="Z4" s="4665"/>
      <c r="AA4" s="4668" t="s">
        <v>1678</v>
      </c>
      <c r="AB4" s="4668" t="s">
        <v>1679</v>
      </c>
      <c r="AC4" s="4646" t="s">
        <v>1680</v>
      </c>
    </row>
    <row r="5" spans="1:29" ht="15">
      <c r="A5" s="238"/>
      <c r="B5" s="239"/>
      <c r="C5" s="4661" t="s">
        <v>1580</v>
      </c>
      <c r="D5" s="4662"/>
      <c r="E5" s="4669" t="s">
        <v>1581</v>
      </c>
      <c r="F5" s="4670"/>
      <c r="G5" s="4661" t="s">
        <v>1582</v>
      </c>
      <c r="H5" s="4662"/>
      <c r="I5" s="4661" t="s">
        <v>1583</v>
      </c>
      <c r="J5" s="4662"/>
      <c r="K5" s="393"/>
      <c r="L5" s="1974"/>
      <c r="M5" s="1975"/>
      <c r="N5" s="1975"/>
      <c r="O5" s="1975"/>
      <c r="P5" s="4654"/>
      <c r="Q5" s="4597"/>
      <c r="R5" s="4602"/>
      <c r="S5" s="4603"/>
      <c r="T5" s="4602"/>
      <c r="U5" s="4603"/>
      <c r="V5" s="4606"/>
      <c r="W5" s="4606"/>
      <c r="X5" s="909"/>
      <c r="Y5" s="4617"/>
      <c r="Z5" s="4618"/>
      <c r="AA5" s="4588"/>
      <c r="AB5" s="4588"/>
      <c r="AC5" s="4647"/>
    </row>
    <row r="6" spans="1:29" ht="15.75" thickBot="1">
      <c r="A6" s="240"/>
      <c r="B6" s="241"/>
      <c r="C6" s="4659" t="s">
        <v>1584</v>
      </c>
      <c r="D6" s="4660"/>
      <c r="E6" s="4666" t="s">
        <v>1584</v>
      </c>
      <c r="F6" s="4667"/>
      <c r="G6" s="4659" t="s">
        <v>1584</v>
      </c>
      <c r="H6" s="4660"/>
      <c r="I6" s="4659" t="s">
        <v>1584</v>
      </c>
      <c r="J6" s="4660"/>
      <c r="K6" s="393" t="s">
        <v>1585</v>
      </c>
      <c r="L6" s="1974"/>
      <c r="M6" s="1975"/>
      <c r="N6" s="1975"/>
      <c r="O6" s="1975"/>
      <c r="P6" s="4655"/>
      <c r="Q6" s="4599"/>
      <c r="R6" s="4602"/>
      <c r="S6" s="4603"/>
      <c r="T6" s="4604"/>
      <c r="U6" s="4605"/>
      <c r="V6" s="4606"/>
      <c r="W6" s="4606"/>
      <c r="X6" s="909"/>
      <c r="Y6" s="4619"/>
      <c r="Z6" s="4620"/>
      <c r="AA6" s="4589"/>
      <c r="AB6" s="4589"/>
      <c r="AC6" s="4648"/>
    </row>
    <row r="7" spans="1:29" s="46" customFormat="1" ht="15.75" thickBot="1">
      <c r="A7" s="242" t="s">
        <v>1586</v>
      </c>
      <c r="B7" s="243"/>
      <c r="C7" s="244">
        <f>'数据-取费表'!B2</f>
        <v>46091</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63" t="s">
        <v>1587</v>
      </c>
      <c r="Q7" s="4621"/>
      <c r="R7" s="3633" t="s">
        <v>13</v>
      </c>
      <c r="S7" s="3156">
        <f t="shared" ref="S7:S15" si="0">F7</f>
        <v>0</v>
      </c>
      <c r="T7" s="3633" t="s">
        <v>13</v>
      </c>
      <c r="U7" s="3156">
        <f t="shared" ref="U7:U15" si="1">H7</f>
        <v>0</v>
      </c>
      <c r="V7" s="3633" t="s">
        <v>13</v>
      </c>
      <c r="W7" s="3156">
        <f t="shared" ref="W7:W15" si="2">J7</f>
        <v>0</v>
      </c>
      <c r="X7" s="482"/>
      <c r="Y7" s="4613" t="s">
        <v>1587</v>
      </c>
      <c r="Z7" s="4614"/>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63" t="s">
        <v>1590</v>
      </c>
      <c r="Q8" s="4612"/>
      <c r="R8" s="3633" t="s">
        <v>13</v>
      </c>
      <c r="S8" s="3156">
        <f t="shared" si="0"/>
        <v>100</v>
      </c>
      <c r="T8" s="3633" t="s">
        <v>13</v>
      </c>
      <c r="U8" s="3156">
        <f t="shared" si="1"/>
        <v>100</v>
      </c>
      <c r="V8" s="3633" t="s">
        <v>13</v>
      </c>
      <c r="W8" s="3156">
        <f t="shared" si="2"/>
        <v>100</v>
      </c>
      <c r="X8" s="482"/>
      <c r="Y8" s="4613" t="s">
        <v>1590</v>
      </c>
      <c r="Z8" s="4614"/>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639" t="s">
        <v>1593</v>
      </c>
      <c r="Q9" s="1698" t="str">
        <f t="shared" ref="Q9:Q15" si="6">B9</f>
        <v>用途</v>
      </c>
      <c r="R9" s="3633" t="s">
        <v>13</v>
      </c>
      <c r="S9" s="3156">
        <f t="shared" si="0"/>
        <v>100</v>
      </c>
      <c r="T9" s="3633" t="s">
        <v>13</v>
      </c>
      <c r="U9" s="3156">
        <f t="shared" si="1"/>
        <v>100</v>
      </c>
      <c r="V9" s="3633" t="s">
        <v>13</v>
      </c>
      <c r="W9" s="3156">
        <f t="shared" si="2"/>
        <v>100</v>
      </c>
      <c r="X9" s="482"/>
      <c r="Y9" s="4586"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639"/>
      <c r="Q10" s="1698" t="str">
        <f t="shared" si="6"/>
        <v>土地使用年限（年）</v>
      </c>
      <c r="R10" s="3633" t="s">
        <v>13</v>
      </c>
      <c r="S10" s="3156">
        <f t="shared" si="0"/>
        <v>100</v>
      </c>
      <c r="T10" s="3633" t="s">
        <v>13</v>
      </c>
      <c r="U10" s="3156">
        <f t="shared" si="1"/>
        <v>100</v>
      </c>
      <c r="V10" s="3633" t="s">
        <v>13</v>
      </c>
      <c r="W10" s="3156">
        <f t="shared" si="2"/>
        <v>100</v>
      </c>
      <c r="X10" s="482"/>
      <c r="Y10" s="4586"/>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639"/>
      <c r="Q11" s="1698" t="str">
        <f t="shared" si="6"/>
        <v>容积率</v>
      </c>
      <c r="R11" s="3633" t="s">
        <v>13</v>
      </c>
      <c r="S11" s="3156">
        <f t="shared" si="0"/>
        <v>100</v>
      </c>
      <c r="T11" s="3633" t="s">
        <v>13</v>
      </c>
      <c r="U11" s="3156">
        <f t="shared" si="1"/>
        <v>100</v>
      </c>
      <c r="V11" s="3633" t="s">
        <v>13</v>
      </c>
      <c r="W11" s="3156">
        <f t="shared" si="2"/>
        <v>100</v>
      </c>
      <c r="X11" s="482"/>
      <c r="Y11" s="4586"/>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639"/>
      <c r="Q12" s="1698">
        <f t="shared" si="6"/>
        <v>111</v>
      </c>
      <c r="R12" s="3633" t="s">
        <v>13</v>
      </c>
      <c r="S12" s="3156">
        <f t="shared" si="0"/>
        <v>100</v>
      </c>
      <c r="T12" s="3633" t="s">
        <v>13</v>
      </c>
      <c r="U12" s="3156">
        <f t="shared" si="1"/>
        <v>100</v>
      </c>
      <c r="V12" s="3633" t="s">
        <v>13</v>
      </c>
      <c r="W12" s="3156">
        <f t="shared" si="2"/>
        <v>100</v>
      </c>
      <c r="X12" s="482"/>
      <c r="Y12" s="4586"/>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639"/>
      <c r="Q13" s="1698">
        <f t="shared" si="6"/>
        <v>111</v>
      </c>
      <c r="R13" s="3633" t="s">
        <v>13</v>
      </c>
      <c r="S13" s="3156">
        <f t="shared" si="0"/>
        <v>100</v>
      </c>
      <c r="T13" s="3633" t="s">
        <v>13</v>
      </c>
      <c r="U13" s="3156">
        <f t="shared" si="1"/>
        <v>100</v>
      </c>
      <c r="V13" s="3633" t="s">
        <v>13</v>
      </c>
      <c r="W13" s="3156">
        <f t="shared" si="2"/>
        <v>100</v>
      </c>
      <c r="X13" s="482"/>
      <c r="Y13" s="4586"/>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639"/>
      <c r="Q14" s="1698">
        <f t="shared" si="6"/>
        <v>111</v>
      </c>
      <c r="R14" s="3633" t="s">
        <v>13</v>
      </c>
      <c r="S14" s="3156">
        <f t="shared" si="0"/>
        <v>100</v>
      </c>
      <c r="T14" s="3633" t="s">
        <v>13</v>
      </c>
      <c r="U14" s="3156">
        <f t="shared" si="1"/>
        <v>100</v>
      </c>
      <c r="V14" s="3633" t="s">
        <v>13</v>
      </c>
      <c r="W14" s="3156">
        <f t="shared" si="2"/>
        <v>100</v>
      </c>
      <c r="X14" s="482"/>
      <c r="Y14" s="4586"/>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637" t="s">
        <v>1598</v>
      </c>
      <c r="Q15" s="1507" t="str">
        <f t="shared" si="6"/>
        <v>办公集聚程度</v>
      </c>
      <c r="R15" s="3735" t="s">
        <v>13</v>
      </c>
      <c r="S15" s="3157">
        <f t="shared" si="0"/>
        <v>100</v>
      </c>
      <c r="T15" s="3735" t="s">
        <v>13</v>
      </c>
      <c r="U15" s="3157">
        <f t="shared" si="1"/>
        <v>100</v>
      </c>
      <c r="V15" s="3735" t="s">
        <v>13</v>
      </c>
      <c r="W15" s="3157">
        <f t="shared" si="2"/>
        <v>100</v>
      </c>
      <c r="X15" s="909"/>
      <c r="Y15" s="4581"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638"/>
      <c r="Q16" s="1507"/>
      <c r="R16" s="3735"/>
      <c r="S16" s="3157"/>
      <c r="T16" s="3735"/>
      <c r="U16" s="3157"/>
      <c r="V16" s="3735"/>
      <c r="W16" s="3157"/>
      <c r="X16" s="909"/>
      <c r="Y16" s="4582"/>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638"/>
      <c r="Q17" s="1507" t="str">
        <f>B17</f>
        <v>交通便捷度</v>
      </c>
      <c r="R17" s="3735" t="s">
        <v>13</v>
      </c>
      <c r="S17" s="3157">
        <f>F17</f>
        <v>100</v>
      </c>
      <c r="T17" s="3735" t="s">
        <v>13</v>
      </c>
      <c r="U17" s="3157">
        <f>H17</f>
        <v>100</v>
      </c>
      <c r="V17" s="3735" t="s">
        <v>13</v>
      </c>
      <c r="W17" s="3157">
        <f>J17</f>
        <v>100</v>
      </c>
      <c r="X17" s="909"/>
      <c r="Y17" s="4582"/>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638"/>
      <c r="Q18" s="1507"/>
      <c r="R18" s="3735"/>
      <c r="S18" s="3157"/>
      <c r="T18" s="3735"/>
      <c r="U18" s="3157"/>
      <c r="V18" s="3735"/>
      <c r="W18" s="3157"/>
      <c r="X18" s="909"/>
      <c r="Y18" s="4582"/>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638"/>
      <c r="Q19" s="1507" t="str">
        <f>B19</f>
        <v>公共配套设施</v>
      </c>
      <c r="R19" s="3735" t="s">
        <v>13</v>
      </c>
      <c r="S19" s="3157">
        <f>F19</f>
        <v>100</v>
      </c>
      <c r="T19" s="3735" t="s">
        <v>13</v>
      </c>
      <c r="U19" s="3157">
        <f>H19</f>
        <v>100</v>
      </c>
      <c r="V19" s="3735" t="s">
        <v>13</v>
      </c>
      <c r="W19" s="3157">
        <f>J19</f>
        <v>100</v>
      </c>
      <c r="X19" s="909"/>
      <c r="Y19" s="4582"/>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638"/>
      <c r="Q20" s="1507"/>
      <c r="R20" s="3735"/>
      <c r="S20" s="3157"/>
      <c r="T20" s="3735"/>
      <c r="U20" s="3157"/>
      <c r="V20" s="3735"/>
      <c r="W20" s="3157"/>
      <c r="X20" s="909"/>
      <c r="Y20" s="4582"/>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638"/>
      <c r="Q21" s="1507" t="str">
        <f>B21</f>
        <v>基础设施水平</v>
      </c>
      <c r="R21" s="3735" t="s">
        <v>13</v>
      </c>
      <c r="S21" s="3157">
        <f>F21</f>
        <v>100</v>
      </c>
      <c r="T21" s="3735" t="s">
        <v>13</v>
      </c>
      <c r="U21" s="3157">
        <f>H21</f>
        <v>100</v>
      </c>
      <c r="V21" s="3735" t="s">
        <v>13</v>
      </c>
      <c r="W21" s="3157">
        <f>J21</f>
        <v>100</v>
      </c>
      <c r="X21" s="909"/>
      <c r="Y21" s="4582"/>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638"/>
      <c r="Q22" s="1507"/>
      <c r="R22" s="3735"/>
      <c r="S22" s="3157"/>
      <c r="T22" s="3735"/>
      <c r="U22" s="3157"/>
      <c r="V22" s="3735"/>
      <c r="W22" s="3157"/>
      <c r="X22" s="909"/>
      <c r="Y22" s="4582"/>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638"/>
      <c r="Q23" s="1507" t="str">
        <f>B23</f>
        <v>环境质量</v>
      </c>
      <c r="R23" s="3735" t="s">
        <v>13</v>
      </c>
      <c r="S23" s="3157">
        <f>F23</f>
        <v>100</v>
      </c>
      <c r="T23" s="3735" t="s">
        <v>13</v>
      </c>
      <c r="U23" s="3157">
        <f>H23</f>
        <v>100</v>
      </c>
      <c r="V23" s="3735" t="s">
        <v>13</v>
      </c>
      <c r="W23" s="3157">
        <f>J23</f>
        <v>100</v>
      </c>
      <c r="X23" s="909"/>
      <c r="Y23" s="4582"/>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638"/>
      <c r="Q24" s="1507"/>
      <c r="R24" s="3735"/>
      <c r="S24" s="3157"/>
      <c r="T24" s="3735"/>
      <c r="U24" s="3157"/>
      <c r="V24" s="3735"/>
      <c r="W24" s="3157"/>
      <c r="X24" s="909"/>
      <c r="Y24" s="4582"/>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638"/>
      <c r="Q25" s="1507" t="str">
        <f>B25</f>
        <v>毗邻道路的类型与等级</v>
      </c>
      <c r="R25" s="3735" t="s">
        <v>13</v>
      </c>
      <c r="S25" s="3157">
        <f>F25</f>
        <v>100</v>
      </c>
      <c r="T25" s="3735" t="s">
        <v>13</v>
      </c>
      <c r="U25" s="3157">
        <f>H25</f>
        <v>100</v>
      </c>
      <c r="V25" s="3735" t="s">
        <v>13</v>
      </c>
      <c r="W25" s="3157">
        <f>J25</f>
        <v>100</v>
      </c>
      <c r="X25" s="909"/>
      <c r="Y25" s="4582"/>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638"/>
      <c r="Q26" s="1507"/>
      <c r="R26" s="3735"/>
      <c r="S26" s="3157"/>
      <c r="T26" s="3735"/>
      <c r="U26" s="3157"/>
      <c r="V26" s="3735"/>
      <c r="W26" s="3157"/>
      <c r="X26" s="909"/>
      <c r="Y26" s="4582"/>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638"/>
      <c r="Q27" s="1507" t="str">
        <f t="shared" ref="Q27:Q47" si="11">B27</f>
        <v>楼层</v>
      </c>
      <c r="R27" s="3735" t="s">
        <v>13</v>
      </c>
      <c r="S27" s="3157">
        <f>F27</f>
        <v>100</v>
      </c>
      <c r="T27" s="3735" t="s">
        <v>13</v>
      </c>
      <c r="U27" s="3157">
        <f>H27</f>
        <v>100</v>
      </c>
      <c r="V27" s="3735" t="s">
        <v>13</v>
      </c>
      <c r="W27" s="3157">
        <f>J27</f>
        <v>100</v>
      </c>
      <c r="X27" s="909"/>
      <c r="Y27" s="4582"/>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638"/>
      <c r="Q28" s="1698" t="str">
        <f t="shared" si="11"/>
        <v>朝向</v>
      </c>
      <c r="R28" s="3633" t="s">
        <v>13</v>
      </c>
      <c r="S28" s="3156">
        <f>F28</f>
        <v>100</v>
      </c>
      <c r="T28" s="3633" t="s">
        <v>13</v>
      </c>
      <c r="U28" s="3156">
        <f>H28</f>
        <v>100</v>
      </c>
      <c r="V28" s="3633" t="s">
        <v>13</v>
      </c>
      <c r="W28" s="3156">
        <f>J28</f>
        <v>100</v>
      </c>
      <c r="X28" s="482"/>
      <c r="Y28" s="4582"/>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638"/>
      <c r="Q29" s="1507">
        <f t="shared" si="11"/>
        <v>111</v>
      </c>
      <c r="R29" s="3735" t="s">
        <v>13</v>
      </c>
      <c r="S29" s="3157">
        <f t="shared" ref="S29:S47" si="12">F29</f>
        <v>100</v>
      </c>
      <c r="T29" s="3735" t="s">
        <v>13</v>
      </c>
      <c r="U29" s="3157">
        <f t="shared" ref="U29:U47" si="13">H29</f>
        <v>100</v>
      </c>
      <c r="V29" s="3735" t="s">
        <v>13</v>
      </c>
      <c r="W29" s="3157">
        <f t="shared" ref="W29:W47" si="14">J29</f>
        <v>100</v>
      </c>
      <c r="X29" s="909"/>
      <c r="Y29" s="4582"/>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638"/>
      <c r="Q30" s="1507">
        <f t="shared" si="11"/>
        <v>111</v>
      </c>
      <c r="R30" s="3735" t="s">
        <v>13</v>
      </c>
      <c r="S30" s="3157">
        <f t="shared" si="12"/>
        <v>100</v>
      </c>
      <c r="T30" s="3735" t="s">
        <v>13</v>
      </c>
      <c r="U30" s="3157">
        <f t="shared" si="13"/>
        <v>100</v>
      </c>
      <c r="V30" s="3735" t="s">
        <v>13</v>
      </c>
      <c r="W30" s="3157">
        <f t="shared" si="14"/>
        <v>100</v>
      </c>
      <c r="X30" s="909"/>
      <c r="Y30" s="4582"/>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638"/>
      <c r="Q31" s="1507">
        <f t="shared" si="11"/>
        <v>111</v>
      </c>
      <c r="R31" s="3735" t="s">
        <v>13</v>
      </c>
      <c r="S31" s="3157">
        <f t="shared" si="12"/>
        <v>100</v>
      </c>
      <c r="T31" s="3735" t="s">
        <v>13</v>
      </c>
      <c r="U31" s="3157">
        <f t="shared" si="13"/>
        <v>100</v>
      </c>
      <c r="V31" s="3735" t="s">
        <v>13</v>
      </c>
      <c r="W31" s="3157">
        <f t="shared" si="14"/>
        <v>100</v>
      </c>
      <c r="X31" s="909"/>
      <c r="Y31" s="4582"/>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638"/>
      <c r="Q32" s="1507">
        <f t="shared" si="11"/>
        <v>111</v>
      </c>
      <c r="R32" s="3735" t="s">
        <v>13</v>
      </c>
      <c r="S32" s="3157">
        <f t="shared" si="12"/>
        <v>100</v>
      </c>
      <c r="T32" s="3735" t="s">
        <v>13</v>
      </c>
      <c r="U32" s="3157">
        <f t="shared" si="13"/>
        <v>100</v>
      </c>
      <c r="V32" s="3735" t="s">
        <v>13</v>
      </c>
      <c r="W32" s="3157">
        <f t="shared" si="14"/>
        <v>100</v>
      </c>
      <c r="X32" s="909"/>
      <c r="Y32" s="4582"/>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633" t="s">
        <v>1603</v>
      </c>
      <c r="Q33" s="1507" t="str">
        <f t="shared" si="11"/>
        <v>建筑类型</v>
      </c>
      <c r="R33" s="3735" t="s">
        <v>13</v>
      </c>
      <c r="S33" s="3157">
        <f t="shared" si="12"/>
        <v>100</v>
      </c>
      <c r="T33" s="3735" t="s">
        <v>13</v>
      </c>
      <c r="U33" s="3157">
        <f t="shared" si="13"/>
        <v>100</v>
      </c>
      <c r="V33" s="3735" t="s">
        <v>13</v>
      </c>
      <c r="W33" s="3157">
        <f t="shared" si="14"/>
        <v>100</v>
      </c>
      <c r="X33" s="909"/>
      <c r="Y33" s="4585"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634"/>
      <c r="Q34" s="2864" t="str">
        <f t="shared" si="11"/>
        <v>项目建筑规模</v>
      </c>
      <c r="R34" s="3736" t="s">
        <v>13</v>
      </c>
      <c r="S34" s="3158" t="e">
        <f t="shared" si="12"/>
        <v>#N/A</v>
      </c>
      <c r="T34" s="3736" t="s">
        <v>13</v>
      </c>
      <c r="U34" s="3158" t="e">
        <f t="shared" si="13"/>
        <v>#N/A</v>
      </c>
      <c r="V34" s="3736" t="s">
        <v>13</v>
      </c>
      <c r="W34" s="3158" t="e">
        <f t="shared" si="14"/>
        <v>#N/A</v>
      </c>
      <c r="X34" s="484"/>
      <c r="Y34" s="4585"/>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634"/>
      <c r="Q35" s="1507" t="str">
        <f t="shared" si="11"/>
        <v>建筑结构</v>
      </c>
      <c r="R35" s="3735" t="s">
        <v>13</v>
      </c>
      <c r="S35" s="3157">
        <f t="shared" si="12"/>
        <v>100</v>
      </c>
      <c r="T35" s="3735" t="s">
        <v>13</v>
      </c>
      <c r="U35" s="3157">
        <f t="shared" si="13"/>
        <v>100</v>
      </c>
      <c r="V35" s="3735" t="s">
        <v>13</v>
      </c>
      <c r="W35" s="3157">
        <f t="shared" si="14"/>
        <v>100</v>
      </c>
      <c r="X35" s="909"/>
      <c r="Y35" s="4585"/>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634"/>
      <c r="Q36" s="1507" t="str">
        <f t="shared" si="11"/>
        <v>公共部分装修</v>
      </c>
      <c r="R36" s="3735" t="s">
        <v>13</v>
      </c>
      <c r="S36" s="3157">
        <f t="shared" si="12"/>
        <v>100</v>
      </c>
      <c r="T36" s="3735" t="s">
        <v>13</v>
      </c>
      <c r="U36" s="3157">
        <f t="shared" si="13"/>
        <v>100</v>
      </c>
      <c r="V36" s="3735" t="s">
        <v>13</v>
      </c>
      <c r="W36" s="3157">
        <f t="shared" si="14"/>
        <v>100</v>
      </c>
      <c r="X36" s="909"/>
      <c r="Y36" s="4585"/>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634"/>
      <c r="Q37" s="1507" t="str">
        <f t="shared" si="11"/>
        <v>成新度</v>
      </c>
      <c r="R37" s="3735" t="s">
        <v>13</v>
      </c>
      <c r="S37" s="3157" t="e">
        <f t="shared" si="12"/>
        <v>#N/A</v>
      </c>
      <c r="T37" s="3735" t="s">
        <v>13</v>
      </c>
      <c r="U37" s="3157" t="e">
        <f t="shared" si="13"/>
        <v>#N/A</v>
      </c>
      <c r="V37" s="3735" t="s">
        <v>13</v>
      </c>
      <c r="W37" s="3157" t="e">
        <f t="shared" si="14"/>
        <v>#N/A</v>
      </c>
      <c r="X37" s="909"/>
      <c r="Y37" s="4585"/>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634"/>
      <c r="Q38" s="1698" t="str">
        <f t="shared" si="11"/>
        <v>写字楼等级</v>
      </c>
      <c r="R38" s="3633" t="s">
        <v>13</v>
      </c>
      <c r="S38" s="3156">
        <f t="shared" si="12"/>
        <v>100</v>
      </c>
      <c r="T38" s="3633" t="s">
        <v>13</v>
      </c>
      <c r="U38" s="3156">
        <f t="shared" si="13"/>
        <v>100</v>
      </c>
      <c r="V38" s="3633" t="s">
        <v>13</v>
      </c>
      <c r="W38" s="3156">
        <f t="shared" si="14"/>
        <v>100</v>
      </c>
      <c r="X38" s="482"/>
      <c r="Y38" s="4585"/>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634" t="s">
        <v>1603</v>
      </c>
      <c r="Q39" s="1507" t="str">
        <f t="shared" si="11"/>
        <v>物业管理</v>
      </c>
      <c r="R39" s="3735" t="s">
        <v>13</v>
      </c>
      <c r="S39" s="3157">
        <f t="shared" si="12"/>
        <v>100</v>
      </c>
      <c r="T39" s="3735" t="s">
        <v>13</v>
      </c>
      <c r="U39" s="3157">
        <f t="shared" si="13"/>
        <v>100</v>
      </c>
      <c r="V39" s="3735" t="s">
        <v>13</v>
      </c>
      <c r="W39" s="3157">
        <f t="shared" si="14"/>
        <v>100</v>
      </c>
      <c r="X39" s="909"/>
      <c r="Y39" s="4585"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634"/>
      <c r="Q40" s="1507" t="str">
        <f t="shared" si="11"/>
        <v>市政基础设施</v>
      </c>
      <c r="R40" s="3735" t="s">
        <v>13</v>
      </c>
      <c r="S40" s="3157">
        <f t="shared" si="12"/>
        <v>100</v>
      </c>
      <c r="T40" s="3735" t="s">
        <v>13</v>
      </c>
      <c r="U40" s="3157">
        <f t="shared" si="13"/>
        <v>100</v>
      </c>
      <c r="V40" s="3735" t="s">
        <v>13</v>
      </c>
      <c r="W40" s="3157">
        <f t="shared" si="14"/>
        <v>100</v>
      </c>
      <c r="X40" s="909"/>
      <c r="Y40" s="4585"/>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634"/>
      <c r="Q41" s="1507" t="str">
        <f t="shared" si="11"/>
        <v>层高</v>
      </c>
      <c r="R41" s="3735" t="s">
        <v>13</v>
      </c>
      <c r="S41" s="3157">
        <f t="shared" si="12"/>
        <v>100</v>
      </c>
      <c r="T41" s="3735" t="s">
        <v>13</v>
      </c>
      <c r="U41" s="3157">
        <f t="shared" si="13"/>
        <v>100</v>
      </c>
      <c r="V41" s="3735" t="s">
        <v>13</v>
      </c>
      <c r="W41" s="3157">
        <f t="shared" si="14"/>
        <v>100</v>
      </c>
      <c r="X41" s="909"/>
      <c r="Y41" s="4585"/>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634"/>
      <c r="Q42" s="2864" t="str">
        <f t="shared" si="11"/>
        <v>单套建筑面积</v>
      </c>
      <c r="R42" s="3736" t="s">
        <v>13</v>
      </c>
      <c r="S42" s="3158">
        <f t="shared" si="12"/>
        <v>100</v>
      </c>
      <c r="T42" s="3736" t="s">
        <v>13</v>
      </c>
      <c r="U42" s="3158">
        <f t="shared" si="13"/>
        <v>100</v>
      </c>
      <c r="V42" s="3736" t="s">
        <v>13</v>
      </c>
      <c r="W42" s="3158">
        <f t="shared" si="14"/>
        <v>100</v>
      </c>
      <c r="X42" s="484"/>
      <c r="Y42" s="4585"/>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634"/>
      <c r="Q43" s="1507" t="str">
        <f t="shared" si="11"/>
        <v>内部装修</v>
      </c>
      <c r="R43" s="3735" t="s">
        <v>13</v>
      </c>
      <c r="S43" s="3157">
        <f t="shared" si="12"/>
        <v>100</v>
      </c>
      <c r="T43" s="3735" t="s">
        <v>13</v>
      </c>
      <c r="U43" s="3157">
        <f t="shared" si="13"/>
        <v>100</v>
      </c>
      <c r="V43" s="3735" t="s">
        <v>13</v>
      </c>
      <c r="W43" s="3157">
        <f t="shared" si="14"/>
        <v>100</v>
      </c>
      <c r="X43" s="909"/>
      <c r="Y43" s="4585"/>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634"/>
      <c r="Q44" s="1507" t="str">
        <f t="shared" si="11"/>
        <v>内部装修维护情况</v>
      </c>
      <c r="R44" s="3735" t="s">
        <v>13</v>
      </c>
      <c r="S44" s="3157">
        <f t="shared" si="12"/>
        <v>100</v>
      </c>
      <c r="T44" s="3735" t="s">
        <v>13</v>
      </c>
      <c r="U44" s="3157">
        <f t="shared" si="13"/>
        <v>100</v>
      </c>
      <c r="V44" s="3735" t="s">
        <v>13</v>
      </c>
      <c r="W44" s="3157">
        <f t="shared" si="14"/>
        <v>100</v>
      </c>
      <c r="X44" s="909"/>
      <c r="Y44" s="4585"/>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634"/>
      <c r="Q45" s="1698">
        <f t="shared" si="11"/>
        <v>111</v>
      </c>
      <c r="R45" s="3633" t="s">
        <v>13</v>
      </c>
      <c r="S45" s="3156">
        <f t="shared" si="12"/>
        <v>100</v>
      </c>
      <c r="T45" s="3633" t="s">
        <v>13</v>
      </c>
      <c r="U45" s="3156">
        <f t="shared" si="13"/>
        <v>100</v>
      </c>
      <c r="V45" s="3633" t="s">
        <v>13</v>
      </c>
      <c r="W45" s="3156">
        <f t="shared" si="14"/>
        <v>100</v>
      </c>
      <c r="X45" s="482"/>
      <c r="Y45" s="4585"/>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634"/>
      <c r="Q46" s="1507">
        <f t="shared" si="11"/>
        <v>111</v>
      </c>
      <c r="R46" s="3735" t="s">
        <v>13</v>
      </c>
      <c r="S46" s="3157">
        <f t="shared" si="12"/>
        <v>100</v>
      </c>
      <c r="T46" s="3735" t="s">
        <v>13</v>
      </c>
      <c r="U46" s="3157">
        <f t="shared" si="13"/>
        <v>100</v>
      </c>
      <c r="V46" s="3735" t="s">
        <v>13</v>
      </c>
      <c r="W46" s="3157">
        <f t="shared" si="14"/>
        <v>100</v>
      </c>
      <c r="X46" s="909"/>
      <c r="Y46" s="4585"/>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635"/>
      <c r="Q47" s="1507">
        <f t="shared" si="11"/>
        <v>111</v>
      </c>
      <c r="R47" s="3735" t="s">
        <v>13</v>
      </c>
      <c r="S47" s="3157">
        <f t="shared" si="12"/>
        <v>100</v>
      </c>
      <c r="T47" s="3735" t="s">
        <v>13</v>
      </c>
      <c r="U47" s="3157">
        <f t="shared" si="13"/>
        <v>100</v>
      </c>
      <c r="V47" s="3735" t="s">
        <v>13</v>
      </c>
      <c r="W47" s="3157">
        <f t="shared" si="14"/>
        <v>100</v>
      </c>
      <c r="X47" s="909"/>
      <c r="Y47" s="4636"/>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639" t="str">
        <f>A48</f>
        <v>成交单价（元/平方米）</v>
      </c>
      <c r="Q48" s="4578"/>
      <c r="R48" s="4570">
        <f>E48</f>
        <v>0</v>
      </c>
      <c r="S48" s="4570"/>
      <c r="T48" s="4570">
        <f>G48</f>
        <v>0</v>
      </c>
      <c r="U48" s="4570"/>
      <c r="V48" s="4570">
        <f>I48</f>
        <v>0</v>
      </c>
      <c r="W48" s="4570"/>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639" t="str">
        <f>A49</f>
        <v>比较价值（元/平方米）</v>
      </c>
      <c r="Q49" s="4578"/>
      <c r="R49" s="4570" t="e">
        <f>IF(F1="售价",ROUND(PRODUCT(R48,AA7:AA47),0),ROUND(PRODUCT(R48,AA7:AA47),1))</f>
        <v>#DIV/0!</v>
      </c>
      <c r="S49" s="4570"/>
      <c r="T49" s="4570" t="e">
        <f>IF(F1="售价",ROUND(PRODUCT(T48,AB7:AB47),0),ROUND(PRODUCT(T48,AB7:AB47),1))</f>
        <v>#DIV/0!</v>
      </c>
      <c r="U49" s="4570"/>
      <c r="V49" s="4570" t="e">
        <f>IF(F1="售价",ROUND(PRODUCT(V48,AC7:AC47),0),ROUND(PRODUCT(V48,AC7:AC47),1))</f>
        <v>#DIV/0!</v>
      </c>
      <c r="W49" s="4570"/>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643" t="str">
        <f>A50</f>
        <v>估价对象XX用房的比较价值（楼面单价，元/平方米）</v>
      </c>
      <c r="Q50" s="4644"/>
      <c r="R50" s="4645" t="e">
        <f>IF(F1="售价",ROUND(IF(D49="简单平均",AVERAGE(R49:V49),R49*F49+T49*H49+V49*J49),0),ROUND(IF(D49="简单平均",AVERAGE(R49:V49),R49*F49+T49*H49+V49*J49),1))</f>
        <v>#DIV/0!</v>
      </c>
      <c r="S50" s="4645"/>
      <c r="T50" s="4645"/>
      <c r="U50" s="4645"/>
      <c r="V50" s="4645"/>
      <c r="W50" s="464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82371.62</v>
      </c>
      <c r="E3" s="3847" t="s">
        <v>3466</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74" t="s">
        <v>1677</v>
      </c>
      <c r="D4" s="4649"/>
      <c r="E4" s="4650" t="s">
        <v>1678</v>
      </c>
      <c r="F4" s="4651"/>
      <c r="G4" s="4574" t="s">
        <v>1679</v>
      </c>
      <c r="H4" s="4649"/>
      <c r="I4" s="4574" t="s">
        <v>1680</v>
      </c>
      <c r="J4" s="4649"/>
      <c r="K4" s="393" t="s">
        <v>1681</v>
      </c>
      <c r="L4" s="592"/>
      <c r="M4" s="593"/>
      <c r="N4" s="593"/>
      <c r="O4" s="593"/>
      <c r="P4" s="4594" t="s">
        <v>1682</v>
      </c>
      <c r="Q4" s="4595"/>
      <c r="R4" s="4600" t="s">
        <v>1678</v>
      </c>
      <c r="S4" s="4601"/>
      <c r="T4" s="4600" t="s">
        <v>1679</v>
      </c>
      <c r="U4" s="4601"/>
      <c r="V4" s="4606" t="s">
        <v>1680</v>
      </c>
      <c r="W4" s="4606"/>
      <c r="X4" s="909"/>
      <c r="Y4" s="4615" t="s">
        <v>1682</v>
      </c>
      <c r="Z4" s="4616"/>
      <c r="AA4" s="4587" t="s">
        <v>1678</v>
      </c>
      <c r="AB4" s="4588" t="s">
        <v>1679</v>
      </c>
      <c r="AC4" s="4587" t="s">
        <v>1680</v>
      </c>
    </row>
    <row r="5" spans="1:29" ht="15">
      <c r="A5" s="238"/>
      <c r="B5" s="239"/>
      <c r="C5" s="4661" t="s">
        <v>1580</v>
      </c>
      <c r="D5" s="4662"/>
      <c r="E5" s="4669" t="s">
        <v>1581</v>
      </c>
      <c r="F5" s="4670"/>
      <c r="G5" s="4661" t="s">
        <v>1582</v>
      </c>
      <c r="H5" s="4662"/>
      <c r="I5" s="4661" t="s">
        <v>1583</v>
      </c>
      <c r="J5" s="4662"/>
      <c r="K5" s="393"/>
      <c r="L5" s="592"/>
      <c r="M5" s="593"/>
      <c r="N5" s="593"/>
      <c r="O5" s="593"/>
      <c r="P5" s="4596"/>
      <c r="Q5" s="4597"/>
      <c r="R5" s="4602"/>
      <c r="S5" s="4603"/>
      <c r="T5" s="4602"/>
      <c r="U5" s="4603"/>
      <c r="V5" s="4606"/>
      <c r="W5" s="4606"/>
      <c r="X5" s="909"/>
      <c r="Y5" s="4617"/>
      <c r="Z5" s="4618"/>
      <c r="AA5" s="4588"/>
      <c r="AB5" s="4588"/>
      <c r="AC5" s="4588"/>
    </row>
    <row r="6" spans="1:29" ht="15.75" thickBot="1">
      <c r="A6" s="240"/>
      <c r="B6" s="241"/>
      <c r="C6" s="4659" t="s">
        <v>1584</v>
      </c>
      <c r="D6" s="4660"/>
      <c r="E6" s="4666" t="s">
        <v>1584</v>
      </c>
      <c r="F6" s="4667"/>
      <c r="G6" s="4659" t="s">
        <v>1584</v>
      </c>
      <c r="H6" s="4660"/>
      <c r="I6" s="4659" t="s">
        <v>1584</v>
      </c>
      <c r="J6" s="4660"/>
      <c r="K6" s="393" t="s">
        <v>1585</v>
      </c>
      <c r="L6" s="592"/>
      <c r="M6" s="593"/>
      <c r="N6" s="593"/>
      <c r="O6" s="593"/>
      <c r="P6" s="4598"/>
      <c r="Q6" s="4599"/>
      <c r="R6" s="4602"/>
      <c r="S6" s="4603"/>
      <c r="T6" s="4604"/>
      <c r="U6" s="4605"/>
      <c r="V6" s="4606"/>
      <c r="W6" s="4606"/>
      <c r="X6" s="909"/>
      <c r="Y6" s="4619"/>
      <c r="Z6" s="4620"/>
      <c r="AA6" s="4589"/>
      <c r="AB6" s="4589"/>
      <c r="AC6" s="4589"/>
    </row>
    <row r="7" spans="1:29" s="46" customFormat="1" ht="15.75" thickBot="1">
      <c r="A7" s="242" t="s">
        <v>1586</v>
      </c>
      <c r="B7" s="243"/>
      <c r="C7" s="244">
        <f>'数据-取费表'!B2</f>
        <v>46091</v>
      </c>
      <c r="D7" s="2898">
        <v>100</v>
      </c>
      <c r="E7" s="245"/>
      <c r="F7" s="3747">
        <f>SUMIF(52:52,YEAR(E7)&amp;"-"&amp;MONTH(E7),53:53)</f>
        <v>0</v>
      </c>
      <c r="G7" s="245"/>
      <c r="H7" s="3753">
        <f>SUMIF(52:52,YEAR(G7)&amp;"-"&amp;MONTH(G7),53:53)</f>
        <v>0</v>
      </c>
      <c r="I7" s="245"/>
      <c r="J7" s="3753">
        <f>SUMIF(52:52,YEAR(I7)&amp;"-"&amp;MONTH(I7),53:53)</f>
        <v>0</v>
      </c>
      <c r="K7" s="22"/>
      <c r="L7" s="594"/>
      <c r="M7" s="595"/>
      <c r="N7" s="595"/>
      <c r="O7" s="595"/>
      <c r="P7" s="4611" t="s">
        <v>1587</v>
      </c>
      <c r="Q7" s="4621"/>
      <c r="R7" s="3759" t="s">
        <v>13</v>
      </c>
      <c r="S7" s="3542">
        <f t="shared" ref="S7:S15" si="0">F7</f>
        <v>0</v>
      </c>
      <c r="T7" s="3759" t="s">
        <v>13</v>
      </c>
      <c r="U7" s="3542">
        <f t="shared" ref="U7:U15" si="1">H7</f>
        <v>0</v>
      </c>
      <c r="V7" s="3759" t="s">
        <v>13</v>
      </c>
      <c r="W7" s="3542">
        <f t="shared" ref="W7:W15" si="2">J7</f>
        <v>0</v>
      </c>
      <c r="X7" s="482"/>
      <c r="Y7" s="4613" t="s">
        <v>1587</v>
      </c>
      <c r="Z7" s="4614"/>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611" t="s">
        <v>1590</v>
      </c>
      <c r="Q8" s="4612"/>
      <c r="R8" s="3759" t="s">
        <v>13</v>
      </c>
      <c r="S8" s="3542">
        <f t="shared" si="0"/>
        <v>100</v>
      </c>
      <c r="T8" s="3759" t="s">
        <v>13</v>
      </c>
      <c r="U8" s="3542">
        <f t="shared" si="1"/>
        <v>100</v>
      </c>
      <c r="V8" s="3759" t="s">
        <v>13</v>
      </c>
      <c r="W8" s="3542">
        <f t="shared" si="2"/>
        <v>100</v>
      </c>
      <c r="X8" s="482"/>
      <c r="Y8" s="4613" t="s">
        <v>1590</v>
      </c>
      <c r="Z8" s="4614"/>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78" t="s">
        <v>1593</v>
      </c>
      <c r="Q9" s="1698" t="str">
        <f t="shared" ref="Q9:Q15" si="6">B9</f>
        <v>用途</v>
      </c>
      <c r="R9" s="3759" t="s">
        <v>13</v>
      </c>
      <c r="S9" s="3542">
        <f t="shared" si="0"/>
        <v>100</v>
      </c>
      <c r="T9" s="3759" t="s">
        <v>13</v>
      </c>
      <c r="U9" s="3542">
        <f t="shared" si="1"/>
        <v>100</v>
      </c>
      <c r="V9" s="3759" t="s">
        <v>13</v>
      </c>
      <c r="W9" s="3542">
        <f t="shared" si="2"/>
        <v>100</v>
      </c>
      <c r="X9" s="482"/>
      <c r="Y9" s="4586"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78"/>
      <c r="Q10" s="1698" t="str">
        <f t="shared" si="6"/>
        <v>土地使用年限（年）</v>
      </c>
      <c r="R10" s="3759" t="s">
        <v>13</v>
      </c>
      <c r="S10" s="3542">
        <f t="shared" si="0"/>
        <v>100</v>
      </c>
      <c r="T10" s="3759" t="s">
        <v>13</v>
      </c>
      <c r="U10" s="3542">
        <f t="shared" si="1"/>
        <v>100</v>
      </c>
      <c r="V10" s="3759" t="s">
        <v>13</v>
      </c>
      <c r="W10" s="3542">
        <f t="shared" si="2"/>
        <v>100</v>
      </c>
      <c r="X10" s="482"/>
      <c r="Y10" s="4586"/>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78"/>
      <c r="Q11" s="1698" t="str">
        <f t="shared" si="6"/>
        <v>容积率</v>
      </c>
      <c r="R11" s="3759" t="s">
        <v>13</v>
      </c>
      <c r="S11" s="3542">
        <f t="shared" si="0"/>
        <v>100</v>
      </c>
      <c r="T11" s="3759" t="s">
        <v>13</v>
      </c>
      <c r="U11" s="3542">
        <f t="shared" si="1"/>
        <v>100</v>
      </c>
      <c r="V11" s="3759" t="s">
        <v>13</v>
      </c>
      <c r="W11" s="3542">
        <f t="shared" si="2"/>
        <v>100</v>
      </c>
      <c r="X11" s="482"/>
      <c r="Y11" s="4586"/>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78"/>
      <c r="Q12" s="1698">
        <f t="shared" si="6"/>
        <v>111</v>
      </c>
      <c r="R12" s="3759" t="s">
        <v>13</v>
      </c>
      <c r="S12" s="3542">
        <f t="shared" si="0"/>
        <v>100</v>
      </c>
      <c r="T12" s="3759" t="s">
        <v>13</v>
      </c>
      <c r="U12" s="3542">
        <f t="shared" si="1"/>
        <v>100</v>
      </c>
      <c r="V12" s="3759" t="s">
        <v>13</v>
      </c>
      <c r="W12" s="3542">
        <f t="shared" si="2"/>
        <v>100</v>
      </c>
      <c r="X12" s="482"/>
      <c r="Y12" s="4586"/>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78"/>
      <c r="Q13" s="1698">
        <f t="shared" si="6"/>
        <v>111</v>
      </c>
      <c r="R13" s="3759" t="s">
        <v>13</v>
      </c>
      <c r="S13" s="3542">
        <f t="shared" si="0"/>
        <v>100</v>
      </c>
      <c r="T13" s="3759" t="s">
        <v>13</v>
      </c>
      <c r="U13" s="3542">
        <f t="shared" si="1"/>
        <v>100</v>
      </c>
      <c r="V13" s="3759" t="s">
        <v>13</v>
      </c>
      <c r="W13" s="3542">
        <f t="shared" si="2"/>
        <v>100</v>
      </c>
      <c r="X13" s="482"/>
      <c r="Y13" s="4586"/>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78"/>
      <c r="Q14" s="1698">
        <f t="shared" si="6"/>
        <v>111</v>
      </c>
      <c r="R14" s="3759" t="s">
        <v>13</v>
      </c>
      <c r="S14" s="3542">
        <f t="shared" si="0"/>
        <v>100</v>
      </c>
      <c r="T14" s="3759" t="s">
        <v>13</v>
      </c>
      <c r="U14" s="3542">
        <f t="shared" si="1"/>
        <v>100</v>
      </c>
      <c r="V14" s="3759" t="s">
        <v>13</v>
      </c>
      <c r="W14" s="3542">
        <f t="shared" si="2"/>
        <v>100</v>
      </c>
      <c r="X14" s="482"/>
      <c r="Y14" s="4586"/>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579" t="s">
        <v>1598</v>
      </c>
      <c r="Q15" s="1507" t="str">
        <f t="shared" si="6"/>
        <v>产业集聚程度</v>
      </c>
      <c r="R15" s="3760" t="s">
        <v>13</v>
      </c>
      <c r="S15" s="3762">
        <f t="shared" si="0"/>
        <v>100</v>
      </c>
      <c r="T15" s="3760" t="s">
        <v>13</v>
      </c>
      <c r="U15" s="3762">
        <f t="shared" si="1"/>
        <v>100</v>
      </c>
      <c r="V15" s="3760" t="s">
        <v>13</v>
      </c>
      <c r="W15" s="3762">
        <f t="shared" si="2"/>
        <v>100</v>
      </c>
      <c r="X15" s="909"/>
      <c r="Y15" s="4581"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580"/>
      <c r="Q16" s="1507"/>
      <c r="R16" s="3760"/>
      <c r="S16" s="3762"/>
      <c r="T16" s="3760"/>
      <c r="U16" s="3762"/>
      <c r="V16" s="3760"/>
      <c r="W16" s="3762"/>
      <c r="X16" s="909"/>
      <c r="Y16" s="4582"/>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580"/>
      <c r="Q17" s="1507" t="str">
        <f>B17</f>
        <v>交通便捷度</v>
      </c>
      <c r="R17" s="3760" t="s">
        <v>13</v>
      </c>
      <c r="S17" s="3762">
        <f>F17</f>
        <v>100</v>
      </c>
      <c r="T17" s="3760" t="s">
        <v>13</v>
      </c>
      <c r="U17" s="3762">
        <f>H17</f>
        <v>100</v>
      </c>
      <c r="V17" s="3760" t="s">
        <v>13</v>
      </c>
      <c r="W17" s="3762">
        <f>J17</f>
        <v>100</v>
      </c>
      <c r="X17" s="909"/>
      <c r="Y17" s="4582"/>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580"/>
      <c r="Q18" s="1507"/>
      <c r="R18" s="3760"/>
      <c r="S18" s="3762"/>
      <c r="T18" s="3760"/>
      <c r="U18" s="3762"/>
      <c r="V18" s="3760"/>
      <c r="W18" s="3762"/>
      <c r="X18" s="909"/>
      <c r="Y18" s="4582"/>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580"/>
      <c r="Q19" s="1507" t="str">
        <f>B19</f>
        <v>公共配套设施</v>
      </c>
      <c r="R19" s="3760" t="s">
        <v>13</v>
      </c>
      <c r="S19" s="3762">
        <f>F19</f>
        <v>100</v>
      </c>
      <c r="T19" s="3760" t="s">
        <v>13</v>
      </c>
      <c r="U19" s="3762">
        <f>H19</f>
        <v>100</v>
      </c>
      <c r="V19" s="3760" t="s">
        <v>13</v>
      </c>
      <c r="W19" s="3762">
        <f>J19</f>
        <v>100</v>
      </c>
      <c r="X19" s="909"/>
      <c r="Y19" s="4582"/>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580"/>
      <c r="Q20" s="1507"/>
      <c r="R20" s="3760"/>
      <c r="S20" s="3762"/>
      <c r="T20" s="3760"/>
      <c r="U20" s="3762"/>
      <c r="V20" s="3760"/>
      <c r="W20" s="3762"/>
      <c r="X20" s="909"/>
      <c r="Y20" s="4582"/>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580"/>
      <c r="Q21" s="1507" t="str">
        <f>B21</f>
        <v>基础设施水平</v>
      </c>
      <c r="R21" s="3760" t="s">
        <v>13</v>
      </c>
      <c r="S21" s="3762">
        <f>F21</f>
        <v>100</v>
      </c>
      <c r="T21" s="3760" t="s">
        <v>13</v>
      </c>
      <c r="U21" s="3762">
        <f>H21</f>
        <v>100</v>
      </c>
      <c r="V21" s="3760" t="s">
        <v>13</v>
      </c>
      <c r="W21" s="3762">
        <f>J21</f>
        <v>100</v>
      </c>
      <c r="X21" s="909"/>
      <c r="Y21" s="4582"/>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580"/>
      <c r="Q22" s="1507"/>
      <c r="R22" s="3760"/>
      <c r="S22" s="3762"/>
      <c r="T22" s="3760"/>
      <c r="U22" s="3762"/>
      <c r="V22" s="3760"/>
      <c r="W22" s="3762"/>
      <c r="X22" s="909"/>
      <c r="Y22" s="4582"/>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580"/>
      <c r="Q23" s="1507" t="str">
        <f>B23</f>
        <v>环境质量</v>
      </c>
      <c r="R23" s="3760" t="s">
        <v>13</v>
      </c>
      <c r="S23" s="3762">
        <f>F23</f>
        <v>100</v>
      </c>
      <c r="T23" s="3760" t="s">
        <v>13</v>
      </c>
      <c r="U23" s="3762">
        <f>H23</f>
        <v>100</v>
      </c>
      <c r="V23" s="3760" t="s">
        <v>13</v>
      </c>
      <c r="W23" s="3762">
        <f>J23</f>
        <v>100</v>
      </c>
      <c r="X23" s="909"/>
      <c r="Y23" s="4582"/>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580"/>
      <c r="Q24" s="1507"/>
      <c r="R24" s="3760"/>
      <c r="S24" s="3762"/>
      <c r="T24" s="3760"/>
      <c r="U24" s="3762"/>
      <c r="V24" s="3760"/>
      <c r="W24" s="3762"/>
      <c r="X24" s="909"/>
      <c r="Y24" s="4582"/>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580"/>
      <c r="Q25" s="1507">
        <f>B25</f>
        <v>111</v>
      </c>
      <c r="R25" s="3760" t="s">
        <v>13</v>
      </c>
      <c r="S25" s="3762">
        <f>F25</f>
        <v>100</v>
      </c>
      <c r="T25" s="3760" t="s">
        <v>13</v>
      </c>
      <c r="U25" s="3762">
        <f>H25</f>
        <v>100</v>
      </c>
      <c r="V25" s="3760" t="s">
        <v>13</v>
      </c>
      <c r="W25" s="3762">
        <f>J25</f>
        <v>100</v>
      </c>
      <c r="X25" s="909"/>
      <c r="Y25" s="4582"/>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580"/>
      <c r="Q26" s="1507">
        <f t="shared" ref="Q26:Q40" si="11">B26</f>
        <v>111</v>
      </c>
      <c r="R26" s="3760" t="s">
        <v>13</v>
      </c>
      <c r="S26" s="3762">
        <f>F26</f>
        <v>100</v>
      </c>
      <c r="T26" s="3760" t="s">
        <v>13</v>
      </c>
      <c r="U26" s="3762">
        <f>H26</f>
        <v>100</v>
      </c>
      <c r="V26" s="3760" t="s">
        <v>13</v>
      </c>
      <c r="W26" s="3762">
        <f>J26</f>
        <v>100</v>
      </c>
      <c r="X26" s="909"/>
      <c r="Y26" s="4582"/>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0"/>
      <c r="Q27" s="1698">
        <f t="shared" si="11"/>
        <v>111</v>
      </c>
      <c r="R27" s="3759" t="s">
        <v>13</v>
      </c>
      <c r="S27" s="3542">
        <f>F27</f>
        <v>100</v>
      </c>
      <c r="T27" s="3759" t="s">
        <v>13</v>
      </c>
      <c r="U27" s="3542">
        <f>H27</f>
        <v>100</v>
      </c>
      <c r="V27" s="3759" t="s">
        <v>13</v>
      </c>
      <c r="W27" s="3542">
        <f>J27</f>
        <v>100</v>
      </c>
      <c r="X27" s="482"/>
      <c r="Y27" s="4582"/>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580"/>
      <c r="Q28" s="1507">
        <f t="shared" si="11"/>
        <v>111</v>
      </c>
      <c r="R28" s="3760" t="s">
        <v>13</v>
      </c>
      <c r="S28" s="3762">
        <f t="shared" ref="S28:S40" si="12">F28</f>
        <v>100</v>
      </c>
      <c r="T28" s="3760" t="s">
        <v>13</v>
      </c>
      <c r="U28" s="3762">
        <f t="shared" ref="U28:U40" si="13">H28</f>
        <v>100</v>
      </c>
      <c r="V28" s="3760" t="s">
        <v>13</v>
      </c>
      <c r="W28" s="3762">
        <f t="shared" ref="W28:W40" si="14">J28</f>
        <v>100</v>
      </c>
      <c r="X28" s="909"/>
      <c r="Y28" s="4582"/>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583" t="s">
        <v>1603</v>
      </c>
      <c r="Q29" s="1507" t="str">
        <f t="shared" si="11"/>
        <v>建筑类型</v>
      </c>
      <c r="R29" s="3760" t="s">
        <v>13</v>
      </c>
      <c r="S29" s="3762">
        <f t="shared" si="12"/>
        <v>100</v>
      </c>
      <c r="T29" s="3760" t="s">
        <v>13</v>
      </c>
      <c r="U29" s="3762">
        <f t="shared" si="13"/>
        <v>100</v>
      </c>
      <c r="V29" s="3760" t="s">
        <v>13</v>
      </c>
      <c r="W29" s="3762">
        <f t="shared" si="14"/>
        <v>100</v>
      </c>
      <c r="X29" s="909"/>
      <c r="Y29" s="4585"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4"/>
      <c r="Q30" s="2864" t="str">
        <f t="shared" si="11"/>
        <v>项目建筑规模</v>
      </c>
      <c r="R30" s="3761" t="s">
        <v>13</v>
      </c>
      <c r="S30" s="3763" t="e">
        <f t="shared" si="12"/>
        <v>#N/A</v>
      </c>
      <c r="T30" s="3761" t="s">
        <v>13</v>
      </c>
      <c r="U30" s="3763" t="e">
        <f t="shared" si="13"/>
        <v>#N/A</v>
      </c>
      <c r="V30" s="3761" t="s">
        <v>13</v>
      </c>
      <c r="W30" s="3763" t="e">
        <f t="shared" si="14"/>
        <v>#N/A</v>
      </c>
      <c r="X30" s="484"/>
      <c r="Y30" s="4585"/>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584"/>
      <c r="Q31" s="1507" t="str">
        <f t="shared" si="11"/>
        <v>建筑结构</v>
      </c>
      <c r="R31" s="3760" t="s">
        <v>13</v>
      </c>
      <c r="S31" s="3762">
        <f t="shared" si="12"/>
        <v>100</v>
      </c>
      <c r="T31" s="3760" t="s">
        <v>13</v>
      </c>
      <c r="U31" s="3762">
        <f t="shared" si="13"/>
        <v>100</v>
      </c>
      <c r="V31" s="3760" t="s">
        <v>13</v>
      </c>
      <c r="W31" s="3762">
        <f t="shared" si="14"/>
        <v>100</v>
      </c>
      <c r="X31" s="909"/>
      <c r="Y31" s="4585"/>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584"/>
      <c r="Q32" s="1507" t="str">
        <f t="shared" si="11"/>
        <v>公共部分装修</v>
      </c>
      <c r="R32" s="3760" t="s">
        <v>13</v>
      </c>
      <c r="S32" s="3762">
        <f t="shared" si="12"/>
        <v>100</v>
      </c>
      <c r="T32" s="3760" t="s">
        <v>13</v>
      </c>
      <c r="U32" s="3762">
        <f t="shared" si="13"/>
        <v>100</v>
      </c>
      <c r="V32" s="3760" t="s">
        <v>13</v>
      </c>
      <c r="W32" s="3762">
        <f t="shared" si="14"/>
        <v>100</v>
      </c>
      <c r="X32" s="909"/>
      <c r="Y32" s="4585"/>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584"/>
      <c r="Q33" s="1507" t="str">
        <f t="shared" si="11"/>
        <v>成新度</v>
      </c>
      <c r="R33" s="3760" t="s">
        <v>13</v>
      </c>
      <c r="S33" s="3762" t="e">
        <f t="shared" si="12"/>
        <v>#N/A</v>
      </c>
      <c r="T33" s="3760" t="s">
        <v>13</v>
      </c>
      <c r="U33" s="3762" t="e">
        <f t="shared" si="13"/>
        <v>#N/A</v>
      </c>
      <c r="V33" s="3760" t="s">
        <v>13</v>
      </c>
      <c r="W33" s="3762" t="e">
        <f t="shared" si="14"/>
        <v>#N/A</v>
      </c>
      <c r="X33" s="909"/>
      <c r="Y33" s="4585"/>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584"/>
      <c r="Q34" s="1698" t="str">
        <f t="shared" si="11"/>
        <v>物业管理</v>
      </c>
      <c r="R34" s="3759" t="s">
        <v>13</v>
      </c>
      <c r="S34" s="3542">
        <f t="shared" si="12"/>
        <v>100</v>
      </c>
      <c r="T34" s="3759" t="s">
        <v>13</v>
      </c>
      <c r="U34" s="3542">
        <f t="shared" si="13"/>
        <v>100</v>
      </c>
      <c r="V34" s="3759" t="s">
        <v>13</v>
      </c>
      <c r="W34" s="3542">
        <f t="shared" si="14"/>
        <v>100</v>
      </c>
      <c r="X34" s="482"/>
      <c r="Y34" s="4585"/>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584" t="s">
        <v>1603</v>
      </c>
      <c r="Q35" s="1507" t="str">
        <f t="shared" si="11"/>
        <v>市政基础设施</v>
      </c>
      <c r="R35" s="3760" t="s">
        <v>13</v>
      </c>
      <c r="S35" s="3762">
        <f t="shared" si="12"/>
        <v>100</v>
      </c>
      <c r="T35" s="3760" t="s">
        <v>13</v>
      </c>
      <c r="U35" s="3762">
        <f t="shared" si="13"/>
        <v>100</v>
      </c>
      <c r="V35" s="3760" t="s">
        <v>13</v>
      </c>
      <c r="W35" s="3762">
        <f t="shared" si="14"/>
        <v>100</v>
      </c>
      <c r="X35" s="909"/>
      <c r="Y35" s="4585"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584"/>
      <c r="Q36" s="1507" t="str">
        <f t="shared" si="11"/>
        <v>内部装修</v>
      </c>
      <c r="R36" s="3760" t="s">
        <v>13</v>
      </c>
      <c r="S36" s="3762">
        <f t="shared" si="12"/>
        <v>100</v>
      </c>
      <c r="T36" s="3760" t="s">
        <v>13</v>
      </c>
      <c r="U36" s="3762">
        <f t="shared" si="13"/>
        <v>100</v>
      </c>
      <c r="V36" s="3760" t="s">
        <v>13</v>
      </c>
      <c r="W36" s="3762">
        <f t="shared" si="14"/>
        <v>100</v>
      </c>
      <c r="X36" s="909"/>
      <c r="Y36" s="4585"/>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584"/>
      <c r="Q37" s="1507" t="str">
        <f t="shared" si="11"/>
        <v>内部装修状况</v>
      </c>
      <c r="R37" s="3760" t="s">
        <v>13</v>
      </c>
      <c r="S37" s="3762">
        <f t="shared" si="12"/>
        <v>100</v>
      </c>
      <c r="T37" s="3760" t="s">
        <v>13</v>
      </c>
      <c r="U37" s="3762">
        <f t="shared" si="13"/>
        <v>100</v>
      </c>
      <c r="V37" s="3760" t="s">
        <v>13</v>
      </c>
      <c r="W37" s="3762">
        <f t="shared" si="14"/>
        <v>100</v>
      </c>
      <c r="X37" s="909"/>
      <c r="Y37" s="4585"/>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584"/>
      <c r="Q38" s="2864">
        <f t="shared" si="11"/>
        <v>111</v>
      </c>
      <c r="R38" s="3761" t="s">
        <v>13</v>
      </c>
      <c r="S38" s="3763">
        <f t="shared" si="12"/>
        <v>100</v>
      </c>
      <c r="T38" s="3761" t="s">
        <v>13</v>
      </c>
      <c r="U38" s="3763">
        <f t="shared" si="13"/>
        <v>100</v>
      </c>
      <c r="V38" s="3761" t="s">
        <v>13</v>
      </c>
      <c r="W38" s="3763">
        <f t="shared" si="14"/>
        <v>100</v>
      </c>
      <c r="X38" s="484"/>
      <c r="Y38" s="4585"/>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584"/>
      <c r="Q39" s="1507">
        <f t="shared" si="11"/>
        <v>111</v>
      </c>
      <c r="R39" s="3760" t="s">
        <v>13</v>
      </c>
      <c r="S39" s="3762">
        <f t="shared" si="12"/>
        <v>100</v>
      </c>
      <c r="T39" s="3760" t="s">
        <v>13</v>
      </c>
      <c r="U39" s="3762">
        <f t="shared" si="13"/>
        <v>100</v>
      </c>
      <c r="V39" s="3760" t="s">
        <v>13</v>
      </c>
      <c r="W39" s="3762">
        <f t="shared" si="14"/>
        <v>100</v>
      </c>
      <c r="X39" s="909"/>
      <c r="Y39" s="4585"/>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71"/>
      <c r="Q40" s="1507">
        <f t="shared" si="11"/>
        <v>111</v>
      </c>
      <c r="R40" s="3760" t="s">
        <v>13</v>
      </c>
      <c r="S40" s="3762">
        <f t="shared" si="12"/>
        <v>100</v>
      </c>
      <c r="T40" s="3760" t="s">
        <v>13</v>
      </c>
      <c r="U40" s="3762">
        <f t="shared" si="13"/>
        <v>100</v>
      </c>
      <c r="V40" s="3760" t="s">
        <v>13</v>
      </c>
      <c r="W40" s="3762">
        <f t="shared" si="14"/>
        <v>100</v>
      </c>
      <c r="X40" s="909"/>
      <c r="Y40" s="4636"/>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78" t="str">
        <f>A41</f>
        <v>成交单价（元/平方米）</v>
      </c>
      <c r="Q41" s="4578"/>
      <c r="R41" s="4570">
        <f>E41</f>
        <v>0</v>
      </c>
      <c r="S41" s="4570"/>
      <c r="T41" s="4570">
        <f>G41</f>
        <v>0</v>
      </c>
      <c r="U41" s="4570"/>
      <c r="V41" s="4570">
        <f>I41</f>
        <v>0</v>
      </c>
      <c r="W41" s="4570"/>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578" t="str">
        <f>A42</f>
        <v>比较价值（元/平方米）</v>
      </c>
      <c r="Q42" s="4578"/>
      <c r="R42" s="4570" t="e">
        <f>IF(F1="售价",ROUND(PRODUCT(R41,AA7:AA40),0),ROUND(PRODUCT(R41,AA7:AA40),1))</f>
        <v>#DIV/0!</v>
      </c>
      <c r="S42" s="4570"/>
      <c r="T42" s="4570" t="e">
        <f>IF(F1="售价",ROUND(PRODUCT(T41,AB7:AB40),0),ROUND(PRODUCT(T41,AB7:AB40),1))</f>
        <v>#DIV/0!</v>
      </c>
      <c r="U42" s="4570"/>
      <c r="V42" s="4570" t="e">
        <f>IF(F1="售价",ROUND(PRODUCT(V41,AC7:AC40),0),ROUND(PRODUCT(V41,AC7:AC40),1))</f>
        <v>#DIV/0!</v>
      </c>
      <c r="W42" s="4570"/>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71" t="str">
        <f>A43</f>
        <v>估价对象XX用房的比较价值（楼面单价，元/平方米）</v>
      </c>
      <c r="Q43" s="4572"/>
      <c r="R43" s="4573" t="e">
        <f>IF(F1="售价",ROUND(IF(D42="简单平均",AVERAGE(R42:V42),R42*F42+T42*H42+V42*J42),0),ROUND(IF(D42="简单平均",AVERAGE(R42:V42),R42*F42+T42*H42+V42*J42),1))</f>
        <v>#DIV/0!</v>
      </c>
      <c r="S43" s="4573"/>
      <c r="T43" s="4573"/>
      <c r="U43" s="4573"/>
      <c r="V43" s="4573"/>
      <c r="W43" s="457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3865</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4" zoomScale="85" zoomScaleNormal="60" zoomScaleSheetLayoutView="85" workbookViewId="0">
      <selection activeCell="E17" sqref="E17"/>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t="s">
        <v>4250</v>
      </c>
      <c r="E1" s="2475" t="s">
        <v>4216</v>
      </c>
      <c r="F1" s="1353" t="s">
        <v>4217</v>
      </c>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17147</v>
      </c>
      <c r="C2" s="2784" t="s">
        <v>4218</v>
      </c>
      <c r="D2" s="229">
        <f>IF(E1="项目模式",IF(E2="——",IF(B37="元/平方米",ROUND(C39*D3/10000,0),ROUND(F3*C39/10000,0)),IF(B37="元/平方米",ROUND(C39*D3/10000,0),ROUND(F3*C39/10000,0))-F2),IF(E1="单套模式",IF(E2="——",IF(B37="元/平方米",ROUND(C39*D3/10000,0),ROUND(F3*C39/10000,0)),IF(B37="元/平方米",ROUND(C39*D3/10000,0),ROUND(F3*C39/10000,0))-F2)))</f>
        <v>17147</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f>IF(AND(E2="——",B37="元/平方米"),C39,ROUND(B2*10000/D3,0))</f>
        <v>11612</v>
      </c>
      <c r="C3" s="234" t="s">
        <v>1675</v>
      </c>
      <c r="D3" s="2880">
        <f>SUMIF('数据-汇总表'!$C19:$C33,D1,'数据-汇总表'!$E19:$E33)</f>
        <v>14766.66</v>
      </c>
      <c r="E3" s="234" t="s">
        <v>1739</v>
      </c>
      <c r="F3" s="392">
        <f>SUMIF('数据-取费表'!A5:A15,D1,'数据-取费表'!AH5:AH15)</f>
        <v>599</v>
      </c>
      <c r="G3" s="3847" t="s">
        <v>3466</v>
      </c>
      <c r="H3" s="3848">
        <v>0.09</v>
      </c>
      <c r="I3" s="587"/>
      <c r="J3" s="587"/>
      <c r="K3" s="589"/>
      <c r="L3" s="1991"/>
      <c r="M3" s="1992">
        <f>IF(E2="——",IF(B37="元/平方米",ROUND(C39*D3/10000,0),ROUND(F3*C39/10000,0)),IF(B37="元/平方米",ROUND(C39*D3/10000,0),ROUND(F3*C39/10000,0))-F2)</f>
        <v>17147</v>
      </c>
      <c r="N3" s="1992"/>
      <c r="O3" s="1992"/>
      <c r="P3" s="768"/>
      <c r="Q3" s="232"/>
      <c r="R3" s="232"/>
      <c r="S3" s="232"/>
      <c r="T3" s="232"/>
      <c r="U3" s="232"/>
      <c r="V3" s="232"/>
      <c r="W3" s="232"/>
      <c r="X3" s="232"/>
      <c r="Y3" s="232"/>
      <c r="Z3" s="232"/>
      <c r="AA3" s="232"/>
      <c r="AB3" s="488"/>
      <c r="AC3" s="481"/>
    </row>
    <row r="4" spans="1:29" ht="15">
      <c r="A4" s="235" t="s">
        <v>1676</v>
      </c>
      <c r="B4" s="236"/>
      <c r="C4" s="4574" t="s">
        <v>1677</v>
      </c>
      <c r="D4" s="4649"/>
      <c r="E4" s="4650" t="s">
        <v>1678</v>
      </c>
      <c r="F4" s="4651"/>
      <c r="G4" s="4574" t="s">
        <v>1679</v>
      </c>
      <c r="H4" s="4649"/>
      <c r="I4" s="4574" t="s">
        <v>1680</v>
      </c>
      <c r="J4" s="4649"/>
      <c r="K4" s="393" t="s">
        <v>1681</v>
      </c>
      <c r="L4" s="1974"/>
      <c r="M4" s="1975"/>
      <c r="N4" s="1975"/>
      <c r="O4" s="1975"/>
      <c r="P4" s="4676" t="s">
        <v>1682</v>
      </c>
      <c r="Q4" s="4677"/>
      <c r="R4" s="4615" t="s">
        <v>1678</v>
      </c>
      <c r="S4" s="4616"/>
      <c r="T4" s="4615" t="s">
        <v>1679</v>
      </c>
      <c r="U4" s="4616"/>
      <c r="V4" s="4642" t="s">
        <v>1680</v>
      </c>
      <c r="W4" s="4642"/>
      <c r="X4" s="909"/>
      <c r="Y4" s="4615" t="s">
        <v>1682</v>
      </c>
      <c r="Z4" s="4616"/>
      <c r="AA4" s="4587" t="s">
        <v>1678</v>
      </c>
      <c r="AB4" s="4588" t="s">
        <v>1679</v>
      </c>
      <c r="AC4" s="4587" t="s">
        <v>1680</v>
      </c>
    </row>
    <row r="5" spans="1:29" ht="15">
      <c r="A5" s="238"/>
      <c r="B5" s="239"/>
      <c r="C5" s="4661" t="s">
        <v>1580</v>
      </c>
      <c r="D5" s="4662"/>
      <c r="E5" s="4684" t="str">
        <f>车位!A8</f>
        <v>建发金茂观宸</v>
      </c>
      <c r="F5" s="4670"/>
      <c r="G5" s="4682" t="str">
        <f>车位!A16</f>
        <v>佑安府</v>
      </c>
      <c r="H5" s="4662"/>
      <c r="I5" s="4682" t="str">
        <f>车位!A17</f>
        <v>招商臻园</v>
      </c>
      <c r="J5" s="4662"/>
      <c r="K5" s="393"/>
      <c r="L5" s="1974"/>
      <c r="M5" s="1975"/>
      <c r="N5" s="1975"/>
      <c r="O5" s="1975"/>
      <c r="P5" s="4678"/>
      <c r="Q5" s="4679"/>
      <c r="R5" s="4617"/>
      <c r="S5" s="4618"/>
      <c r="T5" s="4617"/>
      <c r="U5" s="4618"/>
      <c r="V5" s="4642"/>
      <c r="W5" s="4642"/>
      <c r="X5" s="909"/>
      <c r="Y5" s="4617"/>
      <c r="Z5" s="4618"/>
      <c r="AA5" s="4588"/>
      <c r="AB5" s="4588"/>
      <c r="AC5" s="4588"/>
    </row>
    <row r="6" spans="1:29" ht="15.75" thickBot="1">
      <c r="A6" s="240"/>
      <c r="B6" s="241"/>
      <c r="C6" s="4659" t="s">
        <v>1584</v>
      </c>
      <c r="D6" s="4660"/>
      <c r="E6" s="4666" t="s">
        <v>1584</v>
      </c>
      <c r="F6" s="4667"/>
      <c r="G6" s="4659" t="s">
        <v>1584</v>
      </c>
      <c r="H6" s="4660"/>
      <c r="I6" s="4659" t="s">
        <v>1584</v>
      </c>
      <c r="J6" s="4660"/>
      <c r="K6" s="393" t="s">
        <v>1585</v>
      </c>
      <c r="L6" s="1974"/>
      <c r="M6" s="1975"/>
      <c r="N6" s="1975"/>
      <c r="O6" s="1975"/>
      <c r="P6" s="4680"/>
      <c r="Q6" s="4681"/>
      <c r="R6" s="4617"/>
      <c r="S6" s="4618"/>
      <c r="T6" s="4619"/>
      <c r="U6" s="4620"/>
      <c r="V6" s="4642"/>
      <c r="W6" s="4642"/>
      <c r="X6" s="909"/>
      <c r="Y6" s="4619"/>
      <c r="Z6" s="4620"/>
      <c r="AA6" s="4589"/>
      <c r="AB6" s="4589"/>
      <c r="AC6" s="4589"/>
    </row>
    <row r="7" spans="1:29" s="46" customFormat="1" ht="15.75" thickBot="1">
      <c r="A7" s="242" t="s">
        <v>1586</v>
      </c>
      <c r="B7" s="243"/>
      <c r="C7" s="244">
        <f>'数据-取费表'!B2</f>
        <v>46091</v>
      </c>
      <c r="D7" s="2898">
        <v>100</v>
      </c>
      <c r="E7" s="245">
        <f>C7</f>
        <v>46091</v>
      </c>
      <c r="F7" s="3747">
        <f>SUMIF(48:48,YEAR(E7)&amp;"-"&amp;MONTH(E7),49:49)</f>
        <v>100</v>
      </c>
      <c r="G7" s="245">
        <f>C7</f>
        <v>46091</v>
      </c>
      <c r="H7" s="3753">
        <f>SUMIF(48:48,YEAR(G7)&amp;"-"&amp;MONTH(G7),49:49)</f>
        <v>100</v>
      </c>
      <c r="I7" s="245">
        <f>C7</f>
        <v>46091</v>
      </c>
      <c r="J7" s="3753">
        <f>SUMIF(48:48,YEAR(I7)&amp;"-"&amp;MONTH(I7),49:49)</f>
        <v>100</v>
      </c>
      <c r="K7" s="22"/>
      <c r="L7" s="1976"/>
      <c r="M7" s="1929"/>
      <c r="N7" s="1929"/>
      <c r="O7" s="1929"/>
      <c r="P7" s="4613" t="s">
        <v>1587</v>
      </c>
      <c r="Q7" s="4683"/>
      <c r="R7" s="3766" t="s">
        <v>13</v>
      </c>
      <c r="S7" s="3769">
        <f t="shared" ref="S7:S14" si="0">F7</f>
        <v>100</v>
      </c>
      <c r="T7" s="3766" t="s">
        <v>13</v>
      </c>
      <c r="U7" s="3769">
        <f t="shared" ref="U7:U14" si="1">H7</f>
        <v>100</v>
      </c>
      <c r="V7" s="3766" t="s">
        <v>13</v>
      </c>
      <c r="W7" s="3769">
        <f t="shared" ref="W7:W14" si="2">J7</f>
        <v>100</v>
      </c>
      <c r="X7" s="482"/>
      <c r="Y7" s="4613" t="s">
        <v>1587</v>
      </c>
      <c r="Z7" s="4614"/>
      <c r="AA7" s="28">
        <f>D7/F7</f>
        <v>1</v>
      </c>
      <c r="AB7" s="28">
        <f>D7/H7</f>
        <v>1</v>
      </c>
      <c r="AC7" s="28">
        <f>D7/J7</f>
        <v>1</v>
      </c>
    </row>
    <row r="8" spans="1:29" s="46" customFormat="1" ht="15.75" thickBot="1">
      <c r="A8" s="242" t="s">
        <v>1588</v>
      </c>
      <c r="B8" s="243"/>
      <c r="C8" s="246" t="s">
        <v>4183</v>
      </c>
      <c r="D8" s="2898">
        <v>100</v>
      </c>
      <c r="E8" s="246" t="s">
        <v>4183</v>
      </c>
      <c r="F8" s="3747">
        <f>SUMIF(51:51,E8,52:52)-SUMIF(51:51,C8,52:52)+100</f>
        <v>100</v>
      </c>
      <c r="G8" s="246" t="s">
        <v>4183</v>
      </c>
      <c r="H8" s="3753">
        <f>SUMIF(51:51,G8,52:52)-SUMIF(51:51,C8,52:52)+100</f>
        <v>100</v>
      </c>
      <c r="I8" s="246" t="s">
        <v>4183</v>
      </c>
      <c r="J8" s="3753">
        <f>SUMIF(51:51,I8,52:52)-SUMIF(51:51,C8,52:52)+100</f>
        <v>100</v>
      </c>
      <c r="K8" s="22"/>
      <c r="L8" s="1976"/>
      <c r="M8" s="1929"/>
      <c r="N8" s="1929"/>
      <c r="O8" s="1929"/>
      <c r="P8" s="4613" t="s">
        <v>1590</v>
      </c>
      <c r="Q8" s="4614"/>
      <c r="R8" s="3766" t="s">
        <v>13</v>
      </c>
      <c r="S8" s="3769">
        <f t="shared" si="0"/>
        <v>100</v>
      </c>
      <c r="T8" s="3766" t="s">
        <v>13</v>
      </c>
      <c r="U8" s="3769">
        <f t="shared" si="1"/>
        <v>100</v>
      </c>
      <c r="V8" s="3766" t="s">
        <v>13</v>
      </c>
      <c r="W8" s="3769">
        <f t="shared" si="2"/>
        <v>100</v>
      </c>
      <c r="X8" s="482"/>
      <c r="Y8" s="4613" t="s">
        <v>1590</v>
      </c>
      <c r="Z8" s="4614"/>
      <c r="AA8" s="28">
        <f t="shared" ref="AA8:AA36" si="3">D8/F8</f>
        <v>1</v>
      </c>
      <c r="AB8" s="28">
        <f t="shared" ref="AB8:AB36" si="4">D8/H8</f>
        <v>1</v>
      </c>
      <c r="AC8" s="28">
        <f t="shared" ref="AC8:AC36" si="5">D8/J8</f>
        <v>1</v>
      </c>
    </row>
    <row r="9" spans="1:29" s="46" customFormat="1">
      <c r="A9" s="31" t="s">
        <v>1591</v>
      </c>
      <c r="B9" s="412" t="s">
        <v>1592</v>
      </c>
      <c r="C9" s="4290" t="s">
        <v>4254</v>
      </c>
      <c r="D9" s="2899">
        <v>100</v>
      </c>
      <c r="E9" s="250" t="s">
        <v>4253</v>
      </c>
      <c r="F9" s="33">
        <f>SUMIF(53:53,E9,54:54)-SUMIF(53:53,C9,54:54)+100</f>
        <v>100</v>
      </c>
      <c r="G9" s="249" t="s">
        <v>4253</v>
      </c>
      <c r="H9" s="33">
        <f>SUMIF(53:53,G9,54:54)-SUMIF(53:53,C9,54:54)+100</f>
        <v>100</v>
      </c>
      <c r="I9" s="249" t="s">
        <v>4253</v>
      </c>
      <c r="J9" s="33">
        <f>SUMIF(53:53,I9,54:54)-SUMIF(53:53,C9,54:54)+100</f>
        <v>100</v>
      </c>
      <c r="K9" s="22"/>
      <c r="L9" s="1976"/>
      <c r="M9" s="1929"/>
      <c r="N9" s="1929"/>
      <c r="O9" s="1929"/>
      <c r="P9" s="4577" t="s">
        <v>1593</v>
      </c>
      <c r="Q9" s="389" t="str">
        <f t="shared" ref="Q9:Q14" si="6">B9</f>
        <v>用途</v>
      </c>
      <c r="R9" s="3766" t="s">
        <v>13</v>
      </c>
      <c r="S9" s="3769">
        <f t="shared" si="0"/>
        <v>100</v>
      </c>
      <c r="T9" s="3766" t="s">
        <v>13</v>
      </c>
      <c r="U9" s="3769">
        <f t="shared" si="1"/>
        <v>100</v>
      </c>
      <c r="V9" s="3766" t="s">
        <v>13</v>
      </c>
      <c r="W9" s="3769">
        <f t="shared" si="2"/>
        <v>100</v>
      </c>
      <c r="X9" s="482"/>
      <c r="Y9" s="4586"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77"/>
      <c r="Q10" s="389" t="str">
        <f t="shared" si="6"/>
        <v>土地使用年限（年）</v>
      </c>
      <c r="R10" s="3766" t="s">
        <v>13</v>
      </c>
      <c r="S10" s="3769">
        <f t="shared" si="0"/>
        <v>100</v>
      </c>
      <c r="T10" s="3766" t="s">
        <v>13</v>
      </c>
      <c r="U10" s="3769">
        <f t="shared" si="1"/>
        <v>100</v>
      </c>
      <c r="V10" s="3766" t="s">
        <v>13</v>
      </c>
      <c r="W10" s="3769">
        <f t="shared" si="2"/>
        <v>100</v>
      </c>
      <c r="X10" s="482"/>
      <c r="Y10" s="4586"/>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77"/>
      <c r="Q11" s="389">
        <f t="shared" si="6"/>
        <v>111</v>
      </c>
      <c r="R11" s="3766" t="s">
        <v>13</v>
      </c>
      <c r="S11" s="3769">
        <f t="shared" si="0"/>
        <v>100</v>
      </c>
      <c r="T11" s="3766" t="s">
        <v>13</v>
      </c>
      <c r="U11" s="3769">
        <f t="shared" si="1"/>
        <v>100</v>
      </c>
      <c r="V11" s="3766" t="s">
        <v>13</v>
      </c>
      <c r="W11" s="3769">
        <f t="shared" si="2"/>
        <v>100</v>
      </c>
      <c r="X11" s="482"/>
      <c r="Y11" s="4586"/>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77"/>
      <c r="Q12" s="389">
        <f t="shared" si="6"/>
        <v>111</v>
      </c>
      <c r="R12" s="3766" t="s">
        <v>13</v>
      </c>
      <c r="S12" s="3769">
        <f t="shared" si="0"/>
        <v>100</v>
      </c>
      <c r="T12" s="3766" t="s">
        <v>13</v>
      </c>
      <c r="U12" s="3769">
        <f t="shared" si="1"/>
        <v>100</v>
      </c>
      <c r="V12" s="3766" t="s">
        <v>13</v>
      </c>
      <c r="W12" s="3769">
        <f t="shared" si="2"/>
        <v>100</v>
      </c>
      <c r="X12" s="482"/>
      <c r="Y12" s="4586"/>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577"/>
      <c r="Q13" s="389">
        <f t="shared" si="6"/>
        <v>111</v>
      </c>
      <c r="R13" s="3766" t="s">
        <v>13</v>
      </c>
      <c r="S13" s="3769">
        <f t="shared" si="0"/>
        <v>100</v>
      </c>
      <c r="T13" s="3766" t="s">
        <v>13</v>
      </c>
      <c r="U13" s="3769">
        <f t="shared" si="1"/>
        <v>100</v>
      </c>
      <c r="V13" s="3766" t="s">
        <v>13</v>
      </c>
      <c r="W13" s="3769">
        <f t="shared" si="2"/>
        <v>100</v>
      </c>
      <c r="X13" s="482"/>
      <c r="Y13" s="4586"/>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98</v>
      </c>
      <c r="K14" s="396">
        <v>2</v>
      </c>
      <c r="L14" s="1980"/>
      <c r="M14" s="1975"/>
      <c r="N14" s="1975"/>
      <c r="O14" s="1975"/>
      <c r="P14" s="4581" t="s">
        <v>1598</v>
      </c>
      <c r="Q14" s="906" t="str">
        <f t="shared" si="6"/>
        <v>交通便捷度</v>
      </c>
      <c r="R14" s="3767" t="s">
        <v>13</v>
      </c>
      <c r="S14" s="3770">
        <f t="shared" si="0"/>
        <v>100</v>
      </c>
      <c r="T14" s="3767" t="s">
        <v>13</v>
      </c>
      <c r="U14" s="3770">
        <f t="shared" si="1"/>
        <v>100</v>
      </c>
      <c r="V14" s="3767" t="s">
        <v>13</v>
      </c>
      <c r="W14" s="3770">
        <f t="shared" si="2"/>
        <v>98</v>
      </c>
      <c r="X14" s="909"/>
      <c r="Y14" s="4581" t="s">
        <v>1598</v>
      </c>
      <c r="Z14" s="907" t="str">
        <f t="shared" si="7"/>
        <v>交通便捷度</v>
      </c>
      <c r="AA14" s="907">
        <f t="shared" si="3"/>
        <v>1</v>
      </c>
      <c r="AB14" s="907">
        <f t="shared" si="4"/>
        <v>1</v>
      </c>
      <c r="AC14" s="907">
        <f t="shared" si="5"/>
        <v>1.0204081632653061</v>
      </c>
    </row>
    <row r="15" spans="1:29" ht="15">
      <c r="A15" s="238"/>
      <c r="B15" s="419"/>
      <c r="C15" s="266" t="s">
        <v>3602</v>
      </c>
      <c r="D15" s="2905"/>
      <c r="E15" s="266" t="s">
        <v>3602</v>
      </c>
      <c r="F15" s="3756"/>
      <c r="G15" s="266" t="s">
        <v>3602</v>
      </c>
      <c r="H15" s="268"/>
      <c r="I15" s="266" t="s">
        <v>3601</v>
      </c>
      <c r="J15" s="267"/>
      <c r="K15" s="397"/>
      <c r="L15" s="1980"/>
      <c r="M15" s="1975"/>
      <c r="N15" s="1975"/>
      <c r="O15" s="1975"/>
      <c r="P15" s="4582"/>
      <c r="Q15" s="906"/>
      <c r="R15" s="3767"/>
      <c r="S15" s="3770"/>
      <c r="T15" s="3767"/>
      <c r="U15" s="3770"/>
      <c r="V15" s="3767"/>
      <c r="W15" s="3770"/>
      <c r="X15" s="909"/>
      <c r="Y15" s="4582"/>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98</v>
      </c>
      <c r="K16" s="396">
        <v>2</v>
      </c>
      <c r="L16" s="1980"/>
      <c r="M16" s="1975"/>
      <c r="N16" s="1975"/>
      <c r="O16" s="1975"/>
      <c r="P16" s="4582"/>
      <c r="Q16" s="906" t="str">
        <f>B16</f>
        <v>公共配套设施</v>
      </c>
      <c r="R16" s="3767" t="s">
        <v>13</v>
      </c>
      <c r="S16" s="3770">
        <f>F16</f>
        <v>100</v>
      </c>
      <c r="T16" s="3767" t="s">
        <v>13</v>
      </c>
      <c r="U16" s="3770">
        <f>H16</f>
        <v>100</v>
      </c>
      <c r="V16" s="3767" t="s">
        <v>13</v>
      </c>
      <c r="W16" s="3770">
        <f>J16</f>
        <v>98</v>
      </c>
      <c r="X16" s="909"/>
      <c r="Y16" s="4582"/>
      <c r="Z16" s="907" t="str">
        <f>Q16</f>
        <v>公共配套设施</v>
      </c>
      <c r="AA16" s="907">
        <f t="shared" si="3"/>
        <v>1</v>
      </c>
      <c r="AB16" s="907">
        <f t="shared" si="4"/>
        <v>1</v>
      </c>
      <c r="AC16" s="907">
        <f t="shared" si="5"/>
        <v>1.0204081632653061</v>
      </c>
    </row>
    <row r="17" spans="1:29" ht="15">
      <c r="A17" s="238"/>
      <c r="B17" s="406"/>
      <c r="C17" s="1365" t="s">
        <v>3602</v>
      </c>
      <c r="D17" s="2905"/>
      <c r="E17" s="266" t="s">
        <v>3602</v>
      </c>
      <c r="F17" s="3756"/>
      <c r="G17" s="266" t="s">
        <v>3602</v>
      </c>
      <c r="H17" s="267"/>
      <c r="I17" s="266" t="s">
        <v>3601</v>
      </c>
      <c r="J17" s="267"/>
      <c r="K17" s="397"/>
      <c r="L17" s="1980"/>
      <c r="M17" s="1975"/>
      <c r="N17" s="1975"/>
      <c r="O17" s="1975"/>
      <c r="P17" s="4582"/>
      <c r="Q17" s="906"/>
      <c r="R17" s="3767"/>
      <c r="S17" s="3770"/>
      <c r="T17" s="3767"/>
      <c r="U17" s="3770"/>
      <c r="V17" s="3767"/>
      <c r="W17" s="3770"/>
      <c r="X17" s="909"/>
      <c r="Y17" s="4582"/>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v>2</v>
      </c>
      <c r="L18" s="1980"/>
      <c r="M18" s="1975"/>
      <c r="N18" s="1975"/>
      <c r="O18" s="1975"/>
      <c r="P18" s="4582"/>
      <c r="Q18" s="906" t="str">
        <f>B18</f>
        <v>基础设施水平</v>
      </c>
      <c r="R18" s="3767" t="s">
        <v>13</v>
      </c>
      <c r="S18" s="3770">
        <f>F18</f>
        <v>100</v>
      </c>
      <c r="T18" s="3767" t="s">
        <v>13</v>
      </c>
      <c r="U18" s="3770">
        <f>H18</f>
        <v>100</v>
      </c>
      <c r="V18" s="3767" t="s">
        <v>13</v>
      </c>
      <c r="W18" s="3770">
        <f>J18</f>
        <v>100</v>
      </c>
      <c r="X18" s="909"/>
      <c r="Y18" s="4582"/>
      <c r="Z18" s="907" t="str">
        <f>Q18</f>
        <v>基础设施水平</v>
      </c>
      <c r="AA18" s="907">
        <f t="shared" ref="AA18" si="8">D18/F18</f>
        <v>1</v>
      </c>
      <c r="AB18" s="907">
        <f t="shared" ref="AB18" si="9">D18/H18</f>
        <v>1</v>
      </c>
      <c r="AC18" s="907">
        <f t="shared" ref="AC18" si="10">D18/J18</f>
        <v>1</v>
      </c>
    </row>
    <row r="19" spans="1:29" ht="15">
      <c r="A19" s="238"/>
      <c r="B19" s="407"/>
      <c r="C19" s="1365" t="s">
        <v>3603</v>
      </c>
      <c r="D19" s="2906"/>
      <c r="E19" s="1365" t="s">
        <v>3603</v>
      </c>
      <c r="F19" s="3757"/>
      <c r="G19" s="1365" t="s">
        <v>3603</v>
      </c>
      <c r="H19" s="267"/>
      <c r="I19" s="266" t="s">
        <v>3603</v>
      </c>
      <c r="J19" s="267"/>
      <c r="K19" s="758"/>
      <c r="L19" s="1980"/>
      <c r="M19" s="1975"/>
      <c r="N19" s="1975"/>
      <c r="O19" s="1975"/>
      <c r="P19" s="4582"/>
      <c r="Q19" s="906"/>
      <c r="R19" s="3767"/>
      <c r="S19" s="3770"/>
      <c r="T19" s="3767"/>
      <c r="U19" s="3770"/>
      <c r="V19" s="3767"/>
      <c r="W19" s="3770"/>
      <c r="X19" s="909"/>
      <c r="Y19" s="4582"/>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98</v>
      </c>
      <c r="G20" s="274"/>
      <c r="H20" s="268">
        <f>SUMIF(69:69,G21,70:70)-SUMIF(69:69,C21,70:70)+100</f>
        <v>100</v>
      </c>
      <c r="I20" s="270"/>
      <c r="J20" s="268">
        <f>SUMIF(69:69,I21,70:70)-SUMIF(69:69,C21,70:70)+100</f>
        <v>98</v>
      </c>
      <c r="K20" s="396">
        <v>2</v>
      </c>
      <c r="L20" s="1980"/>
      <c r="M20" s="1975"/>
      <c r="N20" s="1975"/>
      <c r="O20" s="1975"/>
      <c r="P20" s="4582"/>
      <c r="Q20" s="906" t="str">
        <f>B20</f>
        <v>自然及人文环境</v>
      </c>
      <c r="R20" s="3767" t="s">
        <v>13</v>
      </c>
      <c r="S20" s="3770">
        <f>F20</f>
        <v>98</v>
      </c>
      <c r="T20" s="3767" t="s">
        <v>13</v>
      </c>
      <c r="U20" s="3770">
        <f>H20</f>
        <v>100</v>
      </c>
      <c r="V20" s="3767" t="s">
        <v>13</v>
      </c>
      <c r="W20" s="3770">
        <f>J20</f>
        <v>98</v>
      </c>
      <c r="X20" s="909"/>
      <c r="Y20" s="4582"/>
      <c r="Z20" s="907" t="str">
        <f>Q20</f>
        <v>自然及人文环境</v>
      </c>
      <c r="AA20" s="907">
        <f t="shared" si="3"/>
        <v>1.0204081632653061</v>
      </c>
      <c r="AB20" s="907">
        <f t="shared" si="4"/>
        <v>1</v>
      </c>
      <c r="AC20" s="907">
        <f t="shared" si="5"/>
        <v>1.0204081632653061</v>
      </c>
    </row>
    <row r="21" spans="1:29" ht="15">
      <c r="A21" s="238"/>
      <c r="B21" s="406"/>
      <c r="C21" s="266" t="s">
        <v>3602</v>
      </c>
      <c r="D21" s="2905"/>
      <c r="E21" s="266" t="s">
        <v>3601</v>
      </c>
      <c r="F21" s="3756"/>
      <c r="G21" s="266" t="s">
        <v>3602</v>
      </c>
      <c r="H21" s="267"/>
      <c r="I21" s="266" t="s">
        <v>3601</v>
      </c>
      <c r="J21" s="267"/>
      <c r="K21" s="397"/>
      <c r="L21" s="1980"/>
      <c r="M21" s="1975"/>
      <c r="N21" s="1975"/>
      <c r="O21" s="1975"/>
      <c r="P21" s="4582"/>
      <c r="Q21" s="906"/>
      <c r="R21" s="3767"/>
      <c r="S21" s="3770"/>
      <c r="T21" s="3767"/>
      <c r="U21" s="3770"/>
      <c r="V21" s="3767"/>
      <c r="W21" s="3770"/>
      <c r="X21" s="909"/>
      <c r="Y21" s="4582"/>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82"/>
      <c r="Q22" s="906" t="str">
        <f>B22</f>
        <v>楼层</v>
      </c>
      <c r="R22" s="3767" t="s">
        <v>13</v>
      </c>
      <c r="S22" s="3770">
        <f>F22</f>
        <v>100</v>
      </c>
      <c r="T22" s="3767" t="s">
        <v>13</v>
      </c>
      <c r="U22" s="3770">
        <f>H22</f>
        <v>100</v>
      </c>
      <c r="V22" s="3767" t="s">
        <v>13</v>
      </c>
      <c r="W22" s="3770">
        <f>J22</f>
        <v>100</v>
      </c>
      <c r="X22" s="909"/>
      <c r="Y22" s="4582"/>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82"/>
      <c r="Q23" s="906">
        <f>B23</f>
        <v>111</v>
      </c>
      <c r="R23" s="3767" t="s">
        <v>13</v>
      </c>
      <c r="S23" s="3770">
        <f>F23</f>
        <v>100</v>
      </c>
      <c r="T23" s="3767" t="s">
        <v>13</v>
      </c>
      <c r="U23" s="3770">
        <f>H23</f>
        <v>100</v>
      </c>
      <c r="V23" s="3767" t="s">
        <v>13</v>
      </c>
      <c r="W23" s="3770">
        <f>J23</f>
        <v>100</v>
      </c>
      <c r="X23" s="909"/>
      <c r="Y23" s="4582"/>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82"/>
      <c r="Q24" s="906">
        <f t="shared" ref="Q24:Q36" si="11">B24</f>
        <v>111</v>
      </c>
      <c r="R24" s="3767" t="s">
        <v>13</v>
      </c>
      <c r="S24" s="3770">
        <f>F24</f>
        <v>100</v>
      </c>
      <c r="T24" s="3767" t="s">
        <v>13</v>
      </c>
      <c r="U24" s="3770">
        <f>H24</f>
        <v>100</v>
      </c>
      <c r="V24" s="3767" t="s">
        <v>13</v>
      </c>
      <c r="W24" s="3770">
        <f>J24</f>
        <v>100</v>
      </c>
      <c r="X24" s="909"/>
      <c r="Y24" s="4582"/>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82"/>
      <c r="Q25" s="389">
        <f t="shared" si="11"/>
        <v>111</v>
      </c>
      <c r="R25" s="3766" t="s">
        <v>13</v>
      </c>
      <c r="S25" s="3769">
        <f>F25</f>
        <v>100</v>
      </c>
      <c r="T25" s="3766" t="s">
        <v>13</v>
      </c>
      <c r="U25" s="3769">
        <f>H25</f>
        <v>100</v>
      </c>
      <c r="V25" s="3766" t="s">
        <v>13</v>
      </c>
      <c r="W25" s="3769">
        <f>J25</f>
        <v>100</v>
      </c>
      <c r="X25" s="482"/>
      <c r="Y25" s="4582"/>
      <c r="Z25" s="28">
        <f>Q25</f>
        <v>111</v>
      </c>
      <c r="AA25" s="907">
        <f>D25/F25</f>
        <v>1</v>
      </c>
      <c r="AB25" s="907">
        <f>D25/H25</f>
        <v>1</v>
      </c>
      <c r="AC25" s="907">
        <f>D25/J25</f>
        <v>1</v>
      </c>
    </row>
    <row r="26" spans="1:29" ht="28.5">
      <c r="A26" s="420" t="s">
        <v>1601</v>
      </c>
      <c r="B26" s="33" t="s">
        <v>1743</v>
      </c>
      <c r="C26" s="1425" t="str">
        <f>B1</f>
        <v>车库</v>
      </c>
      <c r="D26" s="2905">
        <v>100</v>
      </c>
      <c r="E26" s="266" t="s">
        <v>3211</v>
      </c>
      <c r="F26" s="3756">
        <f>SUMIF(79:79,E26,80:80)-SUMIF(79:79,C26,80:80)+100</f>
        <v>100</v>
      </c>
      <c r="G26" s="266" t="s">
        <v>3211</v>
      </c>
      <c r="H26" s="267">
        <f>SUMIF(79:79,G26,80:80)-SUMIF(79:79,C26,80:80)+100</f>
        <v>100</v>
      </c>
      <c r="I26" s="266" t="s">
        <v>3211</v>
      </c>
      <c r="J26" s="267">
        <f>SUMIF(79:79,I26,80:80)-SUMIF(79:79,C26,80:80)+100</f>
        <v>100</v>
      </c>
      <c r="K26" s="394">
        <v>2</v>
      </c>
      <c r="L26" s="1980"/>
      <c r="M26" s="1975"/>
      <c r="N26" s="1975"/>
      <c r="O26" s="1975"/>
      <c r="P26" s="4675" t="s">
        <v>1603</v>
      </c>
      <c r="Q26" s="906" t="str">
        <f t="shared" si="11"/>
        <v>配套类型</v>
      </c>
      <c r="R26" s="3767" t="s">
        <v>13</v>
      </c>
      <c r="S26" s="3770">
        <f t="shared" ref="S26:S36" si="12">F26</f>
        <v>100</v>
      </c>
      <c r="T26" s="3767" t="s">
        <v>13</v>
      </c>
      <c r="U26" s="3770">
        <f t="shared" ref="U26:U36" si="13">H26</f>
        <v>100</v>
      </c>
      <c r="V26" s="3767" t="s">
        <v>13</v>
      </c>
      <c r="W26" s="3770">
        <f t="shared" ref="W26:W36" si="14">J26</f>
        <v>100</v>
      </c>
      <c r="X26" s="909"/>
      <c r="Y26" s="4585" t="s">
        <v>1603</v>
      </c>
      <c r="Z26" s="907" t="str">
        <f t="shared" ref="Z26:Z36" si="15">Q26</f>
        <v>配套类型</v>
      </c>
      <c r="AA26" s="907">
        <f t="shared" si="3"/>
        <v>1</v>
      </c>
      <c r="AB26" s="907">
        <f t="shared" si="4"/>
        <v>1</v>
      </c>
      <c r="AC26" s="907">
        <f t="shared" si="5"/>
        <v>1</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85"/>
      <c r="Q27" s="483" t="str">
        <f t="shared" si="11"/>
        <v>项目停车位配比</v>
      </c>
      <c r="R27" s="3768" t="s">
        <v>13</v>
      </c>
      <c r="S27" s="3771">
        <f t="shared" si="12"/>
        <v>100</v>
      </c>
      <c r="T27" s="3768" t="s">
        <v>13</v>
      </c>
      <c r="U27" s="3771">
        <f t="shared" si="13"/>
        <v>100</v>
      </c>
      <c r="V27" s="3768" t="s">
        <v>13</v>
      </c>
      <c r="W27" s="3771">
        <f t="shared" si="14"/>
        <v>100</v>
      </c>
      <c r="X27" s="484"/>
      <c r="Y27" s="4585"/>
      <c r="Z27" s="485" t="str">
        <f t="shared" si="15"/>
        <v>项目停车位配比</v>
      </c>
      <c r="AA27" s="907">
        <f t="shared" si="3"/>
        <v>1</v>
      </c>
      <c r="AB27" s="907">
        <f t="shared" si="4"/>
        <v>1</v>
      </c>
      <c r="AC27" s="907">
        <f t="shared" si="5"/>
        <v>1</v>
      </c>
    </row>
    <row r="28" spans="1:29" ht="15">
      <c r="A28" s="424"/>
      <c r="B28" s="422" t="s">
        <v>1745</v>
      </c>
      <c r="C28" s="275" t="s">
        <v>4227</v>
      </c>
      <c r="D28" s="2902">
        <v>100</v>
      </c>
      <c r="E28" s="275" t="s">
        <v>4227</v>
      </c>
      <c r="F28" s="908">
        <f>SUMIF(83:83,E28,84:84)-SUMIF(83:83,C28,84:84)+100</f>
        <v>100</v>
      </c>
      <c r="G28" s="275" t="s">
        <v>4227</v>
      </c>
      <c r="H28" s="3751">
        <f>SUMIF(83:83,G28,84:84)-SUMIF(83:83,C28,84:84)+100</f>
        <v>100</v>
      </c>
      <c r="I28" s="275" t="s">
        <v>4227</v>
      </c>
      <c r="J28" s="3751">
        <f>SUMIF(83:83,I28,84:84)-SUMIF(83:83,C28,84:84)+100</f>
        <v>100</v>
      </c>
      <c r="K28" s="394">
        <v>1</v>
      </c>
      <c r="L28" s="1980"/>
      <c r="M28" s="1975"/>
      <c r="N28" s="1975"/>
      <c r="O28" s="1975"/>
      <c r="P28" s="4585"/>
      <c r="Q28" s="906" t="str">
        <f t="shared" si="11"/>
        <v>公共部分装修</v>
      </c>
      <c r="R28" s="3767" t="s">
        <v>13</v>
      </c>
      <c r="S28" s="3770">
        <f t="shared" si="12"/>
        <v>100</v>
      </c>
      <c r="T28" s="3767" t="s">
        <v>13</v>
      </c>
      <c r="U28" s="3770">
        <f t="shared" si="13"/>
        <v>100</v>
      </c>
      <c r="V28" s="3767" t="s">
        <v>13</v>
      </c>
      <c r="W28" s="3770">
        <f t="shared" si="14"/>
        <v>100</v>
      </c>
      <c r="X28" s="909"/>
      <c r="Y28" s="4585"/>
      <c r="Z28" s="907" t="str">
        <f t="shared" si="15"/>
        <v>公共部分装修</v>
      </c>
      <c r="AA28" s="907">
        <f t="shared" si="3"/>
        <v>1</v>
      </c>
      <c r="AB28" s="907">
        <f t="shared" si="4"/>
        <v>1</v>
      </c>
      <c r="AC28" s="907">
        <f t="shared" si="5"/>
        <v>1</v>
      </c>
    </row>
    <row r="29" spans="1:29" ht="15">
      <c r="A29" s="424"/>
      <c r="B29" s="422" t="s">
        <v>1746</v>
      </c>
      <c r="C29" s="282">
        <v>1</v>
      </c>
      <c r="D29" s="2902">
        <v>100</v>
      </c>
      <c r="E29" s="282">
        <v>1</v>
      </c>
      <c r="F29" s="908">
        <f>LOOKUP(E29,86:86,87:87)-LOOKUP(C29,86:86,87:87)+100</f>
        <v>100</v>
      </c>
      <c r="G29" s="282">
        <v>1</v>
      </c>
      <c r="H29" s="908">
        <f>LOOKUP(G29,86:86,87:87)-LOOKUP(C29,86:86,87:87)+100</f>
        <v>100</v>
      </c>
      <c r="I29" s="282">
        <v>1</v>
      </c>
      <c r="J29" s="3751">
        <f>LOOKUP(I29,86:86,87:87)-LOOKUP(C29,86:86,87:87)+100</f>
        <v>100</v>
      </c>
      <c r="K29" s="394">
        <v>1</v>
      </c>
      <c r="L29" s="1980"/>
      <c r="M29" s="1975"/>
      <c r="N29" s="1975"/>
      <c r="O29" s="1975"/>
      <c r="P29" s="4585"/>
      <c r="Q29" s="906" t="str">
        <f t="shared" si="11"/>
        <v>成新率</v>
      </c>
      <c r="R29" s="3767" t="s">
        <v>13</v>
      </c>
      <c r="S29" s="3770">
        <f t="shared" si="12"/>
        <v>100</v>
      </c>
      <c r="T29" s="3767" t="s">
        <v>13</v>
      </c>
      <c r="U29" s="3770">
        <f t="shared" si="13"/>
        <v>100</v>
      </c>
      <c r="V29" s="3767" t="s">
        <v>13</v>
      </c>
      <c r="W29" s="3770">
        <f t="shared" si="14"/>
        <v>100</v>
      </c>
      <c r="X29" s="909"/>
      <c r="Y29" s="4585"/>
      <c r="Z29" s="907" t="str">
        <f t="shared" si="15"/>
        <v>成新率</v>
      </c>
      <c r="AA29" s="907">
        <f t="shared" si="3"/>
        <v>1</v>
      </c>
      <c r="AB29" s="907">
        <f t="shared" si="4"/>
        <v>1</v>
      </c>
      <c r="AC29" s="907">
        <f t="shared" si="5"/>
        <v>1</v>
      </c>
    </row>
    <row r="30" spans="1:29" ht="15">
      <c r="A30" s="424"/>
      <c r="B30" s="422" t="s">
        <v>1747</v>
      </c>
      <c r="C30" s="425" t="s">
        <v>4228</v>
      </c>
      <c r="D30" s="2902">
        <v>100</v>
      </c>
      <c r="E30" s="425" t="s">
        <v>4228</v>
      </c>
      <c r="F30" s="908">
        <f>SUMIF(88:88,E30,89:89)-SUMIF(88:88,C30,89:89)+100</f>
        <v>100</v>
      </c>
      <c r="G30" s="425" t="s">
        <v>4228</v>
      </c>
      <c r="H30" s="3751">
        <f>SUMIF(88:88,E30,89:89)-SUMIF(88:88,C30,89:89)+100</f>
        <v>100</v>
      </c>
      <c r="I30" s="425" t="s">
        <v>4228</v>
      </c>
      <c r="J30" s="3751">
        <f>SUMIF(88:88,E30,89:89)-SUMIF(88:88,C30,89:89)+100</f>
        <v>100</v>
      </c>
      <c r="K30" s="394">
        <v>1</v>
      </c>
      <c r="L30" s="1980"/>
      <c r="M30" s="1975"/>
      <c r="N30" s="1975"/>
      <c r="O30" s="1975"/>
      <c r="P30" s="4585"/>
      <c r="Q30" s="906" t="str">
        <f t="shared" si="11"/>
        <v>物业等级</v>
      </c>
      <c r="R30" s="3767" t="s">
        <v>13</v>
      </c>
      <c r="S30" s="3770">
        <f t="shared" si="12"/>
        <v>100</v>
      </c>
      <c r="T30" s="3767" t="s">
        <v>13</v>
      </c>
      <c r="U30" s="3770">
        <f t="shared" si="13"/>
        <v>100</v>
      </c>
      <c r="V30" s="3767" t="s">
        <v>13</v>
      </c>
      <c r="W30" s="3770">
        <f t="shared" si="14"/>
        <v>100</v>
      </c>
      <c r="X30" s="909"/>
      <c r="Y30" s="4585"/>
      <c r="Z30" s="907" t="str">
        <f t="shared" si="15"/>
        <v>物业等级</v>
      </c>
      <c r="AA30" s="907">
        <f t="shared" si="3"/>
        <v>1</v>
      </c>
      <c r="AB30" s="907">
        <f t="shared" si="4"/>
        <v>1</v>
      </c>
      <c r="AC30" s="907">
        <f t="shared" si="5"/>
        <v>1</v>
      </c>
    </row>
    <row r="31" spans="1:29" s="46" customFormat="1" ht="15">
      <c r="A31" s="426"/>
      <c r="B31" s="422" t="s">
        <v>1748</v>
      </c>
      <c r="C31" s="278">
        <f>'数据-基础表'!B14</f>
        <v>24.65</v>
      </c>
      <c r="D31" s="2900">
        <v>100</v>
      </c>
      <c r="E31" s="278">
        <f>车位!F8</f>
        <v>31.07</v>
      </c>
      <c r="F31" s="908">
        <f>LOOKUP(E31,91:91,92:92)-LOOKUP(C31,91:91,92:92)+100</f>
        <v>100</v>
      </c>
      <c r="G31" s="278">
        <f>车位!F16</f>
        <v>42.32</v>
      </c>
      <c r="H31" s="3751">
        <f>LOOKUP(G31,91:91,92:92)-LOOKUP(C31,91:91,92:92)+100</f>
        <v>102</v>
      </c>
      <c r="I31" s="278">
        <f>车位!F17</f>
        <v>31.21</v>
      </c>
      <c r="J31" s="3751">
        <f>LOOKUP(I31,91:91,92:92)-LOOKUP(C31,91:91,92:92)+100</f>
        <v>100</v>
      </c>
      <c r="K31" s="394">
        <v>1</v>
      </c>
      <c r="L31" s="1976"/>
      <c r="M31" s="1929"/>
      <c r="N31" s="1929"/>
      <c r="O31" s="1929"/>
      <c r="P31" s="4585"/>
      <c r="Q31" s="389" t="str">
        <f t="shared" si="11"/>
        <v>停车位面积</v>
      </c>
      <c r="R31" s="3766" t="s">
        <v>13</v>
      </c>
      <c r="S31" s="3769">
        <f t="shared" si="12"/>
        <v>100</v>
      </c>
      <c r="T31" s="3766" t="s">
        <v>13</v>
      </c>
      <c r="U31" s="3769">
        <f t="shared" si="13"/>
        <v>102</v>
      </c>
      <c r="V31" s="3766" t="s">
        <v>13</v>
      </c>
      <c r="W31" s="3769">
        <f t="shared" si="14"/>
        <v>100</v>
      </c>
      <c r="X31" s="482"/>
      <c r="Y31" s="4585"/>
      <c r="Z31" s="28" t="str">
        <f t="shared" si="15"/>
        <v>停车位面积</v>
      </c>
      <c r="AA31" s="28">
        <f t="shared" si="3"/>
        <v>1</v>
      </c>
      <c r="AB31" s="28">
        <f t="shared" si="4"/>
        <v>0.98039215686274506</v>
      </c>
      <c r="AC31" s="28">
        <f t="shared" si="5"/>
        <v>1</v>
      </c>
    </row>
    <row r="32" spans="1:29" ht="15">
      <c r="A32" s="424"/>
      <c r="B32" s="422" t="s">
        <v>1749</v>
      </c>
      <c r="C32" s="275" t="s">
        <v>4256</v>
      </c>
      <c r="D32" s="2902">
        <v>100</v>
      </c>
      <c r="E32" s="275" t="s">
        <v>4256</v>
      </c>
      <c r="F32" s="908">
        <f>SUMIF(93:93,E32,94:94)-SUMIF(93:93,C32,94:94)+100</f>
        <v>100</v>
      </c>
      <c r="G32" s="275" t="s">
        <v>4256</v>
      </c>
      <c r="H32" s="3751">
        <f>SUMIF(93:93,G32,94:94)-SUMIF(93:93,C32,94:94)+100</f>
        <v>100</v>
      </c>
      <c r="I32" s="275" t="s">
        <v>4256</v>
      </c>
      <c r="J32" s="3751">
        <f>SUMIF(93:93,I32,94:94)-SUMIF(93:93,C32,94:94)+100</f>
        <v>100</v>
      </c>
      <c r="K32" s="394">
        <v>1</v>
      </c>
      <c r="L32" s="1980"/>
      <c r="M32" s="1975"/>
      <c r="N32" s="1975"/>
      <c r="O32" s="1975"/>
      <c r="P32" s="4585" t="s">
        <v>1603</v>
      </c>
      <c r="Q32" s="906" t="str">
        <f t="shared" si="11"/>
        <v>车位类型</v>
      </c>
      <c r="R32" s="3767" t="s">
        <v>13</v>
      </c>
      <c r="S32" s="3770">
        <f t="shared" si="12"/>
        <v>100</v>
      </c>
      <c r="T32" s="3767" t="s">
        <v>13</v>
      </c>
      <c r="U32" s="3770">
        <f t="shared" si="13"/>
        <v>100</v>
      </c>
      <c r="V32" s="3767" t="s">
        <v>13</v>
      </c>
      <c r="W32" s="3770">
        <f t="shared" si="14"/>
        <v>100</v>
      </c>
      <c r="X32" s="909"/>
      <c r="Y32" s="4585" t="s">
        <v>1603</v>
      </c>
      <c r="Z32" s="907" t="str">
        <f t="shared" si="15"/>
        <v>车位类型</v>
      </c>
      <c r="AA32" s="907">
        <f t="shared" si="3"/>
        <v>1</v>
      </c>
      <c r="AB32" s="907">
        <f t="shared" si="4"/>
        <v>1</v>
      </c>
      <c r="AC32" s="907">
        <f t="shared" si="5"/>
        <v>1</v>
      </c>
    </row>
    <row r="33" spans="1:29" ht="15">
      <c r="A33" s="424"/>
      <c r="B33" s="422" t="s">
        <v>1750</v>
      </c>
      <c r="C33" s="275" t="s">
        <v>4257</v>
      </c>
      <c r="D33" s="2902">
        <v>100</v>
      </c>
      <c r="E33" s="275" t="s">
        <v>4257</v>
      </c>
      <c r="F33" s="908">
        <f>SUMIF(95:95,E33,96:96)-SUMIF(95:95,C33,96:96)+100</f>
        <v>100</v>
      </c>
      <c r="G33" s="275" t="s">
        <v>4257</v>
      </c>
      <c r="H33" s="3751">
        <f>SUMIF(95:95,G33,96:96)-SUMIF(95:95,C33,96:96)+100</f>
        <v>100</v>
      </c>
      <c r="I33" s="275" t="s">
        <v>4257</v>
      </c>
      <c r="J33" s="3751">
        <f>SUMIF(95:95,I33,96:96)-SUMIF(95:95,C33,96:96)+100</f>
        <v>100</v>
      </c>
      <c r="K33" s="394">
        <v>1</v>
      </c>
      <c r="L33" s="1980"/>
      <c r="M33" s="1975"/>
      <c r="N33" s="1975"/>
      <c r="O33" s="1975"/>
      <c r="P33" s="4585"/>
      <c r="Q33" s="906" t="str">
        <f t="shared" si="11"/>
        <v>是否直接入户</v>
      </c>
      <c r="R33" s="3767" t="s">
        <v>13</v>
      </c>
      <c r="S33" s="3770">
        <f t="shared" si="12"/>
        <v>100</v>
      </c>
      <c r="T33" s="3767" t="s">
        <v>13</v>
      </c>
      <c r="U33" s="3770">
        <f t="shared" si="13"/>
        <v>100</v>
      </c>
      <c r="V33" s="3767" t="s">
        <v>13</v>
      </c>
      <c r="W33" s="3770">
        <f t="shared" si="14"/>
        <v>100</v>
      </c>
      <c r="X33" s="909"/>
      <c r="Y33" s="4585"/>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85"/>
      <c r="Q34" s="906">
        <f t="shared" si="11"/>
        <v>111</v>
      </c>
      <c r="R34" s="3767" t="s">
        <v>13</v>
      </c>
      <c r="S34" s="3770">
        <f t="shared" si="12"/>
        <v>100</v>
      </c>
      <c r="T34" s="3767" t="s">
        <v>13</v>
      </c>
      <c r="U34" s="3770">
        <f t="shared" si="13"/>
        <v>100</v>
      </c>
      <c r="V34" s="3767" t="s">
        <v>13</v>
      </c>
      <c r="W34" s="3770">
        <f t="shared" si="14"/>
        <v>100</v>
      </c>
      <c r="X34" s="909"/>
      <c r="Y34" s="4585"/>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85"/>
      <c r="Q35" s="483">
        <f t="shared" si="11"/>
        <v>111</v>
      </c>
      <c r="R35" s="3768" t="s">
        <v>13</v>
      </c>
      <c r="S35" s="3771">
        <f t="shared" si="12"/>
        <v>100</v>
      </c>
      <c r="T35" s="3768" t="s">
        <v>13</v>
      </c>
      <c r="U35" s="3771">
        <f t="shared" si="13"/>
        <v>100</v>
      </c>
      <c r="V35" s="3768" t="s">
        <v>13</v>
      </c>
      <c r="W35" s="3771">
        <f t="shared" si="14"/>
        <v>100</v>
      </c>
      <c r="X35" s="484"/>
      <c r="Y35" s="4585"/>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85"/>
      <c r="Q36" s="906">
        <f t="shared" si="11"/>
        <v>111</v>
      </c>
      <c r="R36" s="3767" t="s">
        <v>13</v>
      </c>
      <c r="S36" s="3770">
        <f t="shared" si="12"/>
        <v>100</v>
      </c>
      <c r="T36" s="3767" t="s">
        <v>13</v>
      </c>
      <c r="U36" s="3770">
        <f t="shared" si="13"/>
        <v>100</v>
      </c>
      <c r="V36" s="3767" t="s">
        <v>13</v>
      </c>
      <c r="W36" s="3770">
        <f t="shared" si="14"/>
        <v>100</v>
      </c>
      <c r="X36" s="909"/>
      <c r="Y36" s="4585"/>
      <c r="Z36" s="907">
        <f t="shared" si="15"/>
        <v>111</v>
      </c>
      <c r="AA36" s="907">
        <f t="shared" si="3"/>
        <v>1</v>
      </c>
      <c r="AB36" s="907">
        <f t="shared" si="4"/>
        <v>1</v>
      </c>
      <c r="AC36" s="907">
        <f t="shared" si="5"/>
        <v>1</v>
      </c>
    </row>
    <row r="37" spans="1:29" ht="15">
      <c r="A37" s="286" t="s">
        <v>1751</v>
      </c>
      <c r="B37" s="1426" t="s">
        <v>4384</v>
      </c>
      <c r="C37" s="765" t="s">
        <v>0</v>
      </c>
      <c r="D37" s="288"/>
      <c r="E37" s="3205">
        <f>车位!H8</f>
        <v>271534</v>
      </c>
      <c r="F37" s="3153"/>
      <c r="G37" s="3206">
        <f>车位!H16</f>
        <v>310596</v>
      </c>
      <c r="H37" s="3154"/>
      <c r="I37" s="3205">
        <f>车位!H17</f>
        <v>260889</v>
      </c>
      <c r="J37" s="3154"/>
      <c r="K37" s="3207">
        <v>1</v>
      </c>
      <c r="L37" s="1982"/>
      <c r="M37" s="1975"/>
      <c r="N37" s="1975"/>
      <c r="O37" s="1975"/>
      <c r="P37" s="4577" t="str">
        <f>A37</f>
        <v>成交单价</v>
      </c>
      <c r="Q37" s="4577"/>
      <c r="R37" s="4642">
        <f>E37</f>
        <v>271534</v>
      </c>
      <c r="S37" s="4642"/>
      <c r="T37" s="4642">
        <f>G37</f>
        <v>310596</v>
      </c>
      <c r="U37" s="4642"/>
      <c r="V37" s="4642">
        <f>I37</f>
        <v>260889</v>
      </c>
      <c r="W37" s="4642"/>
      <c r="X37" s="265"/>
      <c r="Y37" s="486"/>
      <c r="Z37" s="265"/>
      <c r="AA37" s="265"/>
      <c r="AB37" s="265"/>
      <c r="AC37" s="265"/>
    </row>
    <row r="38" spans="1:29" ht="15.75" thickBot="1">
      <c r="A38" s="289" t="s">
        <v>1752</v>
      </c>
      <c r="B38" s="290" t="str">
        <f>B37</f>
        <v>元/车位</v>
      </c>
      <c r="C38" s="3733">
        <f>R39</f>
        <v>286257</v>
      </c>
      <c r="D38" s="3846" t="s">
        <v>2042</v>
      </c>
      <c r="E38" s="3744">
        <f>R38</f>
        <v>277076</v>
      </c>
      <c r="F38" s="2801"/>
      <c r="G38" s="3733">
        <f>T38</f>
        <v>304506</v>
      </c>
      <c r="H38" s="2801"/>
      <c r="I38" s="3744">
        <f>V38</f>
        <v>277190</v>
      </c>
      <c r="J38" s="2801"/>
      <c r="K38" s="2855">
        <f>F38+H38+J38</f>
        <v>0</v>
      </c>
      <c r="L38" s="1982"/>
      <c r="M38" s="1975"/>
      <c r="N38" s="1975"/>
      <c r="O38" s="1975"/>
      <c r="P38" s="4577" t="str">
        <f>A38</f>
        <v>比较价值（元/平方米）</v>
      </c>
      <c r="Q38" s="4577"/>
      <c r="R38" s="4642">
        <f>IF(F1="售价",ROUND(PRODUCT(R37,AA7:AA36),0),ROUND(PRODUCT(R37,AA7:AA36),1))</f>
        <v>277076</v>
      </c>
      <c r="S38" s="4642"/>
      <c r="T38" s="4642">
        <f>IF(F1="售价",ROUND(PRODUCT(T37,AB7:AB36),0),ROUND(PRODUCT(T37,AB7:AB36),1))</f>
        <v>304506</v>
      </c>
      <c r="U38" s="4642"/>
      <c r="V38" s="4642">
        <f>IF(F1="售价",ROUND(PRODUCT(V37,AC7:AC36),0),ROUND(PRODUCT(V37,AC7:AC36),1))</f>
        <v>277190</v>
      </c>
      <c r="W38" s="4642"/>
      <c r="X38" s="265"/>
      <c r="Y38" s="265"/>
      <c r="Z38" s="265"/>
      <c r="AA38" s="265"/>
      <c r="AB38" s="265"/>
      <c r="AC38" s="265"/>
    </row>
    <row r="39" spans="1:29" ht="15.75" thickBot="1">
      <c r="A39" s="291" t="s">
        <v>1753</v>
      </c>
      <c r="B39" s="292"/>
      <c r="C39" s="3745">
        <f>R39</f>
        <v>286257</v>
      </c>
      <c r="D39" s="241"/>
      <c r="E39" s="241"/>
      <c r="F39" s="241"/>
      <c r="G39" s="241"/>
      <c r="H39" s="241"/>
      <c r="I39" s="241"/>
      <c r="J39" s="241"/>
      <c r="K39" s="399"/>
      <c r="L39" s="1982"/>
      <c r="M39" s="1975"/>
      <c r="N39" s="1975"/>
      <c r="O39" s="1975"/>
      <c r="P39" s="4672" t="str">
        <f>A39</f>
        <v>估价对象XX用房的比较价值（楼面单价，元/平方米）</v>
      </c>
      <c r="Q39" s="4673"/>
      <c r="R39" s="4674">
        <f>IF(F1="售价",ROUND(IF(D38="简单平均",AVERAGE(R38:W38),R38*F38+T38*H38+V38*J38),0),ROUND(IF(D38="简单平均",AVERAGE(R38:V38),R38*F38+T38*H38+V38*J38),1))</f>
        <v>286257</v>
      </c>
      <c r="S39" s="4674"/>
      <c r="T39" s="4674"/>
      <c r="U39" s="4674"/>
      <c r="V39" s="4674"/>
      <c r="W39" s="4674"/>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f>IF(E37&lt;E38,E38/E37-1,E37/E38-1)</f>
        <v>2.0409967075946334E-2</v>
      </c>
      <c r="F42" s="299" t="str">
        <f>IF(OR(E42&gt;=0.3,E42&lt;=-0.3),"超过30%","")</f>
        <v/>
      </c>
      <c r="G42" s="298">
        <f>IF(G37&lt;G38,G38/G37-1,G37/G38-1)</f>
        <v>1.999960591909522E-2</v>
      </c>
      <c r="H42" s="299" t="str">
        <f>IF(OR(G42&gt;=0.3,G42&lt;=-0.3),"超过30%","")</f>
        <v/>
      </c>
      <c r="I42" s="298">
        <f>IF(I37&lt;I38,I38/I37-1,I37/I38-1)</f>
        <v>6.2482511719543554E-2</v>
      </c>
      <c r="J42" s="299" t="str">
        <f>IF(OR(I42&gt;=0.3,I42&lt;=-0.3),"超过30%","")</f>
        <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f>IF(E38&lt;G38,G38/E38-1,E38/G38-1)</f>
        <v>9.8998108822128117E-2</v>
      </c>
      <c r="F43" s="299" t="str">
        <f>IF(OR(E43&gt;=0.2,E43&lt;=-0.2),"超过20%","")</f>
        <v/>
      </c>
      <c r="G43" s="298">
        <f>IF(G38&lt;I38,I38/G38-1,G38/I38-1)</f>
        <v>9.8546123597532453E-2</v>
      </c>
      <c r="H43" s="299" t="str">
        <f>IF(OR(G43&gt;=0.2,G43&lt;=-0.2),"超过20%","")</f>
        <v/>
      </c>
      <c r="I43" s="298">
        <f>IF(I38&lt;E38,E38/I38-1,I38/E38-1)</f>
        <v>4.1143946065336223E-4</v>
      </c>
      <c r="J43" s="299" t="str">
        <f>IF(OR(I43&gt;=0.2,I43&lt;=-0.2),"超过20%","")</f>
        <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f>IF(E37&lt;G37,G37/E37-1,E37/G37-1)</f>
        <v>0.1438567545869025</v>
      </c>
      <c r="F44" s="299" t="str">
        <f>IF(OR(E44&gt;=0.3,E44&lt;=-0.3),"超过30%","")</f>
        <v/>
      </c>
      <c r="G44" s="298">
        <f>IF(G37&lt;I37,I37/G37-1,G37/I37-1)</f>
        <v>0.1905293055667352</v>
      </c>
      <c r="H44" s="299" t="str">
        <f>IF(OR(G44&gt;=0.3,G44&lt;=-0.3),"超过30%","")</f>
        <v/>
      </c>
      <c r="I44" s="298">
        <f>IF(I37&lt;E37,E37/I37-1,I37/E37-1)</f>
        <v>4.0802793525215764E-2</v>
      </c>
      <c r="J44" s="299" t="str">
        <f>IF(OR(I44&gt;=0.3,I44&lt;=-0.3),"超过30%","")</f>
        <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v>100</v>
      </c>
      <c r="E49" s="309">
        <v>100</v>
      </c>
      <c r="F49" s="309">
        <v>100</v>
      </c>
      <c r="G49" s="309">
        <v>100</v>
      </c>
      <c r="H49" s="309">
        <v>100</v>
      </c>
      <c r="I49" s="309">
        <v>100</v>
      </c>
      <c r="J49" s="309">
        <v>100</v>
      </c>
      <c r="K49" s="309">
        <v>100</v>
      </c>
      <c r="L49" s="309">
        <v>100</v>
      </c>
      <c r="M49" s="310">
        <v>100</v>
      </c>
      <c r="N49" s="309">
        <v>100</v>
      </c>
      <c r="O49" s="310">
        <v>100</v>
      </c>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t="str">
        <f>C9</f>
        <v>车位</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98</v>
      </c>
      <c r="E64" s="337">
        <f>D64-$K14</f>
        <v>96</v>
      </c>
      <c r="F64" s="337">
        <f>E64-$K14</f>
        <v>94</v>
      </c>
      <c r="G64" s="337">
        <f>F64-$K14</f>
        <v>92</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98</v>
      </c>
      <c r="E66" s="337">
        <f>D66-$K16</f>
        <v>96</v>
      </c>
      <c r="F66" s="337">
        <f>E66-$K16</f>
        <v>94</v>
      </c>
      <c r="G66" s="337">
        <f>F66-$K16</f>
        <v>92</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98</v>
      </c>
      <c r="E68" s="337">
        <f>D68-$K18</f>
        <v>96</v>
      </c>
      <c r="F68" s="337">
        <f>E68-$K18</f>
        <v>94</v>
      </c>
      <c r="G68" s="337">
        <f>F68-$K18</f>
        <v>92</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98</v>
      </c>
      <c r="E70" s="337">
        <f>D70-$K20</f>
        <v>96</v>
      </c>
      <c r="F70" s="337">
        <f>E70-$K20</f>
        <v>94</v>
      </c>
      <c r="G70" s="337">
        <f>F70-$K20</f>
        <v>92</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98</v>
      </c>
      <c r="E80" s="337">
        <f t="shared" si="17"/>
        <v>96</v>
      </c>
      <c r="F80" s="337">
        <f t="shared" si="17"/>
        <v>94</v>
      </c>
      <c r="G80" s="337">
        <f t="shared" si="17"/>
        <v>92</v>
      </c>
      <c r="H80" s="337">
        <f t="shared" si="17"/>
        <v>90</v>
      </c>
      <c r="I80" s="337">
        <f t="shared" si="17"/>
        <v>88</v>
      </c>
      <c r="J80" s="337">
        <f t="shared" si="17"/>
        <v>86</v>
      </c>
      <c r="K80" s="337">
        <f t="shared" si="17"/>
        <v>84</v>
      </c>
      <c r="L80" s="337">
        <f t="shared" si="17"/>
        <v>82</v>
      </c>
      <c r="M80" s="338">
        <f t="shared" si="17"/>
        <v>80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f>C27</f>
        <v>0</v>
      </c>
      <c r="D81" s="429">
        <f>E27</f>
        <v>0</v>
      </c>
      <c r="E81" s="429">
        <f>I27</f>
        <v>0</v>
      </c>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v>100</v>
      </c>
      <c r="D82" s="329">
        <v>100</v>
      </c>
      <c r="E82" s="329">
        <v>100</v>
      </c>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t="s">
        <v>4236</v>
      </c>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99</v>
      </c>
      <c r="E84" s="337">
        <f t="shared" si="18"/>
        <v>98</v>
      </c>
      <c r="F84" s="337">
        <f t="shared" si="18"/>
        <v>97</v>
      </c>
      <c r="G84" s="337">
        <f t="shared" si="18"/>
        <v>96</v>
      </c>
      <c r="H84" s="337">
        <f t="shared" si="18"/>
        <v>95</v>
      </c>
      <c r="I84" s="337">
        <f t="shared" si="18"/>
        <v>94</v>
      </c>
      <c r="J84" s="337">
        <f t="shared" si="18"/>
        <v>93</v>
      </c>
      <c r="K84" s="337">
        <f t="shared" si="18"/>
        <v>92</v>
      </c>
      <c r="L84" s="337">
        <f t="shared" si="18"/>
        <v>91</v>
      </c>
      <c r="M84" s="338">
        <f t="shared" si="18"/>
        <v>90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101</v>
      </c>
      <c r="E87" s="337">
        <f t="shared" ref="E87:M87" si="21">D87+$K$29</f>
        <v>102</v>
      </c>
      <c r="F87" s="337">
        <f t="shared" si="21"/>
        <v>103</v>
      </c>
      <c r="G87" s="337">
        <f t="shared" si="21"/>
        <v>104</v>
      </c>
      <c r="H87" s="337">
        <f t="shared" si="21"/>
        <v>105</v>
      </c>
      <c r="I87" s="337">
        <f t="shared" si="21"/>
        <v>106</v>
      </c>
      <c r="J87" s="337">
        <f t="shared" si="21"/>
        <v>107</v>
      </c>
      <c r="K87" s="337">
        <f t="shared" si="21"/>
        <v>108</v>
      </c>
      <c r="L87" s="337">
        <f t="shared" si="21"/>
        <v>109</v>
      </c>
      <c r="M87" s="337">
        <f t="shared" si="21"/>
        <v>110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t="s">
        <v>4237</v>
      </c>
      <c r="D88" s="324" t="s">
        <v>4238</v>
      </c>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101</v>
      </c>
      <c r="E89" s="337">
        <f t="shared" si="22"/>
        <v>102</v>
      </c>
      <c r="F89" s="337">
        <f t="shared" si="22"/>
        <v>103</v>
      </c>
      <c r="G89" s="337">
        <f t="shared" si="22"/>
        <v>104</v>
      </c>
      <c r="H89" s="337">
        <f t="shared" si="22"/>
        <v>105</v>
      </c>
      <c r="I89" s="337">
        <f t="shared" si="22"/>
        <v>106</v>
      </c>
      <c r="J89" s="337">
        <f t="shared" si="22"/>
        <v>107</v>
      </c>
      <c r="K89" s="337">
        <f t="shared" si="22"/>
        <v>108</v>
      </c>
      <c r="L89" s="337">
        <f t="shared" si="22"/>
        <v>109</v>
      </c>
      <c r="M89" s="337">
        <f t="shared" si="22"/>
        <v>110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0(含)-35</v>
      </c>
      <c r="D90" s="368" t="str">
        <f t="shared" ref="D90:L90" si="23">D91&amp;"(含)"&amp;"-"&amp;E91</f>
        <v>35(含)-40</v>
      </c>
      <c r="E90" s="368" t="str">
        <f t="shared" si="23"/>
        <v>40(含)-45</v>
      </c>
      <c r="F90" s="368" t="str">
        <f t="shared" si="23"/>
        <v>45(含)-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v>0</v>
      </c>
      <c r="D91" s="5">
        <v>35</v>
      </c>
      <c r="E91" s="5">
        <v>40</v>
      </c>
      <c r="F91" s="5">
        <v>45</v>
      </c>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v>100</v>
      </c>
      <c r="D92" s="329">
        <v>101</v>
      </c>
      <c r="E92" s="329">
        <v>102</v>
      </c>
      <c r="F92" s="329">
        <v>103</v>
      </c>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t="s">
        <v>4239</v>
      </c>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99</v>
      </c>
      <c r="E94" s="337">
        <f t="shared" si="24"/>
        <v>98</v>
      </c>
      <c r="F94" s="337">
        <f t="shared" si="24"/>
        <v>97</v>
      </c>
      <c r="G94" s="337">
        <f t="shared" si="24"/>
        <v>96</v>
      </c>
      <c r="H94" s="337">
        <f t="shared" si="24"/>
        <v>95</v>
      </c>
      <c r="I94" s="337">
        <f t="shared" si="24"/>
        <v>94</v>
      </c>
      <c r="J94" s="337">
        <f t="shared" si="24"/>
        <v>93</v>
      </c>
      <c r="K94" s="337">
        <f t="shared" si="24"/>
        <v>92</v>
      </c>
      <c r="L94" s="337">
        <f t="shared" si="24"/>
        <v>91</v>
      </c>
      <c r="M94" s="338">
        <f t="shared" si="24"/>
        <v>90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t="s">
        <v>4240</v>
      </c>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99</v>
      </c>
      <c r="E96" s="337">
        <f>D96-$K33</f>
        <v>98</v>
      </c>
      <c r="F96" s="337">
        <f>E96-$K33</f>
        <v>97</v>
      </c>
      <c r="G96" s="337">
        <f>F96-$K33</f>
        <v>96</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4" zoomScale="85" zoomScaleNormal="70" zoomScaleSheetLayoutView="85" workbookViewId="0">
      <selection activeCell="G17" sqref="G17"/>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t="s">
        <v>4251</v>
      </c>
      <c r="E1" s="2475" t="s">
        <v>4216</v>
      </c>
      <c r="F1" s="1353" t="s">
        <v>4217</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3026</v>
      </c>
      <c r="C2" s="4297" t="s">
        <v>4383</v>
      </c>
      <c r="D2" s="229">
        <f>IF(E1="项目模式",IF(E2="——",ROUND(C37*D3/10000,0),ROUND(C37*D3/10000,0)-F2),IF(E1="单套模式",IF(E2="——",ROUND(C37*D3/10000,4),ROUND(C37*D3/10000,4)-F2)))</f>
        <v>3026</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IF(E2="——",C37,ROUND(B2*10000/D3,0))</f>
        <v>14950</v>
      </c>
      <c r="C3" s="234" t="s">
        <v>1675</v>
      </c>
      <c r="D3" s="2880">
        <f>SUMIF('数据-汇总表'!$C19:$C33,D1,'数据-汇总表'!$E19:$E33)</f>
        <v>2024</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74" t="s">
        <v>1677</v>
      </c>
      <c r="D4" s="4649"/>
      <c r="E4" s="4650" t="s">
        <v>1678</v>
      </c>
      <c r="F4" s="4651"/>
      <c r="G4" s="4574" t="s">
        <v>1679</v>
      </c>
      <c r="H4" s="4649"/>
      <c r="I4" s="4574" t="s">
        <v>1680</v>
      </c>
      <c r="J4" s="4649"/>
      <c r="K4" s="393" t="s">
        <v>1681</v>
      </c>
      <c r="L4" s="1974"/>
      <c r="M4" s="1975"/>
      <c r="N4" s="1975"/>
      <c r="O4" s="1975"/>
      <c r="P4" s="4676" t="s">
        <v>1682</v>
      </c>
      <c r="Q4" s="4677"/>
      <c r="R4" s="4615" t="s">
        <v>1678</v>
      </c>
      <c r="S4" s="4616"/>
      <c r="T4" s="4615" t="s">
        <v>1679</v>
      </c>
      <c r="U4" s="4616"/>
      <c r="V4" s="4642" t="s">
        <v>1680</v>
      </c>
      <c r="W4" s="4642"/>
      <c r="X4" s="909"/>
      <c r="Y4" s="4615" t="s">
        <v>1682</v>
      </c>
      <c r="Z4" s="4616"/>
      <c r="AA4" s="4587" t="s">
        <v>1678</v>
      </c>
      <c r="AB4" s="4588" t="s">
        <v>1679</v>
      </c>
      <c r="AC4" s="4587" t="s">
        <v>1680</v>
      </c>
    </row>
    <row r="5" spans="1:29" ht="15">
      <c r="A5" s="238"/>
      <c r="B5" s="239"/>
      <c r="C5" s="4661" t="s">
        <v>1580</v>
      </c>
      <c r="D5" s="4662"/>
      <c r="E5" s="4669" t="str">
        <f>仓储!A4</f>
        <v>北京城建·龙樾天元</v>
      </c>
      <c r="F5" s="4670"/>
      <c r="G5" s="4661" t="str">
        <f>仓储!A6</f>
        <v>建发金茂观宸</v>
      </c>
      <c r="H5" s="4662"/>
      <c r="I5" s="4661" t="str">
        <f>仓储!A10</f>
        <v>招商臻园</v>
      </c>
      <c r="J5" s="4662"/>
      <c r="K5" s="393"/>
      <c r="L5" s="1974"/>
      <c r="M5" s="1975"/>
      <c r="N5" s="1975"/>
      <c r="O5" s="1975"/>
      <c r="P5" s="4678"/>
      <c r="Q5" s="4679"/>
      <c r="R5" s="4617"/>
      <c r="S5" s="4618"/>
      <c r="T5" s="4617"/>
      <c r="U5" s="4618"/>
      <c r="V5" s="4642"/>
      <c r="W5" s="4642"/>
      <c r="X5" s="909"/>
      <c r="Y5" s="4617"/>
      <c r="Z5" s="4618"/>
      <c r="AA5" s="4588"/>
      <c r="AB5" s="4588"/>
      <c r="AC5" s="4588"/>
    </row>
    <row r="6" spans="1:29" ht="15.75" thickBot="1">
      <c r="A6" s="240"/>
      <c r="B6" s="241"/>
      <c r="C6" s="4659" t="s">
        <v>1584</v>
      </c>
      <c r="D6" s="4660"/>
      <c r="E6" s="4666" t="s">
        <v>1584</v>
      </c>
      <c r="F6" s="4667"/>
      <c r="G6" s="4659" t="s">
        <v>1584</v>
      </c>
      <c r="H6" s="4660"/>
      <c r="I6" s="4659" t="s">
        <v>1584</v>
      </c>
      <c r="J6" s="4660"/>
      <c r="K6" s="393" t="s">
        <v>1585</v>
      </c>
      <c r="L6" s="1974"/>
      <c r="M6" s="1975"/>
      <c r="N6" s="1975"/>
      <c r="O6" s="1975"/>
      <c r="P6" s="4680"/>
      <c r="Q6" s="4681"/>
      <c r="R6" s="4617"/>
      <c r="S6" s="4618"/>
      <c r="T6" s="4619"/>
      <c r="U6" s="4620"/>
      <c r="V6" s="4642"/>
      <c r="W6" s="4642"/>
      <c r="X6" s="909"/>
      <c r="Y6" s="4619"/>
      <c r="Z6" s="4620"/>
      <c r="AA6" s="4589"/>
      <c r="AB6" s="4589"/>
      <c r="AC6" s="4589"/>
    </row>
    <row r="7" spans="1:29" s="46" customFormat="1" ht="15.75" thickBot="1">
      <c r="A7" s="242" t="s">
        <v>1586</v>
      </c>
      <c r="B7" s="243"/>
      <c r="C7" s="244">
        <f>'数据-取费表'!B2</f>
        <v>46091</v>
      </c>
      <c r="D7" s="2898">
        <v>100</v>
      </c>
      <c r="E7" s="245">
        <f>C7</f>
        <v>46091</v>
      </c>
      <c r="F7" s="3747">
        <f>SUMIF(46:46,YEAR(E7)&amp;"-"&amp;MONTH(E7),47:47)</f>
        <v>100</v>
      </c>
      <c r="G7" s="1427">
        <f>C7</f>
        <v>46091</v>
      </c>
      <c r="H7" s="3753">
        <f>SUMIF(46:46,YEAR(G7)&amp;"-"&amp;MONTH(G7),47:47)</f>
        <v>100</v>
      </c>
      <c r="I7" s="245">
        <f>C7</f>
        <v>46091</v>
      </c>
      <c r="J7" s="3753">
        <f>SUMIF(46:46,YEAR(I7)&amp;"-"&amp;MONTH(I7),47:47)</f>
        <v>100</v>
      </c>
      <c r="K7" s="22"/>
      <c r="L7" s="1976"/>
      <c r="M7" s="1929"/>
      <c r="N7" s="1929"/>
      <c r="O7" s="1929"/>
      <c r="P7" s="4613" t="s">
        <v>1587</v>
      </c>
      <c r="Q7" s="4683"/>
      <c r="R7" s="3766" t="s">
        <v>13</v>
      </c>
      <c r="S7" s="3769">
        <f t="shared" ref="S7:S14" si="0">F7</f>
        <v>100</v>
      </c>
      <c r="T7" s="3766" t="s">
        <v>13</v>
      </c>
      <c r="U7" s="3769">
        <f t="shared" ref="U7:U14" si="1">H7</f>
        <v>100</v>
      </c>
      <c r="V7" s="3766" t="s">
        <v>13</v>
      </c>
      <c r="W7" s="3769">
        <f t="shared" ref="W7:W14" si="2">J7</f>
        <v>100</v>
      </c>
      <c r="X7" s="482"/>
      <c r="Y7" s="4613" t="s">
        <v>1587</v>
      </c>
      <c r="Z7" s="4614"/>
      <c r="AA7" s="28">
        <f>D7/F7</f>
        <v>1</v>
      </c>
      <c r="AB7" s="28">
        <f>D7/H7</f>
        <v>1</v>
      </c>
      <c r="AC7" s="28">
        <f>D7/J7</f>
        <v>1</v>
      </c>
    </row>
    <row r="8" spans="1:29" s="46" customFormat="1" ht="15.75" thickBot="1">
      <c r="A8" s="242" t="s">
        <v>1588</v>
      </c>
      <c r="B8" s="243"/>
      <c r="C8" s="246" t="s">
        <v>4183</v>
      </c>
      <c r="D8" s="2898">
        <v>100</v>
      </c>
      <c r="E8" s="246" t="s">
        <v>4183</v>
      </c>
      <c r="F8" s="3747">
        <f>SUMIF(49:49,E8,50:50)-SUMIF(49:49,C8,50:50)+100</f>
        <v>100</v>
      </c>
      <c r="G8" s="246" t="s">
        <v>4183</v>
      </c>
      <c r="H8" s="3753">
        <f>SUMIF(49:49,G8,50:50)-SUMIF(49:49,C8,50:50)+100</f>
        <v>100</v>
      </c>
      <c r="I8" s="246" t="s">
        <v>4183</v>
      </c>
      <c r="J8" s="3753">
        <f>SUMIF(49:49,I8,50:50)-SUMIF(49:49,C8,50:50)+100</f>
        <v>100</v>
      </c>
      <c r="K8" s="22"/>
      <c r="L8" s="1976"/>
      <c r="M8" s="1929"/>
      <c r="N8" s="1929"/>
      <c r="O8" s="1929"/>
      <c r="P8" s="4613" t="s">
        <v>1590</v>
      </c>
      <c r="Q8" s="4614"/>
      <c r="R8" s="3766" t="s">
        <v>13</v>
      </c>
      <c r="S8" s="3769">
        <f t="shared" si="0"/>
        <v>100</v>
      </c>
      <c r="T8" s="3766" t="s">
        <v>13</v>
      </c>
      <c r="U8" s="3769">
        <f t="shared" si="1"/>
        <v>100</v>
      </c>
      <c r="V8" s="3766" t="s">
        <v>13</v>
      </c>
      <c r="W8" s="3769">
        <f t="shared" si="2"/>
        <v>100</v>
      </c>
      <c r="X8" s="482"/>
      <c r="Y8" s="4613" t="s">
        <v>1590</v>
      </c>
      <c r="Z8" s="4614"/>
      <c r="AA8" s="28">
        <f t="shared" ref="AA8:AA34" si="3">D8/F8</f>
        <v>1</v>
      </c>
      <c r="AB8" s="28">
        <f t="shared" ref="AB8:AB34" si="4">D8/H8</f>
        <v>1</v>
      </c>
      <c r="AC8" s="28">
        <f t="shared" ref="AC8:AC34" si="5">D8/J8</f>
        <v>1</v>
      </c>
    </row>
    <row r="9" spans="1:29" s="46" customFormat="1">
      <c r="A9" s="247" t="s">
        <v>1591</v>
      </c>
      <c r="B9" s="34" t="s">
        <v>1592</v>
      </c>
      <c r="C9" s="4290" t="s">
        <v>4255</v>
      </c>
      <c r="D9" s="2899">
        <v>100</v>
      </c>
      <c r="E9" s="250" t="s">
        <v>3212</v>
      </c>
      <c r="F9" s="34">
        <f>SUMIF(51:51,E9,52:52)-SUMIF(51:51,C9,52:52)+100</f>
        <v>100</v>
      </c>
      <c r="G9" s="250" t="s">
        <v>3212</v>
      </c>
      <c r="H9" s="33">
        <f>SUMIF(51:51,G9,52:52)-SUMIF(51:51,C9,52:52)+100</f>
        <v>100</v>
      </c>
      <c r="I9" s="250" t="s">
        <v>3212</v>
      </c>
      <c r="J9" s="33">
        <f>SUMIF(51:51,I9,52:52)-SUMIF(51:51,C9,52:52)+100</f>
        <v>100</v>
      </c>
      <c r="K9" s="22"/>
      <c r="L9" s="1976"/>
      <c r="M9" s="1929"/>
      <c r="N9" s="1929"/>
      <c r="O9" s="2028"/>
      <c r="P9" s="4577" t="s">
        <v>1593</v>
      </c>
      <c r="Q9" s="389" t="str">
        <f t="shared" ref="Q9:Q14" si="6">B9</f>
        <v>用途</v>
      </c>
      <c r="R9" s="3766" t="s">
        <v>13</v>
      </c>
      <c r="S9" s="3769">
        <f t="shared" si="0"/>
        <v>100</v>
      </c>
      <c r="T9" s="3766" t="s">
        <v>13</v>
      </c>
      <c r="U9" s="3769">
        <f t="shared" si="1"/>
        <v>100</v>
      </c>
      <c r="V9" s="3766" t="s">
        <v>13</v>
      </c>
      <c r="W9" s="3769">
        <f t="shared" si="2"/>
        <v>100</v>
      </c>
      <c r="X9" s="482"/>
      <c r="Y9" s="4586"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77"/>
      <c r="Q10" s="389" t="str">
        <f t="shared" si="6"/>
        <v>土地使用年限（年）</v>
      </c>
      <c r="R10" s="3766" t="s">
        <v>13</v>
      </c>
      <c r="S10" s="3769">
        <f t="shared" si="0"/>
        <v>100</v>
      </c>
      <c r="T10" s="3766" t="s">
        <v>13</v>
      </c>
      <c r="U10" s="3769">
        <f t="shared" si="1"/>
        <v>100</v>
      </c>
      <c r="V10" s="3766" t="s">
        <v>13</v>
      </c>
      <c r="W10" s="3769">
        <f t="shared" si="2"/>
        <v>100</v>
      </c>
      <c r="X10" s="482"/>
      <c r="Y10" s="4586"/>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77"/>
      <c r="Q11" s="389">
        <f t="shared" si="6"/>
        <v>111</v>
      </c>
      <c r="R11" s="3766" t="s">
        <v>13</v>
      </c>
      <c r="S11" s="3769">
        <f t="shared" si="0"/>
        <v>100</v>
      </c>
      <c r="T11" s="3766" t="s">
        <v>13</v>
      </c>
      <c r="U11" s="3769">
        <f t="shared" si="1"/>
        <v>100</v>
      </c>
      <c r="V11" s="3766" t="s">
        <v>13</v>
      </c>
      <c r="W11" s="3769">
        <f t="shared" si="2"/>
        <v>100</v>
      </c>
      <c r="X11" s="482"/>
      <c r="Y11" s="4586"/>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77"/>
      <c r="Q12" s="389">
        <f t="shared" si="6"/>
        <v>111</v>
      </c>
      <c r="R12" s="3766" t="s">
        <v>13</v>
      </c>
      <c r="S12" s="3769">
        <f t="shared" si="0"/>
        <v>100</v>
      </c>
      <c r="T12" s="3766" t="s">
        <v>13</v>
      </c>
      <c r="U12" s="3769">
        <f t="shared" si="1"/>
        <v>100</v>
      </c>
      <c r="V12" s="3766" t="s">
        <v>13</v>
      </c>
      <c r="W12" s="3769">
        <f t="shared" si="2"/>
        <v>100</v>
      </c>
      <c r="X12" s="482"/>
      <c r="Y12" s="4586"/>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577"/>
      <c r="Q13" s="389">
        <f t="shared" si="6"/>
        <v>111</v>
      </c>
      <c r="R13" s="3766" t="s">
        <v>13</v>
      </c>
      <c r="S13" s="3769">
        <f t="shared" si="0"/>
        <v>100</v>
      </c>
      <c r="T13" s="3766" t="s">
        <v>13</v>
      </c>
      <c r="U13" s="3769">
        <f t="shared" si="1"/>
        <v>100</v>
      </c>
      <c r="V13" s="3766" t="s">
        <v>13</v>
      </c>
      <c r="W13" s="3769">
        <f t="shared" si="2"/>
        <v>100</v>
      </c>
      <c r="X13" s="482"/>
      <c r="Y13" s="4586"/>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98</v>
      </c>
      <c r="K14" s="396">
        <v>2</v>
      </c>
      <c r="L14" s="1980"/>
      <c r="M14" s="1975"/>
      <c r="N14" s="1975"/>
      <c r="O14" s="2030"/>
      <c r="P14" s="4581" t="s">
        <v>1598</v>
      </c>
      <c r="Q14" s="906" t="str">
        <f t="shared" si="6"/>
        <v>交通便捷度</v>
      </c>
      <c r="R14" s="3767" t="s">
        <v>13</v>
      </c>
      <c r="S14" s="3770">
        <f t="shared" si="0"/>
        <v>100</v>
      </c>
      <c r="T14" s="3767" t="s">
        <v>13</v>
      </c>
      <c r="U14" s="3770">
        <f t="shared" si="1"/>
        <v>100</v>
      </c>
      <c r="V14" s="3767" t="s">
        <v>13</v>
      </c>
      <c r="W14" s="3770">
        <f t="shared" si="2"/>
        <v>98</v>
      </c>
      <c r="X14" s="909"/>
      <c r="Y14" s="4581" t="s">
        <v>1598</v>
      </c>
      <c r="Z14" s="907" t="str">
        <f t="shared" si="7"/>
        <v>交通便捷度</v>
      </c>
      <c r="AA14" s="907">
        <f t="shared" si="3"/>
        <v>1</v>
      </c>
      <c r="AB14" s="907">
        <f t="shared" si="4"/>
        <v>1</v>
      </c>
      <c r="AC14" s="907">
        <f t="shared" si="5"/>
        <v>1.0204081632653061</v>
      </c>
    </row>
    <row r="15" spans="1:29" ht="15">
      <c r="A15" s="254"/>
      <c r="B15" s="265"/>
      <c r="C15" s="266" t="s">
        <v>3602</v>
      </c>
      <c r="D15" s="2905"/>
      <c r="E15" s="266" t="s">
        <v>3602</v>
      </c>
      <c r="F15" s="3756"/>
      <c r="G15" s="266" t="s">
        <v>3602</v>
      </c>
      <c r="H15" s="268"/>
      <c r="I15" s="266" t="s">
        <v>3601</v>
      </c>
      <c r="J15" s="267"/>
      <c r="K15" s="397"/>
      <c r="L15" s="1980"/>
      <c r="M15" s="1975"/>
      <c r="N15" s="1975"/>
      <c r="O15" s="2030"/>
      <c r="P15" s="4582"/>
      <c r="Q15" s="906"/>
      <c r="R15" s="3767"/>
      <c r="S15" s="3770"/>
      <c r="T15" s="3767"/>
      <c r="U15" s="3770"/>
      <c r="V15" s="3767"/>
      <c r="W15" s="3770"/>
      <c r="X15" s="909"/>
      <c r="Y15" s="4582"/>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98</v>
      </c>
      <c r="K16" s="396">
        <v>2</v>
      </c>
      <c r="L16" s="1980"/>
      <c r="M16" s="1975"/>
      <c r="N16" s="1975"/>
      <c r="O16" s="2030"/>
      <c r="P16" s="4582"/>
      <c r="Q16" s="906" t="str">
        <f>B16</f>
        <v>公共配套设施</v>
      </c>
      <c r="R16" s="3767" t="s">
        <v>13</v>
      </c>
      <c r="S16" s="3770">
        <f>F16</f>
        <v>100</v>
      </c>
      <c r="T16" s="3767" t="s">
        <v>13</v>
      </c>
      <c r="U16" s="3770">
        <f>H16</f>
        <v>100</v>
      </c>
      <c r="V16" s="3767" t="s">
        <v>13</v>
      </c>
      <c r="W16" s="3770">
        <f>J16</f>
        <v>98</v>
      </c>
      <c r="X16" s="909"/>
      <c r="Y16" s="4582"/>
      <c r="Z16" s="907" t="str">
        <f>Q16</f>
        <v>公共配套设施</v>
      </c>
      <c r="AA16" s="907">
        <f t="shared" si="3"/>
        <v>1</v>
      </c>
      <c r="AB16" s="907">
        <f t="shared" si="4"/>
        <v>1</v>
      </c>
      <c r="AC16" s="907">
        <f t="shared" si="5"/>
        <v>1.0204081632653061</v>
      </c>
    </row>
    <row r="17" spans="1:29" ht="15">
      <c r="A17" s="254"/>
      <c r="B17" s="272"/>
      <c r="C17" s="1365" t="s">
        <v>3602</v>
      </c>
      <c r="D17" s="2905"/>
      <c r="E17" s="266" t="s">
        <v>3602</v>
      </c>
      <c r="F17" s="3756"/>
      <c r="G17" s="266" t="s">
        <v>3602</v>
      </c>
      <c r="H17" s="267"/>
      <c r="I17" s="266" t="s">
        <v>3601</v>
      </c>
      <c r="J17" s="267"/>
      <c r="K17" s="397"/>
      <c r="L17" s="1980"/>
      <c r="M17" s="1975"/>
      <c r="N17" s="1975"/>
      <c r="O17" s="2030"/>
      <c r="P17" s="4582"/>
      <c r="Q17" s="906"/>
      <c r="R17" s="3767"/>
      <c r="S17" s="3770"/>
      <c r="T17" s="3767"/>
      <c r="U17" s="3770"/>
      <c r="V17" s="3767"/>
      <c r="W17" s="3770"/>
      <c r="X17" s="909"/>
      <c r="Y17" s="4582"/>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v>2</v>
      </c>
      <c r="L18" s="1980"/>
      <c r="M18" s="1975"/>
      <c r="N18" s="1975"/>
      <c r="O18" s="2030"/>
      <c r="P18" s="4582"/>
      <c r="Q18" s="906" t="str">
        <f>B18</f>
        <v>基础设施水平</v>
      </c>
      <c r="R18" s="3767" t="s">
        <v>13</v>
      </c>
      <c r="S18" s="3770">
        <f>F18</f>
        <v>100</v>
      </c>
      <c r="T18" s="3767" t="s">
        <v>13</v>
      </c>
      <c r="U18" s="3770">
        <f>H18</f>
        <v>100</v>
      </c>
      <c r="V18" s="3767" t="s">
        <v>13</v>
      </c>
      <c r="W18" s="3770">
        <f>J18</f>
        <v>100</v>
      </c>
      <c r="X18" s="909"/>
      <c r="Y18" s="4582"/>
      <c r="Z18" s="907" t="str">
        <f>Q18</f>
        <v>基础设施水平</v>
      </c>
      <c r="AA18" s="907">
        <f t="shared" ref="AA18" si="8">D18/F18</f>
        <v>1</v>
      </c>
      <c r="AB18" s="907">
        <f t="shared" ref="AB18" si="9">D18/H18</f>
        <v>1</v>
      </c>
      <c r="AC18" s="907">
        <f t="shared" ref="AC18" si="10">D18/J18</f>
        <v>1</v>
      </c>
    </row>
    <row r="19" spans="1:29" ht="15">
      <c r="A19" s="254"/>
      <c r="B19" s="759"/>
      <c r="C19" s="1365" t="s">
        <v>3603</v>
      </c>
      <c r="D19" s="2906"/>
      <c r="E19" s="1365" t="s">
        <v>3603</v>
      </c>
      <c r="F19" s="3757"/>
      <c r="G19" s="1365" t="s">
        <v>3603</v>
      </c>
      <c r="H19" s="267"/>
      <c r="I19" s="266" t="s">
        <v>3603</v>
      </c>
      <c r="J19" s="267"/>
      <c r="K19" s="758"/>
      <c r="L19" s="1980"/>
      <c r="M19" s="1975"/>
      <c r="N19" s="1975"/>
      <c r="O19" s="2030"/>
      <c r="P19" s="4582"/>
      <c r="Q19" s="906"/>
      <c r="R19" s="3767"/>
      <c r="S19" s="3770"/>
      <c r="T19" s="3767"/>
      <c r="U19" s="3770"/>
      <c r="V19" s="3767"/>
      <c r="W19" s="3770"/>
      <c r="X19" s="909"/>
      <c r="Y19" s="4582"/>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98</v>
      </c>
      <c r="I20" s="270"/>
      <c r="J20" s="268">
        <f>SUMIF(67:67,I21,68:68)-SUMIF(67:67,C21,68:68)+100</f>
        <v>98</v>
      </c>
      <c r="K20" s="396">
        <v>2</v>
      </c>
      <c r="L20" s="1980"/>
      <c r="M20" s="1975"/>
      <c r="N20" s="1975"/>
      <c r="O20" s="2030"/>
      <c r="P20" s="4582"/>
      <c r="Q20" s="906" t="str">
        <f>B20</f>
        <v>自然及人文环境</v>
      </c>
      <c r="R20" s="3767" t="s">
        <v>13</v>
      </c>
      <c r="S20" s="3770">
        <f>F20</f>
        <v>100</v>
      </c>
      <c r="T20" s="3767" t="s">
        <v>13</v>
      </c>
      <c r="U20" s="3770">
        <f>H20</f>
        <v>98</v>
      </c>
      <c r="V20" s="3767" t="s">
        <v>13</v>
      </c>
      <c r="W20" s="3770">
        <f>J20</f>
        <v>98</v>
      </c>
      <c r="X20" s="909"/>
      <c r="Y20" s="4582"/>
      <c r="Z20" s="907" t="str">
        <f>Q20</f>
        <v>自然及人文环境</v>
      </c>
      <c r="AA20" s="907">
        <f t="shared" si="3"/>
        <v>1</v>
      </c>
      <c r="AB20" s="907">
        <f t="shared" si="4"/>
        <v>1.0204081632653061</v>
      </c>
      <c r="AC20" s="907">
        <f t="shared" si="5"/>
        <v>1.0204081632653061</v>
      </c>
    </row>
    <row r="21" spans="1:29" ht="15">
      <c r="A21" s="254"/>
      <c r="B21" s="272"/>
      <c r="C21" s="266" t="s">
        <v>3602</v>
      </c>
      <c r="D21" s="2905"/>
      <c r="E21" s="266" t="s">
        <v>3602</v>
      </c>
      <c r="F21" s="3756"/>
      <c r="G21" s="266" t="s">
        <v>3601</v>
      </c>
      <c r="H21" s="267"/>
      <c r="I21" s="266" t="s">
        <v>3601</v>
      </c>
      <c r="J21" s="267"/>
      <c r="K21" s="397"/>
      <c r="L21" s="1980"/>
      <c r="M21" s="1975"/>
      <c r="N21" s="1975"/>
      <c r="O21" s="2030"/>
      <c r="P21" s="4582"/>
      <c r="Q21" s="906"/>
      <c r="R21" s="3767"/>
      <c r="S21" s="3770"/>
      <c r="T21" s="3767"/>
      <c r="U21" s="3770"/>
      <c r="V21" s="3767"/>
      <c r="W21" s="3770"/>
      <c r="X21" s="909"/>
      <c r="Y21" s="4582"/>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82"/>
      <c r="Q22" s="906" t="str">
        <f>B22</f>
        <v>楼层</v>
      </c>
      <c r="R22" s="3767" t="s">
        <v>13</v>
      </c>
      <c r="S22" s="3770">
        <f>F22</f>
        <v>100</v>
      </c>
      <c r="T22" s="3767" t="s">
        <v>13</v>
      </c>
      <c r="U22" s="3770">
        <f>H22</f>
        <v>100</v>
      </c>
      <c r="V22" s="3767" t="s">
        <v>13</v>
      </c>
      <c r="W22" s="3770">
        <f>J22</f>
        <v>100</v>
      </c>
      <c r="X22" s="909"/>
      <c r="Y22" s="4582"/>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82"/>
      <c r="Q23" s="906">
        <f>B23</f>
        <v>111</v>
      </c>
      <c r="R23" s="3767" t="s">
        <v>13</v>
      </c>
      <c r="S23" s="3770">
        <f>F23</f>
        <v>100</v>
      </c>
      <c r="T23" s="3767" t="s">
        <v>13</v>
      </c>
      <c r="U23" s="3770">
        <f>H23</f>
        <v>100</v>
      </c>
      <c r="V23" s="3767" t="s">
        <v>13</v>
      </c>
      <c r="W23" s="3770">
        <f>J23</f>
        <v>100</v>
      </c>
      <c r="X23" s="909"/>
      <c r="Y23" s="4582"/>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82"/>
      <c r="Q24" s="906">
        <f t="shared" ref="Q24:Q34" si="11">B24</f>
        <v>111</v>
      </c>
      <c r="R24" s="3767" t="s">
        <v>13</v>
      </c>
      <c r="S24" s="3770">
        <f>F24</f>
        <v>100</v>
      </c>
      <c r="T24" s="3767" t="s">
        <v>13</v>
      </c>
      <c r="U24" s="3770">
        <f>H24</f>
        <v>100</v>
      </c>
      <c r="V24" s="3767" t="s">
        <v>13</v>
      </c>
      <c r="W24" s="3770">
        <f>J24</f>
        <v>100</v>
      </c>
      <c r="X24" s="909"/>
      <c r="Y24" s="4582"/>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82"/>
      <c r="Q25" s="389">
        <f t="shared" si="11"/>
        <v>111</v>
      </c>
      <c r="R25" s="3766" t="s">
        <v>13</v>
      </c>
      <c r="S25" s="3769">
        <f>F25</f>
        <v>100</v>
      </c>
      <c r="T25" s="3766" t="s">
        <v>13</v>
      </c>
      <c r="U25" s="3769">
        <f>H25</f>
        <v>100</v>
      </c>
      <c r="V25" s="3766" t="s">
        <v>13</v>
      </c>
      <c r="W25" s="3769">
        <f>J25</f>
        <v>100</v>
      </c>
      <c r="X25" s="482"/>
      <c r="Y25" s="4582"/>
      <c r="Z25" s="28">
        <f>Q25</f>
        <v>111</v>
      </c>
      <c r="AA25" s="907">
        <f>D25/F25</f>
        <v>1</v>
      </c>
      <c r="AB25" s="907">
        <f>D25/H25</f>
        <v>1</v>
      </c>
      <c r="AC25" s="907">
        <f>D25/J25</f>
        <v>1</v>
      </c>
    </row>
    <row r="26" spans="1:29" ht="28.5">
      <c r="A26" s="276" t="s">
        <v>1601</v>
      </c>
      <c r="B26" s="34" t="s">
        <v>1745</v>
      </c>
      <c r="C26" s="1420" t="s">
        <v>4227</v>
      </c>
      <c r="D26" s="2909">
        <v>100</v>
      </c>
      <c r="E26" s="1420" t="s">
        <v>4227</v>
      </c>
      <c r="F26" s="3772">
        <f>SUMIF(77:77,E26,78:78)-SUMIF(77:77,C26,78:78)+100</f>
        <v>100</v>
      </c>
      <c r="G26" s="1420" t="s">
        <v>4227</v>
      </c>
      <c r="H26" s="3754">
        <f>SUMIF(77:77,G26,78:78)-SUMIF(77:77,C26,78:78)+100</f>
        <v>100</v>
      </c>
      <c r="I26" s="1420" t="s">
        <v>4227</v>
      </c>
      <c r="J26" s="3754">
        <f>SUMIF(77:77,I26,78:78)-SUMIF(77:77,C26,78:78)+100</f>
        <v>100</v>
      </c>
      <c r="K26" s="394">
        <v>1</v>
      </c>
      <c r="L26" s="1980"/>
      <c r="M26" s="1975"/>
      <c r="N26" s="1975"/>
      <c r="O26" s="2030"/>
      <c r="P26" s="4675"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85" t="s">
        <v>1603</v>
      </c>
      <c r="Z26" s="907" t="str">
        <f t="shared" ref="Z26:Z34" si="15">Q26</f>
        <v>公共部分装修</v>
      </c>
      <c r="AA26" s="907">
        <f t="shared" si="3"/>
        <v>1</v>
      </c>
      <c r="AB26" s="907">
        <f t="shared" si="4"/>
        <v>1</v>
      </c>
      <c r="AC26" s="907">
        <f t="shared" si="5"/>
        <v>1</v>
      </c>
    </row>
    <row r="27" spans="1:29" s="279" customFormat="1" ht="15">
      <c r="A27" s="277"/>
      <c r="B27" s="252" t="s">
        <v>1746</v>
      </c>
      <c r="C27" s="282">
        <v>1</v>
      </c>
      <c r="D27" s="2900">
        <v>100</v>
      </c>
      <c r="E27" s="283">
        <v>1</v>
      </c>
      <c r="F27" s="908">
        <f>LOOKUP(E27,80:80,81:81)-LOOKUP(C27,80:80,81:81)+100</f>
        <v>100</v>
      </c>
      <c r="G27" s="284">
        <v>1</v>
      </c>
      <c r="H27" s="3751">
        <f>LOOKUP(G27,80:80,81:81)-LOOKUP(C27,80:80,81:81)+100</f>
        <v>100</v>
      </c>
      <c r="I27" s="284">
        <v>1</v>
      </c>
      <c r="J27" s="3751">
        <f>LOOKUP(I27,80:80,81:81)-LOOKUP(C27,80:80,81:81)+100</f>
        <v>100</v>
      </c>
      <c r="K27" s="394">
        <v>1</v>
      </c>
      <c r="L27" s="1979"/>
      <c r="M27" s="1981"/>
      <c r="N27" s="1981"/>
      <c r="O27" s="2031"/>
      <c r="P27" s="4585"/>
      <c r="Q27" s="483" t="str">
        <f t="shared" si="11"/>
        <v>成新率</v>
      </c>
      <c r="R27" s="3768" t="s">
        <v>13</v>
      </c>
      <c r="S27" s="3771">
        <f t="shared" si="12"/>
        <v>100</v>
      </c>
      <c r="T27" s="3768" t="s">
        <v>13</v>
      </c>
      <c r="U27" s="3771">
        <f t="shared" si="13"/>
        <v>100</v>
      </c>
      <c r="V27" s="3768" t="s">
        <v>13</v>
      </c>
      <c r="W27" s="3771">
        <f t="shared" si="14"/>
        <v>100</v>
      </c>
      <c r="X27" s="484"/>
      <c r="Y27" s="4585"/>
      <c r="Z27" s="485" t="str">
        <f t="shared" si="15"/>
        <v>成新率</v>
      </c>
      <c r="AA27" s="907">
        <f t="shared" si="3"/>
        <v>1</v>
      </c>
      <c r="AB27" s="907">
        <f t="shared" si="4"/>
        <v>1</v>
      </c>
      <c r="AC27" s="907">
        <f t="shared" si="5"/>
        <v>1</v>
      </c>
    </row>
    <row r="28" spans="1:29" ht="15">
      <c r="A28" s="280"/>
      <c r="B28" s="252" t="s">
        <v>1747</v>
      </c>
      <c r="C28" s="275" t="s">
        <v>4228</v>
      </c>
      <c r="D28" s="2902">
        <v>100</v>
      </c>
      <c r="E28" s="275" t="s">
        <v>4228</v>
      </c>
      <c r="F28" s="908">
        <f>SUMIF(82:82,E28,83:83)-SUMIF(82:82,C28,83:83)+100</f>
        <v>100</v>
      </c>
      <c r="G28" s="275" t="s">
        <v>4228</v>
      </c>
      <c r="H28" s="3751">
        <f>SUMIF(82:82,G28,83:83)-SUMIF(82:82,C28,83:83)+100</f>
        <v>100</v>
      </c>
      <c r="I28" s="275" t="s">
        <v>4228</v>
      </c>
      <c r="J28" s="3751">
        <f>SUMIF(82:82,I28,83:83)-SUMIF(82:82,C28,83:83)+100</f>
        <v>100</v>
      </c>
      <c r="K28" s="394">
        <v>1</v>
      </c>
      <c r="L28" s="1980"/>
      <c r="M28" s="1975"/>
      <c r="N28" s="1975"/>
      <c r="O28" s="2030"/>
      <c r="P28" s="4585"/>
      <c r="Q28" s="906" t="str">
        <f t="shared" si="11"/>
        <v>物业等级</v>
      </c>
      <c r="R28" s="3767" t="s">
        <v>13</v>
      </c>
      <c r="S28" s="3770">
        <f t="shared" si="12"/>
        <v>100</v>
      </c>
      <c r="T28" s="3767" t="s">
        <v>13</v>
      </c>
      <c r="U28" s="3770">
        <f t="shared" si="13"/>
        <v>100</v>
      </c>
      <c r="V28" s="3767" t="s">
        <v>13</v>
      </c>
      <c r="W28" s="3770">
        <f t="shared" si="14"/>
        <v>100</v>
      </c>
      <c r="X28" s="909"/>
      <c r="Y28" s="4585"/>
      <c r="Z28" s="907" t="str">
        <f t="shared" si="15"/>
        <v>物业等级</v>
      </c>
      <c r="AA28" s="907">
        <f t="shared" si="3"/>
        <v>1</v>
      </c>
      <c r="AB28" s="907">
        <f t="shared" si="4"/>
        <v>1</v>
      </c>
      <c r="AC28" s="907">
        <f t="shared" si="5"/>
        <v>1</v>
      </c>
    </row>
    <row r="29" spans="1:29" ht="15">
      <c r="A29" s="280"/>
      <c r="B29" s="252" t="s">
        <v>1767</v>
      </c>
      <c r="C29" s="425" t="s">
        <v>4258</v>
      </c>
      <c r="D29" s="2902">
        <v>100</v>
      </c>
      <c r="E29" s="425" t="s">
        <v>4258</v>
      </c>
      <c r="F29" s="908">
        <f>SUMIF(84:84,E29,85:85)-SUMIF(84:84,C29,85:85)+100</f>
        <v>100</v>
      </c>
      <c r="G29" s="425" t="s">
        <v>4258</v>
      </c>
      <c r="H29" s="3751">
        <f>SUMIF(84:84,G29,85:85)-SUMIF(84:84,C29,85:85)+100</f>
        <v>100</v>
      </c>
      <c r="I29" s="425" t="s">
        <v>4258</v>
      </c>
      <c r="J29" s="3751">
        <f>SUMIF(84:84,I29,85:85)-SUMIF(84:84,C29,85:85)+100</f>
        <v>100</v>
      </c>
      <c r="K29" s="394">
        <v>1</v>
      </c>
      <c r="L29" s="1980"/>
      <c r="M29" s="1975"/>
      <c r="N29" s="1975"/>
      <c r="O29" s="2030"/>
      <c r="P29" s="4585"/>
      <c r="Q29" s="906" t="str">
        <f t="shared" si="11"/>
        <v>有无电梯</v>
      </c>
      <c r="R29" s="3767" t="s">
        <v>13</v>
      </c>
      <c r="S29" s="3770">
        <f t="shared" si="12"/>
        <v>100</v>
      </c>
      <c r="T29" s="3767" t="s">
        <v>13</v>
      </c>
      <c r="U29" s="3770">
        <f t="shared" si="13"/>
        <v>100</v>
      </c>
      <c r="V29" s="3767" t="s">
        <v>13</v>
      </c>
      <c r="W29" s="3770">
        <f t="shared" si="14"/>
        <v>100</v>
      </c>
      <c r="X29" s="909"/>
      <c r="Y29" s="4585"/>
      <c r="Z29" s="907" t="str">
        <f t="shared" si="15"/>
        <v>有无电梯</v>
      </c>
      <c r="AA29" s="907">
        <f t="shared" si="3"/>
        <v>1</v>
      </c>
      <c r="AB29" s="907">
        <f t="shared" si="4"/>
        <v>1</v>
      </c>
      <c r="AC29" s="907">
        <f t="shared" si="5"/>
        <v>1</v>
      </c>
    </row>
    <row r="30" spans="1:29" ht="15">
      <c r="A30" s="280"/>
      <c r="B30" s="252" t="s">
        <v>1768</v>
      </c>
      <c r="C30" s="278">
        <v>40</v>
      </c>
      <c r="D30" s="2902">
        <v>100</v>
      </c>
      <c r="E30" s="278">
        <f>仓储!F4</f>
        <v>38.71</v>
      </c>
      <c r="F30" s="908">
        <f>LOOKUP(E30,87:87,88:88)-LOOKUP(C30,87:87,88:88)+100</f>
        <v>100</v>
      </c>
      <c r="G30" s="278">
        <f>仓储!F6</f>
        <v>42.42</v>
      </c>
      <c r="H30" s="3751">
        <f>LOOKUP(G30,87:87,88:88)-LOOKUP(C30,87:87,88:88)+100</f>
        <v>100</v>
      </c>
      <c r="I30" s="278">
        <f>仓储!F10</f>
        <v>35.86</v>
      </c>
      <c r="J30" s="3751">
        <f>LOOKUP(I30,87:87,88:88)-LOOKUP(C30,87:87,88:88)+100</f>
        <v>100</v>
      </c>
      <c r="K30" s="395"/>
      <c r="L30" s="1980"/>
      <c r="M30" s="1975"/>
      <c r="N30" s="1975"/>
      <c r="O30" s="2030"/>
      <c r="P30" s="4585"/>
      <c r="Q30" s="906" t="str">
        <f t="shared" si="11"/>
        <v>建筑面积</v>
      </c>
      <c r="R30" s="3767" t="s">
        <v>13</v>
      </c>
      <c r="S30" s="3770">
        <f t="shared" si="12"/>
        <v>100</v>
      </c>
      <c r="T30" s="3767" t="s">
        <v>13</v>
      </c>
      <c r="U30" s="3770">
        <f t="shared" si="13"/>
        <v>100</v>
      </c>
      <c r="V30" s="3767" t="s">
        <v>13</v>
      </c>
      <c r="W30" s="3770">
        <f t="shared" si="14"/>
        <v>100</v>
      </c>
      <c r="X30" s="909"/>
      <c r="Y30" s="4585"/>
      <c r="Z30" s="907" t="str">
        <f t="shared" si="15"/>
        <v>建筑面积</v>
      </c>
      <c r="AA30" s="907">
        <f t="shared" si="3"/>
        <v>1</v>
      </c>
      <c r="AB30" s="907">
        <f t="shared" si="4"/>
        <v>1</v>
      </c>
      <c r="AC30" s="907">
        <f t="shared" si="5"/>
        <v>1</v>
      </c>
    </row>
    <row r="31" spans="1:29" s="46" customFormat="1" ht="15">
      <c r="A31" s="281"/>
      <c r="B31" s="252" t="s">
        <v>1769</v>
      </c>
      <c r="C31" s="425" t="s">
        <v>4091</v>
      </c>
      <c r="D31" s="2900">
        <v>100</v>
      </c>
      <c r="E31" s="425" t="s">
        <v>4091</v>
      </c>
      <c r="F31" s="908">
        <f>SUMIF(89:89,E31,90:90)-SUMIF(89:89,C31,90:90)+100</f>
        <v>100</v>
      </c>
      <c r="G31" s="425" t="s">
        <v>4091</v>
      </c>
      <c r="H31" s="3751">
        <f>SUMIF(89:89,G31,90:90)-SUMIF(89:89,C31,90:90)+100</f>
        <v>100</v>
      </c>
      <c r="I31" s="425" t="s">
        <v>4091</v>
      </c>
      <c r="J31" s="3751">
        <f>SUMIF(89:89,I31,90:90)-SUMIF(89:89,C31,90:90)+100</f>
        <v>100</v>
      </c>
      <c r="K31" s="394">
        <v>1</v>
      </c>
      <c r="L31" s="1976"/>
      <c r="M31" s="1929"/>
      <c r="N31" s="1929"/>
      <c r="O31" s="2028"/>
      <c r="P31" s="4585"/>
      <c r="Q31" s="389" t="str">
        <f t="shared" si="11"/>
        <v>是否封闭</v>
      </c>
      <c r="R31" s="3766" t="s">
        <v>13</v>
      </c>
      <c r="S31" s="3769">
        <f t="shared" si="12"/>
        <v>100</v>
      </c>
      <c r="T31" s="3766" t="s">
        <v>13</v>
      </c>
      <c r="U31" s="3769">
        <f t="shared" si="13"/>
        <v>100</v>
      </c>
      <c r="V31" s="3766" t="s">
        <v>13</v>
      </c>
      <c r="W31" s="3769">
        <f t="shared" si="14"/>
        <v>100</v>
      </c>
      <c r="X31" s="482"/>
      <c r="Y31" s="4585"/>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85" t="s">
        <v>1603</v>
      </c>
      <c r="Q32" s="906">
        <f t="shared" si="11"/>
        <v>111</v>
      </c>
      <c r="R32" s="3767" t="s">
        <v>13</v>
      </c>
      <c r="S32" s="3770">
        <f t="shared" si="12"/>
        <v>100</v>
      </c>
      <c r="T32" s="3767" t="s">
        <v>13</v>
      </c>
      <c r="U32" s="3770">
        <f t="shared" si="13"/>
        <v>100</v>
      </c>
      <c r="V32" s="3767" t="s">
        <v>13</v>
      </c>
      <c r="W32" s="3770">
        <f t="shared" si="14"/>
        <v>100</v>
      </c>
      <c r="X32" s="909"/>
      <c r="Y32" s="4585"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85"/>
      <c r="Q33" s="906">
        <f t="shared" si="11"/>
        <v>111</v>
      </c>
      <c r="R33" s="3767" t="s">
        <v>13</v>
      </c>
      <c r="S33" s="3770">
        <f t="shared" si="12"/>
        <v>100</v>
      </c>
      <c r="T33" s="3767" t="s">
        <v>13</v>
      </c>
      <c r="U33" s="3770">
        <f t="shared" si="13"/>
        <v>100</v>
      </c>
      <c r="V33" s="3767" t="s">
        <v>13</v>
      </c>
      <c r="W33" s="3770">
        <f t="shared" si="14"/>
        <v>100</v>
      </c>
      <c r="X33" s="909"/>
      <c r="Y33" s="4585"/>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85"/>
      <c r="Q34" s="906">
        <f t="shared" si="11"/>
        <v>111</v>
      </c>
      <c r="R34" s="3767" t="s">
        <v>13</v>
      </c>
      <c r="S34" s="3770">
        <f t="shared" si="12"/>
        <v>100</v>
      </c>
      <c r="T34" s="3767" t="s">
        <v>13</v>
      </c>
      <c r="U34" s="3770">
        <f t="shared" si="13"/>
        <v>100</v>
      </c>
      <c r="V34" s="3767" t="s">
        <v>13</v>
      </c>
      <c r="W34" s="3770">
        <f t="shared" si="14"/>
        <v>100</v>
      </c>
      <c r="X34" s="909"/>
      <c r="Y34" s="4585"/>
      <c r="Z34" s="907">
        <f t="shared" si="15"/>
        <v>111</v>
      </c>
      <c r="AA34" s="907">
        <f t="shared" si="3"/>
        <v>1</v>
      </c>
      <c r="AB34" s="907">
        <f t="shared" si="4"/>
        <v>1</v>
      </c>
      <c r="AC34" s="907">
        <f t="shared" si="5"/>
        <v>1</v>
      </c>
    </row>
    <row r="35" spans="1:30" ht="15">
      <c r="A35" s="286" t="s">
        <v>1615</v>
      </c>
      <c r="B35" s="287"/>
      <c r="C35" s="765" t="s">
        <v>0</v>
      </c>
      <c r="D35" s="288"/>
      <c r="E35" s="3205">
        <f>仓储!G4</f>
        <v>15085</v>
      </c>
      <c r="F35" s="3153"/>
      <c r="G35" s="3206">
        <f>仓储!G6</f>
        <v>12514</v>
      </c>
      <c r="H35" s="3154"/>
      <c r="I35" s="3205">
        <f>仓储!G10</f>
        <v>15996</v>
      </c>
      <c r="J35" s="3154"/>
      <c r="K35" s="2862"/>
      <c r="L35" s="1982"/>
      <c r="M35" s="1975"/>
      <c r="N35" s="1975"/>
      <c r="O35" s="1975"/>
      <c r="P35" s="4577" t="str">
        <f>A35</f>
        <v>成交单价（元/平方米）</v>
      </c>
      <c r="Q35" s="4577"/>
      <c r="R35" s="4642">
        <f>E35</f>
        <v>15085</v>
      </c>
      <c r="S35" s="4642"/>
      <c r="T35" s="4642">
        <f>G35</f>
        <v>12514</v>
      </c>
      <c r="U35" s="4642"/>
      <c r="V35" s="4642">
        <f>I35</f>
        <v>15996</v>
      </c>
      <c r="W35" s="4642"/>
      <c r="X35" s="265"/>
      <c r="Y35" s="486"/>
      <c r="Z35" s="265"/>
      <c r="AA35" s="265"/>
      <c r="AB35" s="265"/>
      <c r="AC35" s="265"/>
    </row>
    <row r="36" spans="1:30" ht="15.75" thickBot="1">
      <c r="A36" s="289" t="s">
        <v>1700</v>
      </c>
      <c r="B36" s="290"/>
      <c r="C36" s="3733">
        <f>R37</f>
        <v>14950</v>
      </c>
      <c r="D36" s="3846" t="s">
        <v>2042</v>
      </c>
      <c r="E36" s="3744">
        <f>R36</f>
        <v>15085</v>
      </c>
      <c r="F36" s="2801"/>
      <c r="G36" s="3733">
        <f>T36</f>
        <v>12769</v>
      </c>
      <c r="H36" s="2801"/>
      <c r="I36" s="3744">
        <f>V36</f>
        <v>16995</v>
      </c>
      <c r="J36" s="2801"/>
      <c r="K36" s="2855">
        <f>F36+H36+J36</f>
        <v>0</v>
      </c>
      <c r="L36" s="1982"/>
      <c r="M36" s="1975"/>
      <c r="N36" s="1975"/>
      <c r="O36" s="1975"/>
      <c r="P36" s="4577" t="str">
        <f>A36</f>
        <v>比较价值（元/平方米）</v>
      </c>
      <c r="Q36" s="4577"/>
      <c r="R36" s="4642">
        <f>IF(F1="售价",ROUND(PRODUCT(R35,AA7:AA34),0),ROUND(PRODUCT(R35,AA7:AA34),1))</f>
        <v>15085</v>
      </c>
      <c r="S36" s="4642"/>
      <c r="T36" s="4642">
        <f>IF(F1="售价",ROUND(PRODUCT(T35,AB7:AB34),0),ROUND(PRODUCT(T35,AB7:AB34),1))</f>
        <v>12769</v>
      </c>
      <c r="U36" s="4642"/>
      <c r="V36" s="4642">
        <f>IF(F1="售价",ROUND(PRODUCT(V35,AC7:AC34),0),ROUND(PRODUCT(V35,AC7:AC34),1))</f>
        <v>16995</v>
      </c>
      <c r="W36" s="4642"/>
      <c r="X36" s="265"/>
      <c r="Y36" s="265"/>
      <c r="Z36" s="265"/>
      <c r="AA36" s="265"/>
      <c r="AB36" s="265"/>
      <c r="AC36" s="265"/>
    </row>
    <row r="37" spans="1:30" ht="15.75" thickBot="1">
      <c r="A37" s="291" t="s">
        <v>1701</v>
      </c>
      <c r="B37" s="292"/>
      <c r="C37" s="3745">
        <f>R37</f>
        <v>14950</v>
      </c>
      <c r="D37" s="241"/>
      <c r="E37" s="241"/>
      <c r="F37" s="241"/>
      <c r="G37" s="241"/>
      <c r="H37" s="241"/>
      <c r="I37" s="241"/>
      <c r="J37" s="241"/>
      <c r="K37" s="487"/>
      <c r="L37" s="1982"/>
      <c r="M37" s="1975"/>
      <c r="N37" s="1975"/>
      <c r="O37" s="1975"/>
      <c r="P37" s="4672" t="str">
        <f>A37</f>
        <v>估价对象XX用房的比较价值（楼面单价，元/平方米）</v>
      </c>
      <c r="Q37" s="4673"/>
      <c r="R37" s="4674">
        <f>IF(F1="售价",ROUND(IF(D36="简单平均",AVERAGE(R36:W36),R36*F36+T36*H36+V36*J36),0),ROUND(IF(D36="简单平均",AVERAGE(R36:V36),R36*F36+T36*H36+V36*J36),1))</f>
        <v>14950</v>
      </c>
      <c r="S37" s="4674"/>
      <c r="T37" s="4674"/>
      <c r="U37" s="4674"/>
      <c r="V37" s="4674"/>
      <c r="W37" s="4674"/>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f>IF(E35&lt;E36,E36/E35-1,E35/E36-1)</f>
        <v>0</v>
      </c>
      <c r="F40" s="299" t="str">
        <f>IF(OR(E40&gt;=0.3,E40&lt;=-0.3),"超过30%","")</f>
        <v/>
      </c>
      <c r="G40" s="298">
        <f>IF(G35&lt;G36,G36/G35-1,G35/G36-1)</f>
        <v>2.0377177561131443E-2</v>
      </c>
      <c r="H40" s="299" t="str">
        <f>IF(OR(G40&gt;=0.3,G40&lt;=-0.3),"超过30%","")</f>
        <v/>
      </c>
      <c r="I40" s="298">
        <f>IF(I35&lt;I36,I36/I35-1,I35/I36-1)</f>
        <v>6.2453113278319483E-2</v>
      </c>
      <c r="J40" s="299" t="str">
        <f>IF(OR(I40&gt;=0.3,I40&lt;=-0.3),"超过30%","")</f>
        <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f>IF(E36&lt;G36,G36/E36-1,E36/G36-1)</f>
        <v>0.18137677186937107</v>
      </c>
      <c r="F41" s="299" t="str">
        <f>IF(OR(E41&gt;=0.2,E41&lt;=-0.2),"超过20%","")</f>
        <v/>
      </c>
      <c r="G41" s="298">
        <f>IF(G36&lt;I36,I36/G36-1,G36/I36-1)</f>
        <v>0.33095778839376622</v>
      </c>
      <c r="H41" s="299" t="str">
        <f>IF(OR(G41&gt;=0.2,G41&lt;=-0.2),"超过20%","")</f>
        <v>超过20%</v>
      </c>
      <c r="I41" s="298">
        <f>IF(I36&lt;E36,E36/I36-1,I36/E36-1)</f>
        <v>0.12661584355319855</v>
      </c>
      <c r="J41" s="299" t="str">
        <f>IF(OR(I41&gt;=0.2,I41&lt;=-0.2),"超过20%","")</f>
        <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f>IF(E35&lt;G35,G35/E35-1,E35/G35-1)</f>
        <v>0.20544989611634978</v>
      </c>
      <c r="F42" s="299" t="str">
        <f>IF(OR(E42&gt;=0.3,E42&lt;=-0.3),"超过30%","")</f>
        <v/>
      </c>
      <c r="G42" s="298">
        <f>IF(G35&lt;I35,I35/G35-1,G35/I35-1)</f>
        <v>0.27824836183474511</v>
      </c>
      <c r="H42" s="299" t="str">
        <f>IF(OR(G42&gt;=0.3,G42&lt;=-0.3),"超过30%","")</f>
        <v/>
      </c>
      <c r="I42" s="298">
        <f>IF(I35&lt;E35,E35/I35-1,I35/E35-1)</f>
        <v>6.0391117003645967E-2</v>
      </c>
      <c r="J42" s="299" t="str">
        <f>IF(OR(I42&gt;=0.3,I42&lt;=-0.3),"超过30%","")</f>
        <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t="str">
        <f>C9</f>
        <v>仓储</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t="s">
        <v>4241</v>
      </c>
      <c r="D53" s="372" t="s">
        <v>4242</v>
      </c>
      <c r="E53" s="372" t="s">
        <v>4243</v>
      </c>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3865</v>
      </c>
      <c r="C54" s="329">
        <v>100</v>
      </c>
      <c r="D54" s="329">
        <f>C54-2</f>
        <v>98</v>
      </c>
      <c r="E54" s="329">
        <f>D54-2</f>
        <v>96</v>
      </c>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98</v>
      </c>
      <c r="E62" s="337">
        <f>D62-$K14</f>
        <v>96</v>
      </c>
      <c r="F62" s="337">
        <f>E62-$K14</f>
        <v>94</v>
      </c>
      <c r="G62" s="337">
        <f>F62-$K14</f>
        <v>92</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98</v>
      </c>
      <c r="E64" s="337">
        <f>D64-$K16</f>
        <v>96</v>
      </c>
      <c r="F64" s="337">
        <f>E64-$K16</f>
        <v>94</v>
      </c>
      <c r="G64" s="337">
        <f>F64-$K16</f>
        <v>92</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98</v>
      </c>
      <c r="E66" s="337">
        <f>D66-$K18</f>
        <v>96</v>
      </c>
      <c r="F66" s="337">
        <f>E66-$K18</f>
        <v>94</v>
      </c>
      <c r="G66" s="337">
        <f>F66-$K18</f>
        <v>92</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98</v>
      </c>
      <c r="E68" s="337">
        <f>D68-$K20</f>
        <v>96</v>
      </c>
      <c r="F68" s="337">
        <f>E68-$K20</f>
        <v>94</v>
      </c>
      <c r="G68" s="337">
        <f>F68-$K20</f>
        <v>92</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t="s">
        <v>4236</v>
      </c>
      <c r="D77" s="347" t="s">
        <v>4244</v>
      </c>
      <c r="E77" s="324" t="s">
        <v>4245</v>
      </c>
      <c r="F77" s="324" t="s">
        <v>4246</v>
      </c>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99</v>
      </c>
      <c r="E78" s="337">
        <f t="shared" si="17"/>
        <v>98</v>
      </c>
      <c r="F78" s="337">
        <f t="shared" si="17"/>
        <v>97</v>
      </c>
      <c r="G78" s="337">
        <f t="shared" si="17"/>
        <v>96</v>
      </c>
      <c r="H78" s="337">
        <f t="shared" si="17"/>
        <v>95</v>
      </c>
      <c r="I78" s="337">
        <f t="shared" si="17"/>
        <v>94</v>
      </c>
      <c r="J78" s="337">
        <f t="shared" si="17"/>
        <v>93</v>
      </c>
      <c r="K78" s="337">
        <f t="shared" si="17"/>
        <v>92</v>
      </c>
      <c r="L78" s="337">
        <f t="shared" si="17"/>
        <v>91</v>
      </c>
      <c r="M78" s="338">
        <f t="shared" si="17"/>
        <v>90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101</v>
      </c>
      <c r="E81" s="337">
        <f t="shared" si="20"/>
        <v>102</v>
      </c>
      <c r="F81" s="337">
        <f t="shared" si="20"/>
        <v>103</v>
      </c>
      <c r="G81" s="337">
        <f t="shared" si="20"/>
        <v>104</v>
      </c>
      <c r="H81" s="337">
        <f t="shared" si="20"/>
        <v>105</v>
      </c>
      <c r="I81" s="337">
        <f t="shared" si="20"/>
        <v>106</v>
      </c>
      <c r="J81" s="337">
        <f t="shared" si="20"/>
        <v>107</v>
      </c>
      <c r="K81" s="337">
        <f t="shared" si="20"/>
        <v>108</v>
      </c>
      <c r="L81" s="337">
        <f t="shared" si="20"/>
        <v>109</v>
      </c>
      <c r="M81" s="337">
        <f t="shared" si="20"/>
        <v>110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t="s">
        <v>4237</v>
      </c>
      <c r="D82" s="347" t="s">
        <v>4238</v>
      </c>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99</v>
      </c>
      <c r="E83" s="337">
        <f t="shared" si="21"/>
        <v>98</v>
      </c>
      <c r="F83" s="337">
        <f t="shared" si="21"/>
        <v>97</v>
      </c>
      <c r="G83" s="337">
        <f t="shared" si="21"/>
        <v>96</v>
      </c>
      <c r="H83" s="337">
        <f t="shared" si="21"/>
        <v>95</v>
      </c>
      <c r="I83" s="337">
        <f t="shared" si="21"/>
        <v>94</v>
      </c>
      <c r="J83" s="337">
        <f t="shared" si="21"/>
        <v>93</v>
      </c>
      <c r="K83" s="337">
        <f t="shared" si="21"/>
        <v>92</v>
      </c>
      <c r="L83" s="337">
        <f t="shared" si="21"/>
        <v>91</v>
      </c>
      <c r="M83" s="338">
        <f t="shared" si="21"/>
        <v>90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t="s">
        <v>4247</v>
      </c>
      <c r="D84" s="347" t="s">
        <v>4248</v>
      </c>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101</v>
      </c>
      <c r="E85" s="337">
        <f t="shared" si="22"/>
        <v>102</v>
      </c>
      <c r="F85" s="337">
        <f t="shared" si="22"/>
        <v>103</v>
      </c>
      <c r="G85" s="337">
        <f t="shared" si="22"/>
        <v>104</v>
      </c>
      <c r="H85" s="337">
        <f t="shared" si="22"/>
        <v>105</v>
      </c>
      <c r="I85" s="337">
        <f t="shared" si="22"/>
        <v>106</v>
      </c>
      <c r="J85" s="337">
        <f t="shared" si="22"/>
        <v>107</v>
      </c>
      <c r="K85" s="337">
        <f t="shared" si="22"/>
        <v>108</v>
      </c>
      <c r="L85" s="337">
        <f t="shared" si="22"/>
        <v>109</v>
      </c>
      <c r="M85" s="337">
        <f t="shared" si="22"/>
        <v>110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0(含)-45</v>
      </c>
      <c r="D86" s="368" t="str">
        <f t="shared" si="23"/>
        <v>45(含)-90</v>
      </c>
      <c r="E86" s="368" t="str">
        <f t="shared" si="23"/>
        <v>90(含)-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v>0</v>
      </c>
      <c r="D87" s="5">
        <v>45</v>
      </c>
      <c r="E87" s="5">
        <v>90</v>
      </c>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v>100</v>
      </c>
      <c r="D88" s="329">
        <v>99</v>
      </c>
      <c r="E88" s="329">
        <v>98</v>
      </c>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t="s">
        <v>4249</v>
      </c>
      <c r="D89" s="347" t="s">
        <v>4240</v>
      </c>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67F72-19AC-4DBE-8283-CF84EB475129}">
  <dimension ref="A1:L77"/>
  <sheetViews>
    <sheetView workbookViewId="0">
      <selection activeCell="F6" sqref="F6"/>
    </sheetView>
  </sheetViews>
  <sheetFormatPr defaultRowHeight="13.5"/>
  <cols>
    <col min="1" max="1" width="23.5" style="4293" bestFit="1" customWidth="1"/>
    <col min="2" max="2" width="7.125" style="4293" bestFit="1" customWidth="1"/>
    <col min="3" max="3" width="9" style="4293"/>
    <col min="4" max="5" width="13.125" style="4293" bestFit="1" customWidth="1"/>
    <col min="6" max="6" width="16.375" style="4293" bestFit="1" customWidth="1"/>
    <col min="7" max="7" width="15.25" style="4293" bestFit="1" customWidth="1"/>
    <col min="8" max="9" width="17.375" style="4293" bestFit="1" customWidth="1"/>
    <col min="10" max="11" width="13.125" style="4293" bestFit="1" customWidth="1"/>
    <col min="12" max="12" width="9" style="4293"/>
    <col min="13" max="16384" width="9" style="4294"/>
  </cols>
  <sheetData>
    <row r="1" spans="1:12">
      <c r="A1" s="4293" t="s">
        <v>4361</v>
      </c>
      <c r="B1" s="4293" t="s">
        <v>4360</v>
      </c>
      <c r="C1" s="4293" t="s">
        <v>4359</v>
      </c>
      <c r="D1" s="4293" t="s">
        <v>4189</v>
      </c>
      <c r="E1" s="4293" t="s">
        <v>4190</v>
      </c>
      <c r="F1" s="4293" t="s">
        <v>4191</v>
      </c>
      <c r="G1" s="4293" t="s">
        <v>4192</v>
      </c>
      <c r="H1" s="4293" t="s">
        <v>4193</v>
      </c>
      <c r="I1" s="4293" t="s">
        <v>4194</v>
      </c>
      <c r="J1" s="4293" t="s">
        <v>4195</v>
      </c>
      <c r="K1" s="4293" t="s">
        <v>4196</v>
      </c>
    </row>
    <row r="2" spans="1:12">
      <c r="A2" s="4293" t="s">
        <v>4358</v>
      </c>
      <c r="B2" s="4293" t="s">
        <v>627</v>
      </c>
      <c r="C2" s="4293" t="s">
        <v>627</v>
      </c>
      <c r="D2" s="4293">
        <v>3552</v>
      </c>
      <c r="E2" s="4293">
        <v>480431</v>
      </c>
      <c r="F2" s="4293">
        <v>73992</v>
      </c>
      <c r="G2" s="4293">
        <v>3554812.07</v>
      </c>
      <c r="H2" s="4293">
        <v>3597</v>
      </c>
      <c r="I2" s="4293">
        <v>516477</v>
      </c>
      <c r="J2" s="4293">
        <v>8445</v>
      </c>
      <c r="K2" s="4293">
        <v>1278928</v>
      </c>
    </row>
    <row r="3" spans="1:12" s="4296" customFormat="1">
      <c r="A3" s="4295" t="s">
        <v>4252</v>
      </c>
      <c r="B3" s="4295" t="s">
        <v>4261</v>
      </c>
      <c r="C3" s="4295" t="s">
        <v>4263</v>
      </c>
      <c r="D3" s="4295">
        <v>446</v>
      </c>
      <c r="E3" s="4295">
        <v>55608</v>
      </c>
      <c r="F3" s="4295">
        <v>77856</v>
      </c>
      <c r="G3" s="4295">
        <v>432938.33</v>
      </c>
      <c r="H3" s="4295">
        <v>874</v>
      </c>
      <c r="I3" s="4295">
        <v>112361</v>
      </c>
      <c r="J3" s="4295">
        <v>418</v>
      </c>
      <c r="K3" s="4295">
        <v>55490</v>
      </c>
      <c r="L3" s="4295"/>
    </row>
    <row r="4" spans="1:12">
      <c r="A4" s="4293" t="s">
        <v>4357</v>
      </c>
      <c r="B4" s="4293" t="s">
        <v>4261</v>
      </c>
      <c r="C4" s="4293" t="s">
        <v>4353</v>
      </c>
      <c r="D4" s="4293">
        <v>314</v>
      </c>
      <c r="E4" s="4293">
        <v>32510</v>
      </c>
      <c r="F4" s="4293">
        <v>53362</v>
      </c>
      <c r="G4" s="4293">
        <v>173478.17</v>
      </c>
      <c r="H4" s="4293" t="s">
        <v>627</v>
      </c>
      <c r="I4" s="4293" t="s">
        <v>627</v>
      </c>
      <c r="J4" s="4293">
        <v>81</v>
      </c>
      <c r="K4" s="4293">
        <v>8827</v>
      </c>
    </row>
    <row r="5" spans="1:12">
      <c r="A5" s="4293" t="s">
        <v>4356</v>
      </c>
      <c r="B5" s="4293" t="s">
        <v>4261</v>
      </c>
      <c r="C5" s="4293" t="s">
        <v>4355</v>
      </c>
      <c r="D5" s="4293">
        <v>270</v>
      </c>
      <c r="E5" s="4293">
        <v>38172</v>
      </c>
      <c r="F5" s="4293">
        <v>91688</v>
      </c>
      <c r="G5" s="4293">
        <v>349987.61</v>
      </c>
      <c r="H5" s="4293">
        <v>169</v>
      </c>
      <c r="I5" s="4293">
        <v>23575</v>
      </c>
      <c r="J5" s="4293">
        <v>231</v>
      </c>
      <c r="K5" s="4293">
        <v>32842</v>
      </c>
    </row>
    <row r="6" spans="1:12" s="4296" customFormat="1">
      <c r="A6" s="4295" t="s">
        <v>4354</v>
      </c>
      <c r="B6" s="4295" t="s">
        <v>4261</v>
      </c>
      <c r="C6" s="4295" t="s">
        <v>4263</v>
      </c>
      <c r="D6" s="4295">
        <v>218</v>
      </c>
      <c r="E6" s="4295">
        <v>20989</v>
      </c>
      <c r="F6" s="4295">
        <v>71474</v>
      </c>
      <c r="G6" s="4295">
        <v>150017.22</v>
      </c>
      <c r="H6" s="4295" t="s">
        <v>627</v>
      </c>
      <c r="I6" s="4295" t="s">
        <v>627</v>
      </c>
      <c r="J6" s="4295">
        <v>539</v>
      </c>
      <c r="K6" s="4295">
        <v>62839</v>
      </c>
      <c r="L6" s="4295"/>
    </row>
    <row r="7" spans="1:12">
      <c r="A7" s="4293" t="s">
        <v>4198</v>
      </c>
      <c r="B7" s="4293" t="s">
        <v>4261</v>
      </c>
      <c r="C7" s="4293" t="s">
        <v>4353</v>
      </c>
      <c r="D7" s="4293">
        <v>205</v>
      </c>
      <c r="E7" s="4293">
        <v>25756</v>
      </c>
      <c r="F7" s="4293">
        <v>54562</v>
      </c>
      <c r="G7" s="4293">
        <v>140530.63</v>
      </c>
      <c r="H7" s="4293" t="s">
        <v>627</v>
      </c>
      <c r="I7" s="4293" t="s">
        <v>627</v>
      </c>
      <c r="J7" s="4293">
        <v>211</v>
      </c>
      <c r="K7" s="4293">
        <v>27347</v>
      </c>
    </row>
    <row r="8" spans="1:12">
      <c r="A8" s="4293" t="s">
        <v>4391</v>
      </c>
      <c r="B8" s="4293" t="s">
        <v>4261</v>
      </c>
      <c r="C8" s="4293" t="s">
        <v>4274</v>
      </c>
      <c r="D8" s="4293">
        <v>170</v>
      </c>
      <c r="E8" s="4293">
        <v>22275</v>
      </c>
      <c r="F8" s="4301">
        <v>80399</v>
      </c>
      <c r="G8" s="4293">
        <v>179089.95</v>
      </c>
      <c r="H8" s="4293" t="s">
        <v>627</v>
      </c>
      <c r="I8" s="4293" t="s">
        <v>627</v>
      </c>
      <c r="J8" s="4293">
        <v>536</v>
      </c>
      <c r="K8" s="4293">
        <v>74331</v>
      </c>
    </row>
    <row r="9" spans="1:12">
      <c r="A9" s="4293" t="s">
        <v>4352</v>
      </c>
      <c r="B9" s="4293" t="s">
        <v>4261</v>
      </c>
      <c r="C9" s="4293" t="s">
        <v>4272</v>
      </c>
      <c r="D9" s="4293">
        <v>165</v>
      </c>
      <c r="E9" s="4293">
        <v>25730</v>
      </c>
      <c r="F9" s="4293">
        <v>106450</v>
      </c>
      <c r="G9" s="4293">
        <v>273899.8</v>
      </c>
      <c r="H9" s="4293">
        <v>1016</v>
      </c>
      <c r="I9" s="4293">
        <v>173328</v>
      </c>
      <c r="J9" s="4293">
        <v>863</v>
      </c>
      <c r="K9" s="4293">
        <v>149152</v>
      </c>
    </row>
    <row r="10" spans="1:12">
      <c r="A10" s="4293" t="s">
        <v>4351</v>
      </c>
      <c r="B10" s="4293" t="s">
        <v>4261</v>
      </c>
      <c r="C10" s="4293" t="s">
        <v>4279</v>
      </c>
      <c r="D10" s="4293">
        <v>144</v>
      </c>
      <c r="E10" s="4293">
        <v>17130</v>
      </c>
      <c r="F10" s="4293">
        <v>91674</v>
      </c>
      <c r="G10" s="4293">
        <v>157033.60999999999</v>
      </c>
      <c r="H10" s="4293">
        <v>530</v>
      </c>
      <c r="I10" s="4293">
        <v>68937</v>
      </c>
      <c r="J10" s="4293">
        <v>268</v>
      </c>
      <c r="K10" s="4293">
        <v>37102</v>
      </c>
    </row>
    <row r="11" spans="1:12" s="4296" customFormat="1">
      <c r="A11" s="4295" t="s">
        <v>4392</v>
      </c>
      <c r="B11" s="4295" t="s">
        <v>4261</v>
      </c>
      <c r="C11" s="4295" t="s">
        <v>4274</v>
      </c>
      <c r="D11" s="4295">
        <v>128</v>
      </c>
      <c r="E11" s="4295">
        <v>15078</v>
      </c>
      <c r="F11" s="4295">
        <v>78553</v>
      </c>
      <c r="G11" s="4295">
        <v>118442.66</v>
      </c>
      <c r="H11" s="4295">
        <v>439</v>
      </c>
      <c r="I11" s="4295">
        <v>53892</v>
      </c>
      <c r="J11" s="4295">
        <v>311</v>
      </c>
      <c r="K11" s="4295">
        <v>38814</v>
      </c>
      <c r="L11" s="4295"/>
    </row>
    <row r="12" spans="1:12">
      <c r="A12" s="4293" t="s">
        <v>4350</v>
      </c>
      <c r="B12" s="4293" t="s">
        <v>4261</v>
      </c>
      <c r="C12" s="4293" t="s">
        <v>4277</v>
      </c>
      <c r="D12" s="4293">
        <v>124</v>
      </c>
      <c r="E12" s="4293">
        <v>17936</v>
      </c>
      <c r="F12" s="4293">
        <v>44692</v>
      </c>
      <c r="G12" s="4293">
        <v>80159.520000000004</v>
      </c>
      <c r="H12" s="4293" t="s">
        <v>627</v>
      </c>
      <c r="I12" s="4293" t="s">
        <v>627</v>
      </c>
      <c r="J12" s="4293">
        <v>48</v>
      </c>
      <c r="K12" s="4293">
        <v>7315</v>
      </c>
    </row>
    <row r="13" spans="1:12">
      <c r="A13" s="4293" t="s">
        <v>4349</v>
      </c>
      <c r="B13" s="4293" t="s">
        <v>4261</v>
      </c>
      <c r="C13" s="4293" t="s">
        <v>4348</v>
      </c>
      <c r="D13" s="4293">
        <v>122</v>
      </c>
      <c r="E13" s="4293">
        <v>14238</v>
      </c>
      <c r="F13" s="4293">
        <v>45604</v>
      </c>
      <c r="G13" s="4293">
        <v>64932.63</v>
      </c>
      <c r="H13" s="4293">
        <v>124</v>
      </c>
      <c r="I13" s="4293">
        <v>22845</v>
      </c>
      <c r="J13" s="4293">
        <v>566</v>
      </c>
      <c r="K13" s="4293">
        <v>77660</v>
      </c>
    </row>
    <row r="14" spans="1:12">
      <c r="A14" s="4293" t="s">
        <v>4347</v>
      </c>
      <c r="B14" s="4293" t="s">
        <v>4261</v>
      </c>
      <c r="C14" s="4293" t="s">
        <v>4321</v>
      </c>
      <c r="D14" s="4293">
        <v>119</v>
      </c>
      <c r="E14" s="4293">
        <v>13989</v>
      </c>
      <c r="F14" s="4293">
        <v>59190</v>
      </c>
      <c r="G14" s="4293">
        <v>82802.45</v>
      </c>
      <c r="H14" s="4293" t="s">
        <v>627</v>
      </c>
      <c r="I14" s="4293" t="s">
        <v>627</v>
      </c>
      <c r="J14" s="4293">
        <v>429</v>
      </c>
      <c r="K14" s="4293">
        <v>55200</v>
      </c>
    </row>
    <row r="15" spans="1:12">
      <c r="A15" s="4293" t="s">
        <v>4346</v>
      </c>
      <c r="B15" s="4293" t="s">
        <v>4261</v>
      </c>
      <c r="C15" s="4293" t="s">
        <v>4260</v>
      </c>
      <c r="D15" s="4293">
        <v>112</v>
      </c>
      <c r="E15" s="4293">
        <v>12643</v>
      </c>
      <c r="F15" s="4293">
        <v>49707</v>
      </c>
      <c r="G15" s="4293">
        <v>62844.45</v>
      </c>
      <c r="H15" s="4293" t="s">
        <v>627</v>
      </c>
      <c r="I15" s="4293" t="s">
        <v>627</v>
      </c>
      <c r="J15" s="4293">
        <v>360</v>
      </c>
      <c r="K15" s="4293">
        <v>46857</v>
      </c>
    </row>
    <row r="16" spans="1:12">
      <c r="A16" s="4293" t="s">
        <v>4345</v>
      </c>
      <c r="B16" s="4293" t="s">
        <v>4261</v>
      </c>
      <c r="C16" s="4293" t="s">
        <v>4310</v>
      </c>
      <c r="D16" s="4293">
        <v>108</v>
      </c>
      <c r="E16" s="4293">
        <v>17370</v>
      </c>
      <c r="F16" s="4293">
        <v>87553</v>
      </c>
      <c r="G16" s="4293">
        <v>152080.60999999999</v>
      </c>
      <c r="H16" s="4293" t="s">
        <v>627</v>
      </c>
      <c r="I16" s="4293" t="s">
        <v>627</v>
      </c>
      <c r="J16" s="4293">
        <v>99</v>
      </c>
      <c r="K16" s="4293">
        <v>17085</v>
      </c>
    </row>
    <row r="17" spans="1:11">
      <c r="A17" s="4293" t="s">
        <v>4344</v>
      </c>
      <c r="B17" s="4293" t="s">
        <v>4261</v>
      </c>
      <c r="C17" s="4293" t="s">
        <v>4321</v>
      </c>
      <c r="D17" s="4293">
        <v>90</v>
      </c>
      <c r="E17" s="4293">
        <v>10209</v>
      </c>
      <c r="F17" s="4293">
        <v>67833</v>
      </c>
      <c r="G17" s="4293">
        <v>69249.509999999995</v>
      </c>
      <c r="H17" s="4293" t="s">
        <v>627</v>
      </c>
      <c r="I17" s="4293" t="s">
        <v>627</v>
      </c>
      <c r="J17" s="4293">
        <v>89</v>
      </c>
      <c r="K17" s="4293">
        <v>10444</v>
      </c>
    </row>
    <row r="18" spans="1:11">
      <c r="A18" s="4293" t="s">
        <v>4343</v>
      </c>
      <c r="B18" s="4293" t="s">
        <v>4261</v>
      </c>
      <c r="C18" s="4293" t="s">
        <v>4268</v>
      </c>
      <c r="D18" s="4293">
        <v>88</v>
      </c>
      <c r="E18" s="4293">
        <v>15438</v>
      </c>
      <c r="F18" s="4293">
        <v>88856</v>
      </c>
      <c r="G18" s="4293">
        <v>137177.22</v>
      </c>
      <c r="H18" s="4293" t="s">
        <v>627</v>
      </c>
      <c r="I18" s="4293" t="s">
        <v>627</v>
      </c>
      <c r="J18" s="4293">
        <v>92</v>
      </c>
      <c r="K18" s="4293">
        <v>18595</v>
      </c>
    </row>
    <row r="19" spans="1:11">
      <c r="A19" s="4293" t="s">
        <v>4342</v>
      </c>
      <c r="B19" s="4293" t="s">
        <v>4261</v>
      </c>
      <c r="C19" s="4293" t="s">
        <v>4339</v>
      </c>
      <c r="D19" s="4293">
        <v>81</v>
      </c>
      <c r="E19" s="4293">
        <v>10252</v>
      </c>
      <c r="F19" s="4293">
        <v>77171</v>
      </c>
      <c r="G19" s="4293">
        <v>79115.45</v>
      </c>
      <c r="H19" s="4293" t="s">
        <v>627</v>
      </c>
      <c r="I19" s="4293" t="s">
        <v>627</v>
      </c>
      <c r="J19" s="4293">
        <v>8</v>
      </c>
      <c r="K19" s="4293">
        <v>901</v>
      </c>
    </row>
    <row r="20" spans="1:11">
      <c r="A20" s="4293" t="s">
        <v>4341</v>
      </c>
      <c r="B20" s="4293" t="s">
        <v>4261</v>
      </c>
      <c r="C20" s="4293" t="s">
        <v>4274</v>
      </c>
      <c r="D20" s="4293">
        <v>73</v>
      </c>
      <c r="E20" s="4293">
        <v>15441</v>
      </c>
      <c r="F20" s="4293">
        <v>81398</v>
      </c>
      <c r="G20" s="4293">
        <v>125686.06</v>
      </c>
      <c r="H20" s="4293" t="s">
        <v>627</v>
      </c>
      <c r="I20" s="4293" t="s">
        <v>627</v>
      </c>
      <c r="J20" s="4293">
        <v>278</v>
      </c>
      <c r="K20" s="4293">
        <v>61086</v>
      </c>
    </row>
    <row r="21" spans="1:11">
      <c r="A21" s="4293" t="s">
        <v>4340</v>
      </c>
      <c r="B21" s="4293" t="s">
        <v>4261</v>
      </c>
      <c r="C21" s="4293" t="s">
        <v>4339</v>
      </c>
      <c r="D21" s="4293">
        <v>68</v>
      </c>
      <c r="E21" s="4293">
        <v>7718</v>
      </c>
      <c r="F21" s="4293">
        <v>79166</v>
      </c>
      <c r="G21" s="4293">
        <v>61103.44</v>
      </c>
      <c r="H21" s="4293" t="s">
        <v>627</v>
      </c>
      <c r="I21" s="4293" t="s">
        <v>627</v>
      </c>
      <c r="J21" s="4293">
        <v>10</v>
      </c>
      <c r="K21" s="4293">
        <v>1170</v>
      </c>
    </row>
    <row r="22" spans="1:11">
      <c r="A22" s="4293" t="s">
        <v>4338</v>
      </c>
      <c r="B22" s="4293" t="s">
        <v>4261</v>
      </c>
      <c r="C22" s="4293" t="s">
        <v>4263</v>
      </c>
      <c r="D22" s="4293">
        <v>66</v>
      </c>
      <c r="E22" s="4293">
        <v>8270</v>
      </c>
      <c r="F22" s="4293">
        <v>60255</v>
      </c>
      <c r="G22" s="4293">
        <v>49829.57</v>
      </c>
      <c r="H22" s="4293" t="s">
        <v>627</v>
      </c>
      <c r="I22" s="4293" t="s">
        <v>627</v>
      </c>
      <c r="J22" s="4293">
        <v>505</v>
      </c>
      <c r="K22" s="4293">
        <v>68688</v>
      </c>
    </row>
    <row r="23" spans="1:11">
      <c r="A23" s="4293" t="s">
        <v>4337</v>
      </c>
      <c r="B23" s="4293" t="s">
        <v>4261</v>
      </c>
      <c r="C23" s="4293" t="s">
        <v>4321</v>
      </c>
      <c r="D23" s="4293">
        <v>42</v>
      </c>
      <c r="E23" s="4293">
        <v>5643</v>
      </c>
      <c r="F23" s="4293">
        <v>65595</v>
      </c>
      <c r="G23" s="4293">
        <v>37014.120000000003</v>
      </c>
      <c r="H23" s="4293" t="s">
        <v>627</v>
      </c>
      <c r="I23" s="4293" t="s">
        <v>627</v>
      </c>
      <c r="J23" s="4293">
        <v>974</v>
      </c>
      <c r="K23" s="4293">
        <v>148933</v>
      </c>
    </row>
    <row r="24" spans="1:11">
      <c r="A24" s="4293" t="s">
        <v>4336</v>
      </c>
      <c r="B24" s="4293" t="s">
        <v>4261</v>
      </c>
      <c r="C24" s="4293" t="s">
        <v>4335</v>
      </c>
      <c r="D24" s="4293">
        <v>40</v>
      </c>
      <c r="E24" s="4293">
        <v>7252</v>
      </c>
      <c r="F24" s="4293">
        <v>45182</v>
      </c>
      <c r="G24" s="4293">
        <v>32765.759999999998</v>
      </c>
      <c r="H24" s="4293" t="s">
        <v>627</v>
      </c>
      <c r="I24" s="4293" t="s">
        <v>627</v>
      </c>
      <c r="J24" s="4293">
        <v>70</v>
      </c>
      <c r="K24" s="4293">
        <v>32630</v>
      </c>
    </row>
    <row r="25" spans="1:11">
      <c r="A25" s="4293" t="s">
        <v>4334</v>
      </c>
      <c r="B25" s="4293" t="s">
        <v>4261</v>
      </c>
      <c r="C25" s="4293" t="s">
        <v>4305</v>
      </c>
      <c r="D25" s="4293">
        <v>37</v>
      </c>
      <c r="E25" s="4293">
        <v>8870</v>
      </c>
      <c r="F25" s="4293">
        <v>28618</v>
      </c>
      <c r="G25" s="4293">
        <v>25382.46</v>
      </c>
      <c r="H25" s="4293" t="s">
        <v>627</v>
      </c>
      <c r="I25" s="4293" t="s">
        <v>627</v>
      </c>
      <c r="J25" s="4293">
        <v>53</v>
      </c>
      <c r="K25" s="4293">
        <v>16499</v>
      </c>
    </row>
    <row r="26" spans="1:11">
      <c r="A26" s="4293" t="s">
        <v>4333</v>
      </c>
      <c r="B26" s="4293" t="s">
        <v>4261</v>
      </c>
      <c r="C26" s="4293" t="s">
        <v>4310</v>
      </c>
      <c r="D26" s="4293">
        <v>29</v>
      </c>
      <c r="E26" s="4293">
        <v>3762</v>
      </c>
      <c r="F26" s="4293">
        <v>73839</v>
      </c>
      <c r="G26" s="4293">
        <v>27780.17</v>
      </c>
      <c r="H26" s="4293" t="s">
        <v>627</v>
      </c>
      <c r="I26" s="4293" t="s">
        <v>627</v>
      </c>
      <c r="J26" s="4293">
        <v>2</v>
      </c>
      <c r="K26" s="4293">
        <v>268</v>
      </c>
    </row>
    <row r="27" spans="1:11">
      <c r="A27" s="4293" t="s">
        <v>4332</v>
      </c>
      <c r="B27" s="4293" t="s">
        <v>4261</v>
      </c>
      <c r="C27" s="4293" t="s">
        <v>4270</v>
      </c>
      <c r="D27" s="4293">
        <v>28</v>
      </c>
      <c r="E27" s="4293">
        <v>3689</v>
      </c>
      <c r="F27" s="4293">
        <v>93868</v>
      </c>
      <c r="G27" s="4293">
        <v>34627.279999999999</v>
      </c>
      <c r="H27" s="4293" t="s">
        <v>627</v>
      </c>
      <c r="I27" s="4293" t="s">
        <v>627</v>
      </c>
      <c r="J27" s="4293">
        <v>50</v>
      </c>
      <c r="K27" s="4293">
        <v>10049</v>
      </c>
    </row>
    <row r="28" spans="1:11">
      <c r="A28" s="4293" t="s">
        <v>4331</v>
      </c>
      <c r="B28" s="4293" t="s">
        <v>4261</v>
      </c>
      <c r="C28" s="4293" t="s">
        <v>4321</v>
      </c>
      <c r="D28" s="4293">
        <v>28</v>
      </c>
      <c r="E28" s="4293">
        <v>3983</v>
      </c>
      <c r="F28" s="4293">
        <v>66306</v>
      </c>
      <c r="G28" s="4293">
        <v>26410.35</v>
      </c>
      <c r="H28" s="4293" t="s">
        <v>627</v>
      </c>
      <c r="I28" s="4293" t="s">
        <v>627</v>
      </c>
      <c r="J28" s="4293">
        <v>386</v>
      </c>
      <c r="K28" s="4293">
        <v>58548</v>
      </c>
    </row>
    <row r="29" spans="1:11">
      <c r="A29" s="4293" t="s">
        <v>4330</v>
      </c>
      <c r="B29" s="4293" t="s">
        <v>4261</v>
      </c>
      <c r="C29" s="4293" t="s">
        <v>4329</v>
      </c>
      <c r="D29" s="4293">
        <v>24</v>
      </c>
      <c r="E29" s="4293">
        <v>4738</v>
      </c>
      <c r="F29" s="4293">
        <v>75066</v>
      </c>
      <c r="G29" s="4293">
        <v>35566.49</v>
      </c>
      <c r="H29" s="4293" t="s">
        <v>627</v>
      </c>
      <c r="I29" s="4293" t="s">
        <v>627</v>
      </c>
      <c r="J29" s="4293">
        <v>20</v>
      </c>
      <c r="K29" s="4293">
        <v>3992</v>
      </c>
    </row>
    <row r="30" spans="1:11">
      <c r="A30" s="4293" t="s">
        <v>4328</v>
      </c>
      <c r="B30" s="4293" t="s">
        <v>4261</v>
      </c>
      <c r="C30" s="4293" t="s">
        <v>4283</v>
      </c>
      <c r="D30" s="4293">
        <v>21</v>
      </c>
      <c r="E30" s="4293">
        <v>4935</v>
      </c>
      <c r="F30" s="4293">
        <v>107013</v>
      </c>
      <c r="G30" s="4293">
        <v>52814.78</v>
      </c>
      <c r="H30" s="4293">
        <v>6</v>
      </c>
      <c r="I30" s="4293">
        <v>2098</v>
      </c>
      <c r="J30" s="4293">
        <v>118</v>
      </c>
      <c r="K30" s="4293">
        <v>30892</v>
      </c>
    </row>
    <row r="31" spans="1:11">
      <c r="A31" s="4293" t="s">
        <v>4327</v>
      </c>
      <c r="B31" s="4293" t="s">
        <v>4261</v>
      </c>
      <c r="C31" s="4293" t="s">
        <v>4301</v>
      </c>
      <c r="D31" s="4293">
        <v>17</v>
      </c>
      <c r="E31" s="4293">
        <v>3333</v>
      </c>
      <c r="F31" s="4293">
        <v>96281</v>
      </c>
      <c r="G31" s="4293">
        <v>32091.25</v>
      </c>
      <c r="H31" s="4293" t="s">
        <v>627</v>
      </c>
      <c r="I31" s="4293" t="s">
        <v>627</v>
      </c>
      <c r="J31" s="4293">
        <v>55</v>
      </c>
      <c r="K31" s="4293">
        <v>10997</v>
      </c>
    </row>
    <row r="32" spans="1:11">
      <c r="A32" s="4293" t="s">
        <v>4209</v>
      </c>
      <c r="B32" s="4293" t="s">
        <v>4261</v>
      </c>
      <c r="C32" s="4293" t="s">
        <v>4283</v>
      </c>
      <c r="D32" s="4293">
        <v>15</v>
      </c>
      <c r="E32" s="4293">
        <v>4811</v>
      </c>
      <c r="F32" s="4293">
        <v>47538</v>
      </c>
      <c r="G32" s="4293">
        <v>22871.75</v>
      </c>
      <c r="H32" s="4293" t="s">
        <v>627</v>
      </c>
      <c r="I32" s="4293" t="s">
        <v>627</v>
      </c>
      <c r="J32" s="4293">
        <v>2</v>
      </c>
      <c r="K32" s="4293">
        <v>343</v>
      </c>
    </row>
    <row r="33" spans="1:11">
      <c r="A33" s="4293" t="s">
        <v>4326</v>
      </c>
      <c r="B33" s="4293" t="s">
        <v>4261</v>
      </c>
      <c r="C33" s="4293" t="s">
        <v>4283</v>
      </c>
      <c r="D33" s="4293">
        <v>13</v>
      </c>
      <c r="E33" s="4293">
        <v>1811</v>
      </c>
      <c r="F33" s="4293">
        <v>84006</v>
      </c>
      <c r="G33" s="4293">
        <v>15210.24</v>
      </c>
      <c r="H33" s="4293" t="s">
        <v>627</v>
      </c>
      <c r="I33" s="4293" t="s">
        <v>627</v>
      </c>
      <c r="J33" s="4293">
        <v>28</v>
      </c>
      <c r="K33" s="4293">
        <v>4165</v>
      </c>
    </row>
    <row r="34" spans="1:11">
      <c r="A34" s="4293" t="s">
        <v>4325</v>
      </c>
      <c r="B34" s="4293" t="s">
        <v>4261</v>
      </c>
      <c r="C34" s="4293" t="s">
        <v>4270</v>
      </c>
      <c r="D34" s="4293">
        <v>11</v>
      </c>
      <c r="E34" s="4293">
        <v>2855</v>
      </c>
      <c r="F34" s="4293">
        <v>112101</v>
      </c>
      <c r="G34" s="4293">
        <v>32006.26</v>
      </c>
      <c r="H34" s="4293" t="s">
        <v>627</v>
      </c>
      <c r="I34" s="4293" t="s">
        <v>627</v>
      </c>
      <c r="J34" s="4293" t="s">
        <v>627</v>
      </c>
      <c r="K34" s="4293" t="s">
        <v>627</v>
      </c>
    </row>
    <row r="35" spans="1:11">
      <c r="A35" s="4293" t="s">
        <v>4324</v>
      </c>
      <c r="B35" s="4293" t="s">
        <v>4261</v>
      </c>
      <c r="C35" s="4293" t="s">
        <v>4321</v>
      </c>
      <c r="D35" s="4293">
        <v>10</v>
      </c>
      <c r="E35" s="4293">
        <v>1283</v>
      </c>
      <c r="F35" s="4293">
        <v>79671</v>
      </c>
      <c r="G35" s="4293">
        <v>10224.120000000001</v>
      </c>
      <c r="H35" s="4293" t="s">
        <v>627</v>
      </c>
      <c r="I35" s="4293" t="s">
        <v>627</v>
      </c>
      <c r="J35" s="4293">
        <v>28</v>
      </c>
      <c r="K35" s="4293">
        <v>3577</v>
      </c>
    </row>
    <row r="36" spans="1:11">
      <c r="A36" s="4293" t="s">
        <v>4323</v>
      </c>
      <c r="B36" s="4293" t="s">
        <v>4261</v>
      </c>
      <c r="C36" s="4293" t="s">
        <v>4279</v>
      </c>
      <c r="D36" s="4293">
        <v>10</v>
      </c>
      <c r="E36" s="4293">
        <v>4854</v>
      </c>
      <c r="F36" s="4293">
        <v>97558</v>
      </c>
      <c r="G36" s="4293">
        <v>47355.98</v>
      </c>
      <c r="H36" s="4293" t="s">
        <v>627</v>
      </c>
      <c r="I36" s="4293" t="s">
        <v>627</v>
      </c>
      <c r="J36" s="4293" t="s">
        <v>627</v>
      </c>
      <c r="K36" s="4293" t="s">
        <v>627</v>
      </c>
    </row>
    <row r="37" spans="1:11">
      <c r="A37" s="4293" t="s">
        <v>4322</v>
      </c>
      <c r="B37" s="4293" t="s">
        <v>4261</v>
      </c>
      <c r="C37" s="4293" t="s">
        <v>4321</v>
      </c>
      <c r="D37" s="4293">
        <v>10</v>
      </c>
      <c r="E37" s="4293">
        <v>1462</v>
      </c>
      <c r="F37" s="4293">
        <v>67120</v>
      </c>
      <c r="G37" s="4293">
        <v>9813.98</v>
      </c>
      <c r="H37" s="4293" t="s">
        <v>627</v>
      </c>
      <c r="I37" s="4293" t="s">
        <v>627</v>
      </c>
      <c r="J37" s="4293">
        <v>20</v>
      </c>
      <c r="K37" s="4293">
        <v>3034</v>
      </c>
    </row>
    <row r="38" spans="1:11">
      <c r="A38" s="4293" t="s">
        <v>4320</v>
      </c>
      <c r="B38" s="4293" t="s">
        <v>4261</v>
      </c>
      <c r="C38" s="4293" t="s">
        <v>4263</v>
      </c>
      <c r="D38" s="4293">
        <v>10</v>
      </c>
      <c r="E38" s="4293">
        <v>2914</v>
      </c>
      <c r="F38" s="4293">
        <v>61163</v>
      </c>
      <c r="G38" s="4293">
        <v>17821.43</v>
      </c>
      <c r="H38" s="4293" t="s">
        <v>627</v>
      </c>
      <c r="I38" s="4293" t="s">
        <v>627</v>
      </c>
      <c r="J38" s="4293" t="s">
        <v>627</v>
      </c>
      <c r="K38" s="4293" t="s">
        <v>627</v>
      </c>
    </row>
    <row r="39" spans="1:11">
      <c r="A39" s="4293" t="s">
        <v>4319</v>
      </c>
      <c r="B39" s="4293" t="s">
        <v>4261</v>
      </c>
      <c r="C39" s="4293" t="s">
        <v>4287</v>
      </c>
      <c r="D39" s="4293">
        <v>10</v>
      </c>
      <c r="E39" s="4293">
        <v>3591</v>
      </c>
      <c r="F39" s="4293">
        <v>148966</v>
      </c>
      <c r="G39" s="4293">
        <v>53487.3</v>
      </c>
      <c r="H39" s="4293" t="s">
        <v>627</v>
      </c>
      <c r="I39" s="4293" t="s">
        <v>627</v>
      </c>
      <c r="J39" s="4293" t="s">
        <v>627</v>
      </c>
      <c r="K39" s="4293" t="s">
        <v>627</v>
      </c>
    </row>
    <row r="40" spans="1:11">
      <c r="A40" s="4293" t="s">
        <v>4318</v>
      </c>
      <c r="B40" s="4293" t="s">
        <v>4261</v>
      </c>
      <c r="C40" s="4293" t="s">
        <v>4268</v>
      </c>
      <c r="D40" s="4293">
        <v>9</v>
      </c>
      <c r="E40" s="4293">
        <v>792</v>
      </c>
      <c r="F40" s="4293">
        <v>43152</v>
      </c>
      <c r="G40" s="4293">
        <v>3418.92</v>
      </c>
      <c r="H40" s="4293" t="s">
        <v>627</v>
      </c>
      <c r="I40" s="4293" t="s">
        <v>627</v>
      </c>
      <c r="J40" s="4293">
        <v>1</v>
      </c>
      <c r="K40" s="4293">
        <v>90</v>
      </c>
    </row>
    <row r="41" spans="1:11">
      <c r="A41" s="4293" t="s">
        <v>4317</v>
      </c>
      <c r="B41" s="4293" t="s">
        <v>4261</v>
      </c>
      <c r="C41" s="4293" t="s">
        <v>4291</v>
      </c>
      <c r="D41" s="4293">
        <v>9</v>
      </c>
      <c r="E41" s="4293">
        <v>1527</v>
      </c>
      <c r="F41" s="4293">
        <v>101080</v>
      </c>
      <c r="G41" s="4293">
        <v>15432.84</v>
      </c>
      <c r="H41" s="4293" t="s">
        <v>627</v>
      </c>
      <c r="I41" s="4293" t="s">
        <v>627</v>
      </c>
      <c r="J41" s="4293">
        <v>10</v>
      </c>
      <c r="K41" s="4293">
        <v>1540</v>
      </c>
    </row>
    <row r="42" spans="1:11">
      <c r="A42" s="4293" t="s">
        <v>4316</v>
      </c>
      <c r="B42" s="4293" t="s">
        <v>4261</v>
      </c>
      <c r="C42" s="4293" t="s">
        <v>4315</v>
      </c>
      <c r="D42" s="4293">
        <v>8</v>
      </c>
      <c r="E42" s="4293">
        <v>705</v>
      </c>
      <c r="F42" s="4293">
        <v>7124</v>
      </c>
      <c r="G42" s="4293">
        <v>502.38</v>
      </c>
      <c r="H42" s="4293" t="s">
        <v>627</v>
      </c>
      <c r="I42" s="4293" t="s">
        <v>627</v>
      </c>
      <c r="J42" s="4293" t="s">
        <v>627</v>
      </c>
      <c r="K42" s="4293" t="s">
        <v>627</v>
      </c>
    </row>
    <row r="43" spans="1:11">
      <c r="A43" s="4293" t="s">
        <v>4314</v>
      </c>
      <c r="B43" s="4293" t="s">
        <v>4261</v>
      </c>
      <c r="C43" s="4293" t="s">
        <v>4268</v>
      </c>
      <c r="D43" s="4293">
        <v>5</v>
      </c>
      <c r="E43" s="4293">
        <v>1167</v>
      </c>
      <c r="F43" s="4293">
        <v>104389</v>
      </c>
      <c r="G43" s="4293">
        <v>12186.75</v>
      </c>
      <c r="H43" s="4293" t="s">
        <v>627</v>
      </c>
      <c r="I43" s="4293" t="s">
        <v>627</v>
      </c>
      <c r="J43" s="4293">
        <v>13</v>
      </c>
      <c r="K43" s="4293">
        <v>3025</v>
      </c>
    </row>
    <row r="44" spans="1:11">
      <c r="A44" s="4293" t="s">
        <v>4313</v>
      </c>
      <c r="B44" s="4293" t="s">
        <v>4261</v>
      </c>
      <c r="C44" s="4293" t="s">
        <v>4260</v>
      </c>
      <c r="D44" s="4293">
        <v>5</v>
      </c>
      <c r="E44" s="4293">
        <v>1455</v>
      </c>
      <c r="F44" s="4293">
        <v>57573</v>
      </c>
      <c r="G44" s="4293">
        <v>8375.83</v>
      </c>
      <c r="H44" s="4293" t="s">
        <v>627</v>
      </c>
      <c r="I44" s="4293" t="s">
        <v>627</v>
      </c>
      <c r="J44" s="4293">
        <v>56</v>
      </c>
      <c r="K44" s="4293">
        <v>17500</v>
      </c>
    </row>
    <row r="45" spans="1:11">
      <c r="A45" s="4293" t="s">
        <v>4312</v>
      </c>
      <c r="B45" s="4293" t="s">
        <v>4261</v>
      </c>
      <c r="C45" s="4293" t="s">
        <v>4263</v>
      </c>
      <c r="D45" s="4293">
        <v>5</v>
      </c>
      <c r="E45" s="4293">
        <v>705</v>
      </c>
      <c r="F45" s="4293">
        <v>77413</v>
      </c>
      <c r="G45" s="4293">
        <v>5460.44</v>
      </c>
      <c r="H45" s="4293" t="s">
        <v>627</v>
      </c>
      <c r="I45" s="4293" t="s">
        <v>627</v>
      </c>
      <c r="J45" s="4293">
        <v>7</v>
      </c>
      <c r="K45" s="4293">
        <v>919</v>
      </c>
    </row>
    <row r="46" spans="1:11">
      <c r="A46" s="4293" t="s">
        <v>4311</v>
      </c>
      <c r="B46" s="4293" t="s">
        <v>4261</v>
      </c>
      <c r="C46" s="4293" t="s">
        <v>4310</v>
      </c>
      <c r="D46" s="4293">
        <v>5</v>
      </c>
      <c r="E46" s="4293">
        <v>859</v>
      </c>
      <c r="F46" s="4293">
        <v>89111</v>
      </c>
      <c r="G46" s="4293">
        <v>7653.52</v>
      </c>
      <c r="H46" s="4293" t="s">
        <v>627</v>
      </c>
      <c r="I46" s="4293" t="s">
        <v>627</v>
      </c>
      <c r="J46" s="4293">
        <v>3</v>
      </c>
      <c r="K46" s="4293">
        <v>389</v>
      </c>
    </row>
    <row r="47" spans="1:11">
      <c r="A47" s="4293" t="s">
        <v>4309</v>
      </c>
      <c r="B47" s="4293" t="s">
        <v>4261</v>
      </c>
      <c r="C47" s="4293" t="s">
        <v>4260</v>
      </c>
      <c r="D47" s="4293">
        <v>4</v>
      </c>
      <c r="E47" s="4293">
        <v>401</v>
      </c>
      <c r="F47" s="4293">
        <v>56213</v>
      </c>
      <c r="G47" s="4293">
        <v>2253.6799999999998</v>
      </c>
      <c r="H47" s="4293" t="s">
        <v>627</v>
      </c>
      <c r="I47" s="4293" t="s">
        <v>627</v>
      </c>
      <c r="J47" s="4293">
        <v>11</v>
      </c>
      <c r="K47" s="4293">
        <v>1060</v>
      </c>
    </row>
    <row r="48" spans="1:11">
      <c r="A48" s="4293" t="s">
        <v>4308</v>
      </c>
      <c r="B48" s="4293" t="s">
        <v>4261</v>
      </c>
      <c r="C48" s="4293" t="s">
        <v>4305</v>
      </c>
      <c r="D48" s="4293">
        <v>4</v>
      </c>
      <c r="E48" s="4293">
        <v>344</v>
      </c>
      <c r="F48" s="4293">
        <v>36696</v>
      </c>
      <c r="G48" s="4293">
        <v>1263.6199999999999</v>
      </c>
      <c r="H48" s="4293" t="s">
        <v>627</v>
      </c>
      <c r="I48" s="4293" t="s">
        <v>627</v>
      </c>
      <c r="J48" s="4293">
        <v>11</v>
      </c>
      <c r="K48" s="4293">
        <v>1092</v>
      </c>
    </row>
    <row r="49" spans="1:11">
      <c r="A49" s="4293" t="s">
        <v>4307</v>
      </c>
      <c r="B49" s="4293" t="s">
        <v>4261</v>
      </c>
      <c r="C49" s="4293" t="s">
        <v>4301</v>
      </c>
      <c r="D49" s="4293">
        <v>3</v>
      </c>
      <c r="E49" s="4293">
        <v>497</v>
      </c>
      <c r="F49" s="4293">
        <v>108040</v>
      </c>
      <c r="G49" s="4293">
        <v>5369.7</v>
      </c>
      <c r="H49" s="4293" t="s">
        <v>627</v>
      </c>
      <c r="I49" s="4293" t="s">
        <v>627</v>
      </c>
      <c r="J49" s="4293">
        <v>7</v>
      </c>
      <c r="K49" s="4293">
        <v>1125</v>
      </c>
    </row>
    <row r="50" spans="1:11">
      <c r="A50" s="4293" t="s">
        <v>4306</v>
      </c>
      <c r="B50" s="4293" t="s">
        <v>4261</v>
      </c>
      <c r="C50" s="4293" t="s">
        <v>4305</v>
      </c>
      <c r="D50" s="4293">
        <v>3</v>
      </c>
      <c r="E50" s="4293">
        <v>733</v>
      </c>
      <c r="F50" s="4293">
        <v>26861</v>
      </c>
      <c r="G50" s="4293">
        <v>1969.45</v>
      </c>
      <c r="H50" s="4293" t="s">
        <v>627</v>
      </c>
      <c r="I50" s="4293" t="s">
        <v>627</v>
      </c>
      <c r="J50" s="4293">
        <v>3</v>
      </c>
      <c r="K50" s="4293">
        <v>437</v>
      </c>
    </row>
    <row r="51" spans="1:11">
      <c r="A51" s="4293" t="s">
        <v>4304</v>
      </c>
      <c r="B51" s="4293" t="s">
        <v>4261</v>
      </c>
      <c r="C51" s="4293" t="s">
        <v>4270</v>
      </c>
      <c r="D51" s="4293">
        <v>3</v>
      </c>
      <c r="E51" s="4293">
        <v>1480</v>
      </c>
      <c r="F51" s="4293">
        <v>99706</v>
      </c>
      <c r="G51" s="4293">
        <v>14759.41</v>
      </c>
      <c r="H51" s="4293">
        <v>2</v>
      </c>
      <c r="I51" s="4293">
        <v>1795</v>
      </c>
      <c r="J51" s="4293">
        <v>5</v>
      </c>
      <c r="K51" s="4293">
        <v>1639</v>
      </c>
    </row>
    <row r="52" spans="1:11">
      <c r="A52" s="4293" t="s">
        <v>4303</v>
      </c>
      <c r="B52" s="4293" t="s">
        <v>4261</v>
      </c>
      <c r="C52" s="4293" t="s">
        <v>4272</v>
      </c>
      <c r="D52" s="4293">
        <v>3</v>
      </c>
      <c r="E52" s="4293">
        <v>528</v>
      </c>
      <c r="F52" s="4293">
        <v>54483</v>
      </c>
      <c r="G52" s="4293">
        <v>2877.2</v>
      </c>
      <c r="H52" s="4293" t="s">
        <v>627</v>
      </c>
      <c r="I52" s="4293" t="s">
        <v>627</v>
      </c>
      <c r="J52" s="4293" t="s">
        <v>627</v>
      </c>
      <c r="K52" s="4293" t="s">
        <v>627</v>
      </c>
    </row>
    <row r="53" spans="1:11">
      <c r="A53" s="4293" t="s">
        <v>4302</v>
      </c>
      <c r="B53" s="4293" t="s">
        <v>4261</v>
      </c>
      <c r="C53" s="4293" t="s">
        <v>4301</v>
      </c>
      <c r="D53" s="4293">
        <v>3</v>
      </c>
      <c r="E53" s="4293">
        <v>621</v>
      </c>
      <c r="F53" s="4293">
        <v>105450</v>
      </c>
      <c r="G53" s="4293">
        <v>6547.81</v>
      </c>
      <c r="H53" s="4293" t="s">
        <v>627</v>
      </c>
      <c r="I53" s="4293" t="s">
        <v>627</v>
      </c>
      <c r="J53" s="4293">
        <v>11</v>
      </c>
      <c r="K53" s="4293">
        <v>2232</v>
      </c>
    </row>
    <row r="54" spans="1:11">
      <c r="A54" s="4293" t="s">
        <v>4300</v>
      </c>
      <c r="B54" s="4293" t="s">
        <v>4261</v>
      </c>
      <c r="C54" s="4293" t="s">
        <v>4274</v>
      </c>
      <c r="D54" s="4293">
        <v>2</v>
      </c>
      <c r="E54" s="4293">
        <v>206</v>
      </c>
      <c r="F54" s="4293">
        <v>63625</v>
      </c>
      <c r="G54" s="4293">
        <v>1310.3599999999999</v>
      </c>
      <c r="H54" s="4293" t="s">
        <v>627</v>
      </c>
      <c r="I54" s="4293" t="s">
        <v>627</v>
      </c>
      <c r="J54" s="4293" t="s">
        <v>627</v>
      </c>
      <c r="K54" s="4293" t="s">
        <v>627</v>
      </c>
    </row>
    <row r="55" spans="1:11">
      <c r="A55" s="4293" t="s">
        <v>4299</v>
      </c>
      <c r="B55" s="4293" t="s">
        <v>4261</v>
      </c>
      <c r="C55" s="4293" t="s">
        <v>4287</v>
      </c>
      <c r="D55" s="4293">
        <v>2</v>
      </c>
      <c r="E55" s="4293">
        <v>270</v>
      </c>
      <c r="F55" s="4293">
        <v>82533</v>
      </c>
      <c r="G55" s="4293">
        <v>2227.2399999999998</v>
      </c>
      <c r="H55" s="4293" t="s">
        <v>627</v>
      </c>
      <c r="I55" s="4293" t="s">
        <v>627</v>
      </c>
      <c r="J55" s="4293" t="s">
        <v>627</v>
      </c>
      <c r="K55" s="4293" t="s">
        <v>627</v>
      </c>
    </row>
    <row r="56" spans="1:11">
      <c r="A56" s="4293" t="s">
        <v>4298</v>
      </c>
      <c r="B56" s="4293" t="s">
        <v>4261</v>
      </c>
      <c r="C56" s="4293" t="s">
        <v>4297</v>
      </c>
      <c r="D56" s="4293">
        <v>1</v>
      </c>
      <c r="E56" s="4293">
        <v>136</v>
      </c>
      <c r="F56" s="4293">
        <v>6343</v>
      </c>
      <c r="G56" s="4293">
        <v>86.56</v>
      </c>
      <c r="H56" s="4293" t="s">
        <v>627</v>
      </c>
      <c r="I56" s="4293" t="s">
        <v>627</v>
      </c>
      <c r="J56" s="4293" t="s">
        <v>627</v>
      </c>
      <c r="K56" s="4293" t="s">
        <v>627</v>
      </c>
    </row>
    <row r="57" spans="1:11">
      <c r="A57" s="4293" t="s">
        <v>4296</v>
      </c>
      <c r="B57" s="4293" t="s">
        <v>4261</v>
      </c>
      <c r="C57" s="4293" t="s">
        <v>4295</v>
      </c>
      <c r="D57" s="4293">
        <v>1</v>
      </c>
      <c r="E57" s="4293">
        <v>48</v>
      </c>
      <c r="F57" s="4293">
        <v>13737</v>
      </c>
      <c r="G57" s="4293">
        <v>66.23</v>
      </c>
      <c r="H57" s="4293" t="s">
        <v>627</v>
      </c>
      <c r="I57" s="4293" t="s">
        <v>627</v>
      </c>
      <c r="J57" s="4293" t="s">
        <v>627</v>
      </c>
      <c r="K57" s="4293" t="s">
        <v>627</v>
      </c>
    </row>
    <row r="58" spans="1:11">
      <c r="A58" s="4293" t="s">
        <v>4294</v>
      </c>
      <c r="B58" s="4293" t="s">
        <v>4261</v>
      </c>
      <c r="C58" s="4293" t="s">
        <v>4293</v>
      </c>
      <c r="D58" s="4293">
        <v>1</v>
      </c>
      <c r="E58" s="4293">
        <v>66</v>
      </c>
      <c r="F58" s="4293">
        <v>3017</v>
      </c>
      <c r="G58" s="4293">
        <v>19.78</v>
      </c>
      <c r="H58" s="4293" t="s">
        <v>627</v>
      </c>
      <c r="I58" s="4293" t="s">
        <v>627</v>
      </c>
      <c r="J58" s="4293" t="s">
        <v>627</v>
      </c>
      <c r="K58" s="4293" t="s">
        <v>627</v>
      </c>
    </row>
    <row r="59" spans="1:11">
      <c r="A59" s="4293" t="s">
        <v>4292</v>
      </c>
      <c r="B59" s="4293" t="s">
        <v>4261</v>
      </c>
      <c r="C59" s="4293" t="s">
        <v>4291</v>
      </c>
      <c r="D59" s="4293">
        <v>1</v>
      </c>
      <c r="E59" s="4293">
        <v>255</v>
      </c>
      <c r="F59" s="4293">
        <v>77569</v>
      </c>
      <c r="G59" s="4293">
        <v>1980.41</v>
      </c>
      <c r="H59" s="4293" t="s">
        <v>627</v>
      </c>
      <c r="I59" s="4293" t="s">
        <v>627</v>
      </c>
      <c r="J59" s="4293">
        <v>1</v>
      </c>
      <c r="K59" s="4293">
        <v>296</v>
      </c>
    </row>
    <row r="60" spans="1:11">
      <c r="A60" s="4293" t="s">
        <v>4290</v>
      </c>
      <c r="B60" s="4293" t="s">
        <v>4261</v>
      </c>
      <c r="C60" s="4293" t="s">
        <v>4268</v>
      </c>
      <c r="D60" s="4293">
        <v>1</v>
      </c>
      <c r="E60" s="4293">
        <v>70</v>
      </c>
      <c r="F60" s="4293">
        <v>3930</v>
      </c>
      <c r="G60" s="4293">
        <v>27.49</v>
      </c>
      <c r="H60" s="4293" t="s">
        <v>627</v>
      </c>
      <c r="I60" s="4293" t="s">
        <v>627</v>
      </c>
      <c r="J60" s="4293" t="s">
        <v>627</v>
      </c>
      <c r="K60" s="4293" t="s">
        <v>627</v>
      </c>
    </row>
    <row r="61" spans="1:11">
      <c r="A61" s="4293" t="s">
        <v>4289</v>
      </c>
      <c r="B61" s="4293" t="s">
        <v>4261</v>
      </c>
      <c r="C61" s="4293" t="s">
        <v>4274</v>
      </c>
      <c r="D61" s="4293">
        <v>1</v>
      </c>
      <c r="E61" s="4293">
        <v>89</v>
      </c>
      <c r="F61" s="4293">
        <v>68549</v>
      </c>
      <c r="G61" s="4293">
        <v>609.74</v>
      </c>
      <c r="H61" s="4293" t="s">
        <v>627</v>
      </c>
      <c r="I61" s="4293" t="s">
        <v>627</v>
      </c>
      <c r="J61" s="4293">
        <v>10</v>
      </c>
      <c r="K61" s="4293">
        <v>903</v>
      </c>
    </row>
    <row r="62" spans="1:11">
      <c r="A62" s="4293" t="s">
        <v>4288</v>
      </c>
      <c r="B62" s="4293" t="s">
        <v>4261</v>
      </c>
      <c r="C62" s="4293" t="s">
        <v>4287</v>
      </c>
      <c r="D62" s="4293">
        <v>1</v>
      </c>
      <c r="E62" s="4293">
        <v>287</v>
      </c>
      <c r="F62" s="4293">
        <v>115691</v>
      </c>
      <c r="G62" s="4293">
        <v>3316.05</v>
      </c>
      <c r="H62" s="4293" t="s">
        <v>627</v>
      </c>
      <c r="I62" s="4293" t="s">
        <v>627</v>
      </c>
      <c r="J62" s="4293">
        <v>1</v>
      </c>
      <c r="K62" s="4293">
        <v>282</v>
      </c>
    </row>
    <row r="63" spans="1:11">
      <c r="A63" s="4293" t="s">
        <v>4286</v>
      </c>
      <c r="B63" s="4293" t="s">
        <v>4261</v>
      </c>
      <c r="C63" s="4293" t="s">
        <v>4274</v>
      </c>
      <c r="D63" s="4293">
        <v>1</v>
      </c>
      <c r="E63" s="4293">
        <v>143</v>
      </c>
      <c r="F63" s="4293">
        <v>54544</v>
      </c>
      <c r="G63" s="4293">
        <v>779.65</v>
      </c>
      <c r="H63" s="4293" t="s">
        <v>627</v>
      </c>
      <c r="I63" s="4293" t="s">
        <v>627</v>
      </c>
      <c r="J63" s="4293" t="s">
        <v>627</v>
      </c>
      <c r="K63" s="4293" t="s">
        <v>627</v>
      </c>
    </row>
    <row r="64" spans="1:11">
      <c r="A64" s="4293" t="s">
        <v>4285</v>
      </c>
      <c r="B64" s="4293" t="s">
        <v>4261</v>
      </c>
      <c r="C64" s="4293" t="s">
        <v>4272</v>
      </c>
      <c r="D64" s="4293">
        <v>1</v>
      </c>
      <c r="E64" s="4293">
        <v>48</v>
      </c>
      <c r="F64" s="4293">
        <v>61000</v>
      </c>
      <c r="G64" s="4293">
        <v>293.52999999999997</v>
      </c>
      <c r="H64" s="4293" t="s">
        <v>627</v>
      </c>
      <c r="I64" s="4293" t="s">
        <v>627</v>
      </c>
      <c r="J64" s="4293" t="s">
        <v>627</v>
      </c>
      <c r="K64" s="4293" t="s">
        <v>627</v>
      </c>
    </row>
    <row r="65" spans="1:11">
      <c r="A65" s="4293" t="s">
        <v>4284</v>
      </c>
      <c r="B65" s="4293" t="s">
        <v>4261</v>
      </c>
      <c r="C65" s="4293" t="s">
        <v>4283</v>
      </c>
      <c r="D65" s="4293">
        <v>1</v>
      </c>
      <c r="E65" s="4293">
        <v>105</v>
      </c>
      <c r="F65" s="4293">
        <v>37821</v>
      </c>
      <c r="G65" s="4293">
        <v>395.61</v>
      </c>
      <c r="H65" s="4293" t="s">
        <v>627</v>
      </c>
      <c r="I65" s="4293" t="s">
        <v>627</v>
      </c>
      <c r="J65" s="4293" t="s">
        <v>627</v>
      </c>
      <c r="K65" s="4293" t="s">
        <v>627</v>
      </c>
    </row>
    <row r="66" spans="1:11">
      <c r="A66" s="4293" t="s">
        <v>4282</v>
      </c>
      <c r="B66" s="4293" t="s">
        <v>4261</v>
      </c>
      <c r="C66" s="4293" t="s">
        <v>4281</v>
      </c>
      <c r="D66" s="4293">
        <v>1</v>
      </c>
      <c r="E66" s="4293">
        <v>70</v>
      </c>
      <c r="F66" s="4293">
        <v>10438</v>
      </c>
      <c r="G66" s="4293">
        <v>73.099999999999994</v>
      </c>
      <c r="H66" s="4293" t="s">
        <v>627</v>
      </c>
      <c r="I66" s="4293" t="s">
        <v>627</v>
      </c>
      <c r="J66" s="4293" t="s">
        <v>627</v>
      </c>
      <c r="K66" s="4293" t="s">
        <v>627</v>
      </c>
    </row>
    <row r="67" spans="1:11">
      <c r="A67" s="4293" t="s">
        <v>4280</v>
      </c>
      <c r="B67" s="4293" t="s">
        <v>4261</v>
      </c>
      <c r="C67" s="4293" t="s">
        <v>4279</v>
      </c>
      <c r="D67" s="4293">
        <v>1</v>
      </c>
      <c r="E67" s="4293">
        <v>189</v>
      </c>
      <c r="F67" s="4293">
        <v>98608</v>
      </c>
      <c r="G67" s="4293">
        <v>1860.14</v>
      </c>
      <c r="H67" s="4293" t="s">
        <v>627</v>
      </c>
      <c r="I67" s="4293" t="s">
        <v>627</v>
      </c>
      <c r="J67" s="4293">
        <v>11</v>
      </c>
      <c r="K67" s="4293">
        <v>1601</v>
      </c>
    </row>
    <row r="68" spans="1:11">
      <c r="A68" s="4293" t="s">
        <v>4278</v>
      </c>
      <c r="B68" s="4293" t="s">
        <v>4261</v>
      </c>
      <c r="C68" s="4293" t="s">
        <v>4277</v>
      </c>
      <c r="D68" s="4293">
        <v>1</v>
      </c>
      <c r="E68" s="4293">
        <v>96</v>
      </c>
      <c r="F68" s="4293">
        <v>5416</v>
      </c>
      <c r="G68" s="4293">
        <v>52</v>
      </c>
      <c r="H68" s="4293" t="s">
        <v>627</v>
      </c>
      <c r="I68" s="4293" t="s">
        <v>627</v>
      </c>
      <c r="J68" s="4293" t="s">
        <v>627</v>
      </c>
      <c r="K68" s="4293" t="s">
        <v>627</v>
      </c>
    </row>
    <row r="69" spans="1:11">
      <c r="A69" s="4293" t="s">
        <v>4276</v>
      </c>
      <c r="B69" s="4293" t="s">
        <v>4261</v>
      </c>
      <c r="C69" s="4293" t="s">
        <v>4270</v>
      </c>
      <c r="D69" s="4293" t="s">
        <v>627</v>
      </c>
      <c r="E69" s="4293" t="s">
        <v>627</v>
      </c>
      <c r="F69" s="4293" t="s">
        <v>627</v>
      </c>
      <c r="G69" s="4293" t="s">
        <v>627</v>
      </c>
      <c r="H69" s="4293">
        <v>437</v>
      </c>
      <c r="I69" s="4293">
        <v>57646</v>
      </c>
      <c r="J69" s="4293">
        <v>437</v>
      </c>
      <c r="K69" s="4293">
        <v>57646</v>
      </c>
    </row>
    <row r="70" spans="1:11">
      <c r="A70" s="4293" t="s">
        <v>4275</v>
      </c>
      <c r="B70" s="4293" t="s">
        <v>4261</v>
      </c>
      <c r="C70" s="4293" t="s">
        <v>4274</v>
      </c>
      <c r="D70" s="4293" t="s">
        <v>627</v>
      </c>
      <c r="E70" s="4293" t="s">
        <v>627</v>
      </c>
      <c r="F70" s="4293" t="s">
        <v>627</v>
      </c>
      <c r="G70" s="4293" t="s">
        <v>627</v>
      </c>
      <c r="H70" s="4293" t="s">
        <v>627</v>
      </c>
      <c r="I70" s="4293" t="s">
        <v>627</v>
      </c>
      <c r="J70" s="4293">
        <v>4</v>
      </c>
      <c r="K70" s="4293">
        <v>477</v>
      </c>
    </row>
    <row r="71" spans="1:11">
      <c r="A71" s="4293" t="s">
        <v>4273</v>
      </c>
      <c r="B71" s="4293" t="s">
        <v>4261</v>
      </c>
      <c r="C71" s="4293" t="s">
        <v>4272</v>
      </c>
      <c r="D71" s="4293" t="s">
        <v>627</v>
      </c>
      <c r="E71" s="4293" t="s">
        <v>627</v>
      </c>
      <c r="F71" s="4293" t="s">
        <v>627</v>
      </c>
      <c r="G71" s="4293" t="s">
        <v>627</v>
      </c>
      <c r="H71" s="4293" t="s">
        <v>627</v>
      </c>
      <c r="I71" s="4293" t="s">
        <v>627</v>
      </c>
      <c r="J71" s="4293">
        <v>31</v>
      </c>
      <c r="K71" s="4293">
        <v>4804</v>
      </c>
    </row>
    <row r="72" spans="1:11">
      <c r="A72" s="4293" t="s">
        <v>4271</v>
      </c>
      <c r="B72" s="4293" t="s">
        <v>4261</v>
      </c>
      <c r="C72" s="4293" t="s">
        <v>4270</v>
      </c>
      <c r="D72" s="4293" t="s">
        <v>627</v>
      </c>
      <c r="E72" s="4293" t="s">
        <v>627</v>
      </c>
      <c r="F72" s="4293" t="s">
        <v>627</v>
      </c>
      <c r="G72" s="4293" t="s">
        <v>627</v>
      </c>
      <c r="H72" s="4293" t="s">
        <v>627</v>
      </c>
      <c r="I72" s="4293" t="s">
        <v>627</v>
      </c>
      <c r="J72" s="4293">
        <v>57</v>
      </c>
      <c r="K72" s="4293">
        <v>4899</v>
      </c>
    </row>
    <row r="73" spans="1:11">
      <c r="A73" s="4293" t="s">
        <v>4269</v>
      </c>
      <c r="B73" s="4293" t="s">
        <v>4261</v>
      </c>
      <c r="C73" s="4293" t="s">
        <v>4268</v>
      </c>
      <c r="D73" s="4293" t="s">
        <v>627</v>
      </c>
      <c r="E73" s="4293" t="s">
        <v>627</v>
      </c>
      <c r="F73" s="4293" t="s">
        <v>627</v>
      </c>
      <c r="G73" s="4293" t="s">
        <v>627</v>
      </c>
      <c r="H73" s="4293" t="s">
        <v>627</v>
      </c>
      <c r="I73" s="4293" t="s">
        <v>627</v>
      </c>
      <c r="J73" s="4293">
        <v>1</v>
      </c>
      <c r="K73" s="4293">
        <v>486</v>
      </c>
    </row>
    <row r="74" spans="1:11">
      <c r="A74" s="4293" t="s">
        <v>4267</v>
      </c>
      <c r="B74" s="4293" t="s">
        <v>4261</v>
      </c>
      <c r="C74" s="4293" t="s">
        <v>4263</v>
      </c>
      <c r="D74" s="4293" t="s">
        <v>627</v>
      </c>
      <c r="E74" s="4293" t="s">
        <v>627</v>
      </c>
      <c r="F74" s="4293" t="s">
        <v>627</v>
      </c>
      <c r="G74" s="4293" t="s">
        <v>627</v>
      </c>
      <c r="H74" s="4293" t="s">
        <v>627</v>
      </c>
      <c r="I74" s="4293" t="s">
        <v>627</v>
      </c>
      <c r="J74" s="4293">
        <v>3</v>
      </c>
      <c r="K74" s="4293">
        <v>507</v>
      </c>
    </row>
    <row r="75" spans="1:11">
      <c r="A75" s="4293" t="s">
        <v>4266</v>
      </c>
      <c r="B75" s="4293" t="s">
        <v>4261</v>
      </c>
      <c r="C75" s="4293" t="s">
        <v>4265</v>
      </c>
      <c r="D75" s="4293" t="s">
        <v>627</v>
      </c>
      <c r="E75" s="4293" t="s">
        <v>627</v>
      </c>
      <c r="F75" s="4293" t="s">
        <v>627</v>
      </c>
      <c r="G75" s="4293" t="s">
        <v>627</v>
      </c>
      <c r="H75" s="4293" t="s">
        <v>627</v>
      </c>
      <c r="I75" s="4293" t="s">
        <v>627</v>
      </c>
      <c r="J75" s="4293">
        <v>1</v>
      </c>
      <c r="K75" s="4293">
        <v>88</v>
      </c>
    </row>
    <row r="76" spans="1:11">
      <c r="A76" s="4293" t="s">
        <v>4264</v>
      </c>
      <c r="B76" s="4293" t="s">
        <v>4261</v>
      </c>
      <c r="C76" s="4293" t="s">
        <v>4263</v>
      </c>
      <c r="D76" s="4293" t="s">
        <v>627</v>
      </c>
      <c r="E76" s="4293" t="s">
        <v>627</v>
      </c>
      <c r="F76" s="4293" t="s">
        <v>627</v>
      </c>
      <c r="G76" s="4293" t="s">
        <v>627</v>
      </c>
      <c r="H76" s="4293" t="s">
        <v>627</v>
      </c>
      <c r="I76" s="4293" t="s">
        <v>627</v>
      </c>
      <c r="J76" s="4293">
        <v>1</v>
      </c>
      <c r="K76" s="4293">
        <v>87</v>
      </c>
    </row>
    <row r="77" spans="1:11">
      <c r="A77" s="4293" t="s">
        <v>4262</v>
      </c>
      <c r="B77" s="4293" t="s">
        <v>4261</v>
      </c>
      <c r="C77" s="4293" t="s">
        <v>4260</v>
      </c>
      <c r="D77" s="4293" t="s">
        <v>627</v>
      </c>
      <c r="E77" s="4293" t="s">
        <v>627</v>
      </c>
      <c r="F77" s="4293" t="s">
        <v>627</v>
      </c>
      <c r="G77" s="4293" t="s">
        <v>627</v>
      </c>
      <c r="H77" s="4293" t="s">
        <v>627</v>
      </c>
      <c r="I77" s="4293" t="s">
        <v>627</v>
      </c>
      <c r="J77" s="4293">
        <v>1</v>
      </c>
      <c r="K77" s="4293">
        <v>136</v>
      </c>
    </row>
  </sheetData>
  <phoneticPr fontId="13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46C-5A54-4AAF-ABF7-158C380B7AAB}">
  <dimension ref="A1:N19"/>
  <sheetViews>
    <sheetView workbookViewId="0">
      <selection activeCell="A17" sqref="A17"/>
    </sheetView>
  </sheetViews>
  <sheetFormatPr defaultRowHeight="13.5"/>
  <cols>
    <col min="1" max="1" width="19.25" style="4294" bestFit="1" customWidth="1"/>
    <col min="2" max="2" width="7.125" style="4294" bestFit="1" customWidth="1"/>
    <col min="3" max="3" width="9" style="4294"/>
    <col min="4" max="5" width="13.125" style="4294" bestFit="1" customWidth="1"/>
    <col min="6" max="6" width="13.125" style="4294" customWidth="1"/>
    <col min="7" max="7" width="16.375" style="4294" bestFit="1" customWidth="1"/>
    <col min="8" max="8" width="21.375" style="4294" bestFit="1" customWidth="1"/>
    <col min="9" max="9" width="15.25" style="4294" bestFit="1" customWidth="1"/>
    <col min="10" max="11" width="17.375" style="4294" bestFit="1" customWidth="1"/>
    <col min="12" max="13" width="13.125" style="4294" bestFit="1" customWidth="1"/>
    <col min="14" max="16384" width="9" style="4294"/>
  </cols>
  <sheetData>
    <row r="1" spans="1:14">
      <c r="A1" s="4293" t="s">
        <v>4361</v>
      </c>
      <c r="B1" s="4293" t="s">
        <v>4360</v>
      </c>
      <c r="C1" s="4293" t="s">
        <v>4359</v>
      </c>
      <c r="D1" s="4293" t="s">
        <v>4189</v>
      </c>
      <c r="E1" s="4293" t="s">
        <v>4379</v>
      </c>
      <c r="F1" s="4293" t="s">
        <v>4381</v>
      </c>
      <c r="G1" s="4293" t="s">
        <v>4378</v>
      </c>
      <c r="H1" s="4293" t="s">
        <v>4380</v>
      </c>
      <c r="I1" s="4293" t="s">
        <v>4192</v>
      </c>
      <c r="J1" s="4293" t="s">
        <v>4193</v>
      </c>
      <c r="K1" s="4293" t="s">
        <v>4194</v>
      </c>
      <c r="L1" s="4293" t="s">
        <v>4195</v>
      </c>
      <c r="M1" s="4293" t="s">
        <v>4196</v>
      </c>
      <c r="N1" s="4293"/>
    </row>
    <row r="2" spans="1:14">
      <c r="A2" s="4293" t="s">
        <v>4358</v>
      </c>
      <c r="B2" s="4293" t="s">
        <v>627</v>
      </c>
      <c r="C2" s="4293" t="s">
        <v>627</v>
      </c>
      <c r="D2" s="4293">
        <v>4062</v>
      </c>
      <c r="E2" s="4293">
        <v>142750</v>
      </c>
      <c r="F2" s="4293"/>
      <c r="G2" s="4293">
        <v>7500</v>
      </c>
      <c r="H2" s="4293">
        <f>ROUND(I2/D2*10000,0)</f>
        <v>263563</v>
      </c>
      <c r="I2" s="4293">
        <v>107059.39</v>
      </c>
      <c r="J2" s="4293">
        <v>7196</v>
      </c>
      <c r="K2" s="4293">
        <v>194645</v>
      </c>
      <c r="L2" s="4293">
        <v>25737</v>
      </c>
      <c r="M2" s="4293">
        <v>851373</v>
      </c>
      <c r="N2" s="4293"/>
    </row>
    <row r="3" spans="1:14">
      <c r="A3" s="4293" t="s">
        <v>4306</v>
      </c>
      <c r="B3" s="4293" t="s">
        <v>4261</v>
      </c>
      <c r="C3" s="4293" t="s">
        <v>4305</v>
      </c>
      <c r="D3" s="4293">
        <v>513</v>
      </c>
      <c r="E3" s="4293">
        <v>7148</v>
      </c>
      <c r="F3" s="4293">
        <f>ROUND(E3/D3,2)</f>
        <v>13.93</v>
      </c>
      <c r="G3" s="4293">
        <v>15033</v>
      </c>
      <c r="H3" s="4293">
        <f t="shared" ref="H3:H19" si="0">ROUND(I3/D3*10000,0)</f>
        <v>209468</v>
      </c>
      <c r="I3" s="4293">
        <v>10745.71</v>
      </c>
      <c r="J3" s="4293" t="s">
        <v>627</v>
      </c>
      <c r="K3" s="4293" t="s">
        <v>627</v>
      </c>
      <c r="L3" s="4293">
        <v>366</v>
      </c>
      <c r="M3" s="4293">
        <v>6123</v>
      </c>
      <c r="N3" s="4293">
        <f t="shared" ref="N3:N19" si="1">I3/D3</f>
        <v>20.946803118908381</v>
      </c>
    </row>
    <row r="4" spans="1:14">
      <c r="A4" s="4293" t="s">
        <v>4342</v>
      </c>
      <c r="B4" s="4293" t="s">
        <v>4261</v>
      </c>
      <c r="C4" s="4293" t="s">
        <v>4339</v>
      </c>
      <c r="D4" s="4293">
        <v>282</v>
      </c>
      <c r="E4" s="4293">
        <v>9413</v>
      </c>
      <c r="F4" s="4293">
        <f t="shared" ref="F4:F19" si="2">ROUND(E4/D4,2)</f>
        <v>33.380000000000003</v>
      </c>
      <c r="G4" s="4293">
        <v>5933</v>
      </c>
      <c r="H4" s="4293">
        <f t="shared" si="0"/>
        <v>198031</v>
      </c>
      <c r="I4" s="4293">
        <v>5584.48</v>
      </c>
      <c r="J4" s="4293">
        <v>99</v>
      </c>
      <c r="K4" s="4293">
        <v>3315</v>
      </c>
      <c r="L4" s="4293">
        <v>175</v>
      </c>
      <c r="M4" s="4293">
        <v>5864</v>
      </c>
      <c r="N4" s="4293">
        <f t="shared" si="1"/>
        <v>19.803120567375885</v>
      </c>
    </row>
    <row r="5" spans="1:14">
      <c r="A5" s="4293" t="s">
        <v>4346</v>
      </c>
      <c r="B5" s="4293" t="s">
        <v>4261</v>
      </c>
      <c r="C5" s="4293" t="s">
        <v>4260</v>
      </c>
      <c r="D5" s="4293">
        <v>275</v>
      </c>
      <c r="E5" s="4293">
        <v>8686</v>
      </c>
      <c r="F5" s="4293">
        <f t="shared" si="2"/>
        <v>31.59</v>
      </c>
      <c r="G5" s="4293">
        <v>2458</v>
      </c>
      <c r="H5" s="4293">
        <f t="shared" si="0"/>
        <v>77636</v>
      </c>
      <c r="I5" s="4293">
        <v>2134.9899999999998</v>
      </c>
      <c r="J5" s="4293" t="s">
        <v>627</v>
      </c>
      <c r="K5" s="4293" t="s">
        <v>627</v>
      </c>
      <c r="L5" s="4293">
        <v>1055</v>
      </c>
      <c r="M5" s="4293">
        <v>34001</v>
      </c>
      <c r="N5" s="4293">
        <f t="shared" si="1"/>
        <v>7.7635999999999994</v>
      </c>
    </row>
    <row r="6" spans="1:14">
      <c r="A6" s="4293" t="s">
        <v>4209</v>
      </c>
      <c r="B6" s="4293" t="s">
        <v>4261</v>
      </c>
      <c r="C6" s="4293" t="s">
        <v>4283</v>
      </c>
      <c r="D6" s="4293">
        <v>274</v>
      </c>
      <c r="E6" s="4293">
        <v>11559</v>
      </c>
      <c r="F6" s="4293">
        <f t="shared" si="2"/>
        <v>42.19</v>
      </c>
      <c r="G6" s="4293">
        <v>10365</v>
      </c>
      <c r="H6" s="4293">
        <f t="shared" si="0"/>
        <v>437263</v>
      </c>
      <c r="I6" s="4293">
        <v>11981</v>
      </c>
      <c r="J6" s="4293" t="s">
        <v>627</v>
      </c>
      <c r="K6" s="4293" t="s">
        <v>627</v>
      </c>
      <c r="L6" s="4293">
        <v>81</v>
      </c>
      <c r="M6" s="4293">
        <v>2820</v>
      </c>
      <c r="N6" s="4293">
        <f t="shared" si="1"/>
        <v>43.726277372262771</v>
      </c>
    </row>
    <row r="7" spans="1:14">
      <c r="A7" s="4293" t="s">
        <v>4365</v>
      </c>
      <c r="B7" s="4293" t="s">
        <v>4261</v>
      </c>
      <c r="C7" s="4293" t="s">
        <v>4287</v>
      </c>
      <c r="D7" s="4293">
        <v>233</v>
      </c>
      <c r="E7" s="4293">
        <v>7627</v>
      </c>
      <c r="F7" s="4293">
        <f t="shared" si="2"/>
        <v>32.729999999999997</v>
      </c>
      <c r="G7" s="4293">
        <v>1696</v>
      </c>
      <c r="H7" s="4293">
        <f t="shared" si="0"/>
        <v>55524</v>
      </c>
      <c r="I7" s="4293">
        <v>1293.71</v>
      </c>
      <c r="J7" s="4293" t="s">
        <v>627</v>
      </c>
      <c r="K7" s="4293" t="s">
        <v>627</v>
      </c>
      <c r="L7" s="4293">
        <v>10</v>
      </c>
      <c r="M7" s="4293">
        <v>323</v>
      </c>
      <c r="N7" s="4293">
        <f t="shared" si="1"/>
        <v>5.5524034334763952</v>
      </c>
    </row>
    <row r="8" spans="1:14" s="4296" customFormat="1">
      <c r="A8" s="4295" t="s">
        <v>4252</v>
      </c>
      <c r="B8" s="4295" t="s">
        <v>4261</v>
      </c>
      <c r="C8" s="4295" t="s">
        <v>4263</v>
      </c>
      <c r="D8" s="4295">
        <v>225</v>
      </c>
      <c r="E8" s="4295">
        <v>6991</v>
      </c>
      <c r="F8" s="4295">
        <f t="shared" si="2"/>
        <v>31.07</v>
      </c>
      <c r="G8" s="4295">
        <v>8739</v>
      </c>
      <c r="H8" s="4295">
        <f t="shared" si="0"/>
        <v>271534</v>
      </c>
      <c r="I8" s="4295">
        <v>6109.51</v>
      </c>
      <c r="J8" s="4295">
        <v>858</v>
      </c>
      <c r="K8" s="4295">
        <v>19013</v>
      </c>
      <c r="L8" s="4295">
        <v>633</v>
      </c>
      <c r="M8" s="4295">
        <v>12021</v>
      </c>
      <c r="N8" s="4295">
        <f t="shared" si="1"/>
        <v>27.153377777777777</v>
      </c>
    </row>
    <row r="9" spans="1:14">
      <c r="A9" s="4293" t="s">
        <v>4364</v>
      </c>
      <c r="B9" s="4293" t="s">
        <v>4261</v>
      </c>
      <c r="C9" s="4293" t="s">
        <v>4321</v>
      </c>
      <c r="D9" s="4293">
        <v>119</v>
      </c>
      <c r="E9" s="4293">
        <v>3672</v>
      </c>
      <c r="F9" s="4293">
        <f t="shared" si="2"/>
        <v>30.86</v>
      </c>
      <c r="G9" s="4293">
        <v>3233</v>
      </c>
      <c r="H9" s="4293">
        <f t="shared" si="0"/>
        <v>99766</v>
      </c>
      <c r="I9" s="4293">
        <v>1187.22</v>
      </c>
      <c r="J9" s="4293" t="s">
        <v>627</v>
      </c>
      <c r="K9" s="4293" t="s">
        <v>627</v>
      </c>
      <c r="L9" s="4293">
        <v>46</v>
      </c>
      <c r="M9" s="4293">
        <v>1212</v>
      </c>
      <c r="N9" s="4293">
        <f t="shared" si="1"/>
        <v>9.9766386554621853</v>
      </c>
    </row>
    <row r="10" spans="1:14">
      <c r="A10" s="4293" t="s">
        <v>4363</v>
      </c>
      <c r="B10" s="4293" t="s">
        <v>4261</v>
      </c>
      <c r="C10" s="4293" t="s">
        <v>4283</v>
      </c>
      <c r="D10" s="4293">
        <v>115</v>
      </c>
      <c r="E10" s="4293">
        <v>3570</v>
      </c>
      <c r="F10" s="4293">
        <f t="shared" si="2"/>
        <v>31.04</v>
      </c>
      <c r="G10" s="4293">
        <v>2462</v>
      </c>
      <c r="H10" s="4293">
        <f t="shared" si="0"/>
        <v>76424</v>
      </c>
      <c r="I10" s="4293">
        <v>878.88</v>
      </c>
      <c r="J10" s="4293" t="s">
        <v>627</v>
      </c>
      <c r="K10" s="4293" t="s">
        <v>627</v>
      </c>
      <c r="L10" s="4293" t="s">
        <v>627</v>
      </c>
      <c r="M10" s="4293" t="s">
        <v>627</v>
      </c>
      <c r="N10" s="4293">
        <f t="shared" si="1"/>
        <v>7.6424347826086958</v>
      </c>
    </row>
    <row r="11" spans="1:14">
      <c r="A11" s="4293" t="s">
        <v>4349</v>
      </c>
      <c r="B11" s="4293" t="s">
        <v>4261</v>
      </c>
      <c r="C11" s="4293" t="s">
        <v>4348</v>
      </c>
      <c r="D11" s="4293">
        <v>113</v>
      </c>
      <c r="E11" s="4293">
        <v>1447</v>
      </c>
      <c r="F11" s="4293">
        <f t="shared" si="2"/>
        <v>12.81</v>
      </c>
      <c r="G11" s="4293">
        <v>15076</v>
      </c>
      <c r="H11" s="4293">
        <f t="shared" si="0"/>
        <v>193035</v>
      </c>
      <c r="I11" s="4293">
        <v>2181.29</v>
      </c>
      <c r="J11" s="4293">
        <v>524</v>
      </c>
      <c r="K11" s="4293">
        <v>6703</v>
      </c>
      <c r="L11" s="4293">
        <v>734</v>
      </c>
      <c r="M11" s="4293">
        <v>9497</v>
      </c>
      <c r="N11" s="4293">
        <f t="shared" si="1"/>
        <v>19.303451327433628</v>
      </c>
    </row>
    <row r="12" spans="1:14">
      <c r="A12" s="4293" t="s">
        <v>4333</v>
      </c>
      <c r="B12" s="4293" t="s">
        <v>4261</v>
      </c>
      <c r="C12" s="4293" t="s">
        <v>4310</v>
      </c>
      <c r="D12" s="4293">
        <v>112</v>
      </c>
      <c r="E12" s="4293">
        <v>3197</v>
      </c>
      <c r="F12" s="4293">
        <f t="shared" si="2"/>
        <v>28.54</v>
      </c>
      <c r="G12" s="4293">
        <v>13074</v>
      </c>
      <c r="H12" s="4293">
        <f t="shared" si="0"/>
        <v>373213</v>
      </c>
      <c r="I12" s="4293">
        <v>4179.99</v>
      </c>
      <c r="J12" s="4293" t="s">
        <v>627</v>
      </c>
      <c r="K12" s="4293" t="s">
        <v>627</v>
      </c>
      <c r="L12" s="4293">
        <v>304</v>
      </c>
      <c r="M12" s="4293">
        <v>8654</v>
      </c>
      <c r="N12" s="4293">
        <f t="shared" si="1"/>
        <v>37.321339285714281</v>
      </c>
    </row>
    <row r="13" spans="1:14">
      <c r="A13" s="4293" t="s">
        <v>4352</v>
      </c>
      <c r="B13" s="4293" t="s">
        <v>4261</v>
      </c>
      <c r="C13" s="4293" t="s">
        <v>4272</v>
      </c>
      <c r="D13" s="4293">
        <v>109</v>
      </c>
      <c r="E13" s="4293">
        <v>1399</v>
      </c>
      <c r="F13" s="4293">
        <f t="shared" si="2"/>
        <v>12.83</v>
      </c>
      <c r="G13" s="4293">
        <v>36370</v>
      </c>
      <c r="H13" s="4293">
        <f t="shared" si="0"/>
        <v>466868</v>
      </c>
      <c r="I13" s="4293">
        <v>5088.8599999999997</v>
      </c>
      <c r="J13" s="4293">
        <v>877</v>
      </c>
      <c r="K13" s="4293">
        <v>11244</v>
      </c>
      <c r="L13" s="4293">
        <v>768</v>
      </c>
      <c r="M13" s="4293">
        <v>9845</v>
      </c>
      <c r="N13" s="4293">
        <f t="shared" si="1"/>
        <v>46.686788990825683</v>
      </c>
    </row>
    <row r="14" spans="1:14">
      <c r="A14" s="4293" t="s">
        <v>4344</v>
      </c>
      <c r="B14" s="4293" t="s">
        <v>4261</v>
      </c>
      <c r="C14" s="4293" t="s">
        <v>4321</v>
      </c>
      <c r="D14" s="4293">
        <v>109</v>
      </c>
      <c r="E14" s="4293">
        <v>3117</v>
      </c>
      <c r="F14" s="4293">
        <f t="shared" si="2"/>
        <v>28.6</v>
      </c>
      <c r="G14" s="4293">
        <v>8499</v>
      </c>
      <c r="H14" s="4293">
        <f t="shared" si="0"/>
        <v>243029</v>
      </c>
      <c r="I14" s="4293">
        <v>2649.02</v>
      </c>
      <c r="J14" s="4293">
        <v>286</v>
      </c>
      <c r="K14" s="4293">
        <v>8251</v>
      </c>
      <c r="L14" s="4293">
        <v>177</v>
      </c>
      <c r="M14" s="4293">
        <v>5134</v>
      </c>
      <c r="N14" s="4293">
        <f t="shared" si="1"/>
        <v>24.302935779816515</v>
      </c>
    </row>
    <row r="15" spans="1:14">
      <c r="A15" s="4293" t="s">
        <v>4362</v>
      </c>
      <c r="B15" s="4293" t="s">
        <v>4261</v>
      </c>
      <c r="C15" s="4293" t="s">
        <v>4321</v>
      </c>
      <c r="D15" s="4293">
        <v>102</v>
      </c>
      <c r="E15" s="4293">
        <v>3516</v>
      </c>
      <c r="F15" s="4293">
        <f t="shared" si="2"/>
        <v>34.47</v>
      </c>
      <c r="G15" s="4293">
        <v>4337</v>
      </c>
      <c r="H15" s="4293">
        <f t="shared" si="0"/>
        <v>149501</v>
      </c>
      <c r="I15" s="4293">
        <v>1524.91</v>
      </c>
      <c r="J15" s="4293" t="s">
        <v>627</v>
      </c>
      <c r="K15" s="4293" t="s">
        <v>627</v>
      </c>
      <c r="L15" s="4293">
        <v>516</v>
      </c>
      <c r="M15" s="4293">
        <v>19073</v>
      </c>
      <c r="N15" s="4293">
        <f t="shared" si="1"/>
        <v>14.950098039215687</v>
      </c>
    </row>
    <row r="16" spans="1:14" s="4296" customFormat="1">
      <c r="A16" s="4295" t="s">
        <v>4393</v>
      </c>
      <c r="B16" s="4295" t="s">
        <v>4261</v>
      </c>
      <c r="C16" s="4295" t="s">
        <v>4291</v>
      </c>
      <c r="D16" s="4295">
        <v>101</v>
      </c>
      <c r="E16" s="4295">
        <v>4274</v>
      </c>
      <c r="F16" s="4295">
        <f t="shared" si="2"/>
        <v>42.32</v>
      </c>
      <c r="G16" s="4295">
        <v>7340</v>
      </c>
      <c r="H16" s="4295">
        <f t="shared" si="0"/>
        <v>310596</v>
      </c>
      <c r="I16" s="4295">
        <v>3137.02</v>
      </c>
      <c r="J16" s="4295" t="s">
        <v>627</v>
      </c>
      <c r="K16" s="4295" t="s">
        <v>627</v>
      </c>
      <c r="L16" s="4295">
        <v>10</v>
      </c>
      <c r="M16" s="4295">
        <v>415</v>
      </c>
      <c r="N16" s="4295">
        <f t="shared" si="1"/>
        <v>31.059603960396039</v>
      </c>
    </row>
    <row r="17" spans="1:14" s="4296" customFormat="1">
      <c r="A17" s="4295" t="s">
        <v>4198</v>
      </c>
      <c r="B17" s="4295" t="s">
        <v>4261</v>
      </c>
      <c r="C17" s="4295" t="s">
        <v>4353</v>
      </c>
      <c r="D17" s="4295">
        <v>90</v>
      </c>
      <c r="E17" s="4295">
        <v>2809</v>
      </c>
      <c r="F17" s="4295">
        <f t="shared" si="2"/>
        <v>31.21</v>
      </c>
      <c r="G17" s="4295">
        <v>8358</v>
      </c>
      <c r="H17" s="4295">
        <f t="shared" si="0"/>
        <v>260889</v>
      </c>
      <c r="I17" s="4295">
        <v>2348</v>
      </c>
      <c r="J17" s="4295">
        <v>455</v>
      </c>
      <c r="K17" s="4295">
        <v>14224</v>
      </c>
      <c r="L17" s="4295">
        <v>901</v>
      </c>
      <c r="M17" s="4295">
        <v>28168</v>
      </c>
      <c r="N17" s="4295">
        <f t="shared" si="1"/>
        <v>26.088888888888889</v>
      </c>
    </row>
    <row r="18" spans="1:14">
      <c r="A18" s="4293" t="s">
        <v>4345</v>
      </c>
      <c r="B18" s="4293" t="s">
        <v>4261</v>
      </c>
      <c r="C18" s="4293" t="s">
        <v>4310</v>
      </c>
      <c r="D18" s="4293">
        <v>89</v>
      </c>
      <c r="E18" s="4293">
        <v>2982</v>
      </c>
      <c r="F18" s="4293">
        <f t="shared" si="2"/>
        <v>33.51</v>
      </c>
      <c r="G18" s="4293">
        <v>11262</v>
      </c>
      <c r="H18" s="4293">
        <f t="shared" si="0"/>
        <v>377383</v>
      </c>
      <c r="I18" s="4293">
        <v>3358.71</v>
      </c>
      <c r="J18" s="4293" t="s">
        <v>627</v>
      </c>
      <c r="K18" s="4293" t="s">
        <v>627</v>
      </c>
      <c r="L18" s="4293">
        <v>144</v>
      </c>
      <c r="M18" s="4293">
        <v>4830</v>
      </c>
      <c r="N18" s="4293">
        <f t="shared" si="1"/>
        <v>37.738314606741575</v>
      </c>
    </row>
    <row r="19" spans="1:14">
      <c r="A19" s="4293" t="s">
        <v>4356</v>
      </c>
      <c r="B19" s="4293" t="s">
        <v>4261</v>
      </c>
      <c r="C19" s="4293" t="s">
        <v>4355</v>
      </c>
      <c r="D19" s="4293">
        <v>80</v>
      </c>
      <c r="E19" s="4293">
        <v>2746</v>
      </c>
      <c r="F19" s="4293">
        <f t="shared" si="2"/>
        <v>34.33</v>
      </c>
      <c r="G19" s="4293">
        <v>12997</v>
      </c>
      <c r="H19" s="4293">
        <f t="shared" si="0"/>
        <v>446118</v>
      </c>
      <c r="I19" s="4293">
        <v>3568.94</v>
      </c>
      <c r="J19" s="4293">
        <v>272</v>
      </c>
      <c r="K19" s="4293">
        <v>9268</v>
      </c>
      <c r="L19" s="4293">
        <v>192</v>
      </c>
      <c r="M19" s="4293">
        <v>6522</v>
      </c>
      <c r="N19" s="4293">
        <f t="shared" si="1"/>
        <v>44.611750000000001</v>
      </c>
    </row>
  </sheetData>
  <phoneticPr fontId="1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12"/>
      <c r="C2" s="4312"/>
      <c r="D2" s="4312"/>
      <c r="E2" s="4312"/>
    </row>
    <row r="3" spans="1:5" ht="18">
      <c r="A3" s="4313" t="str">
        <f>IF(项目基本情况!B9="房地产市场价值","估价结果一览表（市场价值不需“结果表-1”）","估价结果一览表")</f>
        <v>估价结果一览表</v>
      </c>
      <c r="B3" s="4313"/>
      <c r="C3" s="4313"/>
      <c r="D3" s="4313"/>
      <c r="E3" s="4313"/>
    </row>
    <row r="4" spans="1:5" ht="19.5" thickBot="1">
      <c r="A4" s="1035"/>
      <c r="B4" s="4311" t="s">
        <v>901</v>
      </c>
      <c r="C4" s="4311"/>
      <c r="D4" s="4311"/>
      <c r="E4" s="1035"/>
    </row>
    <row r="5" spans="1:5" ht="16.5" thickTop="1">
      <c r="B5" s="4309" t="s">
        <v>893</v>
      </c>
      <c r="C5" s="1036" t="s">
        <v>894</v>
      </c>
      <c r="D5" s="540">
        <f ca="1">结果表!H101</f>
        <v>252423</v>
      </c>
    </row>
    <row r="6" spans="1:5" ht="15.75">
      <c r="B6" s="4309"/>
      <c r="C6" s="1036" t="s">
        <v>895</v>
      </c>
      <c r="D6" s="540" t="str">
        <f ca="1">NUMBERSTRING(INT(D5*10000),2)&amp;"元整"</f>
        <v>贰拾伍亿贰仟肆佰贰拾叁万元整</v>
      </c>
    </row>
    <row r="7" spans="1:5" ht="15.75">
      <c r="B7" s="4314"/>
      <c r="C7" s="1037" t="s">
        <v>896</v>
      </c>
      <c r="D7" s="541">
        <f ca="1">结果表!H102</f>
        <v>30644</v>
      </c>
    </row>
    <row r="8" spans="1:5" ht="15.75">
      <c r="B8" s="4315" t="str">
        <f>结果表!E103</f>
        <v>2.估价师知悉的法定优先受偿款</v>
      </c>
      <c r="C8" s="1038" t="s">
        <v>897</v>
      </c>
      <c r="D8" s="541">
        <f>结果表!H103</f>
        <v>2945</v>
      </c>
    </row>
    <row r="9" spans="1:5" ht="15.75">
      <c r="B9" s="4317"/>
      <c r="C9" s="1036" t="s">
        <v>895</v>
      </c>
      <c r="D9" s="540" t="str">
        <f>NUMBERSTRING(INT(D8*10000),2)&amp;"元整"</f>
        <v>贰仟玖佰肆拾伍万元整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2945</v>
      </c>
    </row>
    <row r="13" spans="1:5" ht="15.75">
      <c r="B13" s="4308" t="str">
        <f>结果表!E107</f>
        <v>3.房地产抵押价值</v>
      </c>
      <c r="C13" s="1041" t="s">
        <v>894</v>
      </c>
      <c r="D13" s="543">
        <f ca="1">结果表!H107</f>
        <v>249478</v>
      </c>
    </row>
    <row r="14" spans="1:5" ht="15.75">
      <c r="B14" s="4309"/>
      <c r="C14" s="1036" t="s">
        <v>895</v>
      </c>
      <c r="D14" s="540" t="str">
        <f ca="1">NUMBERSTRING(INT(D13*10000),2)&amp;"元整"</f>
        <v>贰拾肆亿玖仟肆佰柒拾捌万元整</v>
      </c>
    </row>
    <row r="15" spans="1:5" ht="15">
      <c r="B15" s="4314"/>
      <c r="C15" s="1037" t="s">
        <v>905</v>
      </c>
      <c r="D15" s="548">
        <f ca="1">结果表!H108</f>
        <v>30287</v>
      </c>
    </row>
    <row r="16" spans="1:5" ht="15">
      <c r="B16" s="4315" t="str">
        <f>结果表!E109</f>
        <v>——</v>
      </c>
      <c r="C16" s="1041" t="s">
        <v>906</v>
      </c>
      <c r="D16" s="1042" t="str">
        <f>结果表!H109</f>
        <v>——</v>
      </c>
    </row>
    <row r="17" spans="1:5" ht="15.75">
      <c r="B17" s="4316"/>
      <c r="C17" s="1036" t="s">
        <v>907</v>
      </c>
      <c r="D17" s="540" t="e">
        <f>NUMBERSTRING(INT(D16*10000),2)&amp;"元整"</f>
        <v>#VALUE!</v>
      </c>
    </row>
    <row r="18" spans="1:5" ht="15">
      <c r="B18" s="4317"/>
      <c r="C18" s="1037" t="s">
        <v>896</v>
      </c>
      <c r="D18" s="548" t="str">
        <f>结果表!H110</f>
        <v>——</v>
      </c>
    </row>
    <row r="19" spans="1:5" ht="15.75">
      <c r="B19" s="4308" t="str">
        <f>结果表!E111</f>
        <v>——</v>
      </c>
      <c r="C19" s="1041" t="s">
        <v>894</v>
      </c>
      <c r="D19" s="541" t="str">
        <f>结果表!H111</f>
        <v>——</v>
      </c>
    </row>
    <row r="20" spans="1:5" ht="15.75">
      <c r="B20" s="4309"/>
      <c r="C20" s="1036" t="s">
        <v>907</v>
      </c>
      <c r="D20" s="540" t="e">
        <f>NUMBERSTRING(INT(D19*10000),2)&amp;"元整"</f>
        <v>#VALUE!</v>
      </c>
    </row>
    <row r="21" spans="1:5" ht="15.75" thickBot="1">
      <c r="B21" s="4310"/>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39744-F693-48B9-8385-DEB010FA5707}">
  <dimension ref="A1:M45"/>
  <sheetViews>
    <sheetView workbookViewId="0">
      <selection activeCell="A4" sqref="A4"/>
    </sheetView>
  </sheetViews>
  <sheetFormatPr defaultRowHeight="13.5"/>
  <cols>
    <col min="1" max="1" width="23.5" style="4294" bestFit="1" customWidth="1"/>
    <col min="2" max="2" width="7.125" style="4294" bestFit="1" customWidth="1"/>
    <col min="3" max="3" width="9" style="4294"/>
    <col min="4" max="5" width="13.125" style="4294" bestFit="1" customWidth="1"/>
    <col min="6" max="6" width="13.125" style="4294" customWidth="1"/>
    <col min="7" max="7" width="16.375" style="4294" bestFit="1" customWidth="1"/>
    <col min="8" max="8" width="15.25" style="4294" bestFit="1" customWidth="1"/>
    <col min="9" max="10" width="17.375" style="4294" bestFit="1" customWidth="1"/>
    <col min="11" max="12" width="13.125" style="4294" bestFit="1" customWidth="1"/>
    <col min="13" max="16384" width="9" style="4294"/>
  </cols>
  <sheetData>
    <row r="1" spans="1:13">
      <c r="A1" s="4293" t="s">
        <v>4361</v>
      </c>
      <c r="B1" s="4293" t="s">
        <v>4360</v>
      </c>
      <c r="C1" s="4293" t="s">
        <v>4359</v>
      </c>
      <c r="D1" s="4293" t="s">
        <v>4189</v>
      </c>
      <c r="E1" s="4293" t="s">
        <v>4190</v>
      </c>
      <c r="F1" s="4293" t="s">
        <v>4382</v>
      </c>
      <c r="G1" s="4293" t="s">
        <v>4191</v>
      </c>
      <c r="H1" s="4293" t="s">
        <v>4192</v>
      </c>
      <c r="I1" s="4293" t="s">
        <v>4193</v>
      </c>
      <c r="J1" s="4293" t="s">
        <v>4194</v>
      </c>
      <c r="K1" s="4293" t="s">
        <v>4195</v>
      </c>
      <c r="L1" s="4293" t="s">
        <v>4196</v>
      </c>
      <c r="M1" s="4293"/>
    </row>
    <row r="2" spans="1:13">
      <c r="A2" s="4293" t="s">
        <v>4358</v>
      </c>
      <c r="B2" s="4293" t="s">
        <v>627</v>
      </c>
      <c r="C2" s="4293" t="s">
        <v>627</v>
      </c>
      <c r="D2" s="4293">
        <v>1084</v>
      </c>
      <c r="E2" s="4293">
        <v>38720</v>
      </c>
      <c r="F2" s="4293"/>
      <c r="G2" s="4293">
        <v>10411</v>
      </c>
      <c r="H2" s="4293">
        <v>40310.49</v>
      </c>
      <c r="I2" s="4293">
        <v>743</v>
      </c>
      <c r="J2" s="4293">
        <v>23786</v>
      </c>
      <c r="K2" s="4293">
        <v>5678</v>
      </c>
      <c r="L2" s="4293">
        <v>177142</v>
      </c>
      <c r="M2" s="4293"/>
    </row>
    <row r="3" spans="1:13">
      <c r="A3" s="4293" t="s">
        <v>4377</v>
      </c>
      <c r="B3" s="4293" t="s">
        <v>4261</v>
      </c>
      <c r="C3" s="4293" t="s">
        <v>4321</v>
      </c>
      <c r="D3" s="4293">
        <v>337</v>
      </c>
      <c r="E3" s="4293">
        <v>6775</v>
      </c>
      <c r="F3" s="4293">
        <f>ROUND(E3/D3,2)</f>
        <v>20.100000000000001</v>
      </c>
      <c r="G3" s="4293">
        <v>2979</v>
      </c>
      <c r="H3" s="4293">
        <v>2018.24</v>
      </c>
      <c r="I3" s="4293" t="s">
        <v>627</v>
      </c>
      <c r="J3" s="4293" t="s">
        <v>627</v>
      </c>
      <c r="K3" s="4293">
        <v>62</v>
      </c>
      <c r="L3" s="4293">
        <v>1320</v>
      </c>
      <c r="M3" s="4293"/>
    </row>
    <row r="4" spans="1:13" s="4296" customFormat="1">
      <c r="A4" s="4295" t="s">
        <v>4342</v>
      </c>
      <c r="B4" s="4295" t="s">
        <v>4261</v>
      </c>
      <c r="C4" s="4295" t="s">
        <v>4339</v>
      </c>
      <c r="D4" s="4295">
        <v>119</v>
      </c>
      <c r="E4" s="4295">
        <v>4606</v>
      </c>
      <c r="F4" s="4295">
        <f t="shared" ref="F4:F45" si="0">ROUND(E4/D4,2)</f>
        <v>38.71</v>
      </c>
      <c r="G4" s="4295">
        <v>15085</v>
      </c>
      <c r="H4" s="4295">
        <v>6948.17</v>
      </c>
      <c r="I4" s="4295" t="s">
        <v>627</v>
      </c>
      <c r="J4" s="4295" t="s">
        <v>627</v>
      </c>
      <c r="K4" s="4295">
        <v>127</v>
      </c>
      <c r="L4" s="4295">
        <v>1825</v>
      </c>
      <c r="M4" s="4295"/>
    </row>
    <row r="5" spans="1:13">
      <c r="A5" s="4293" t="s">
        <v>4365</v>
      </c>
      <c r="B5" s="4293" t="s">
        <v>4261</v>
      </c>
      <c r="C5" s="4293" t="s">
        <v>4287</v>
      </c>
      <c r="D5" s="4293">
        <v>83</v>
      </c>
      <c r="E5" s="4293">
        <v>2002</v>
      </c>
      <c r="F5" s="4293">
        <f t="shared" si="0"/>
        <v>24.12</v>
      </c>
      <c r="G5" s="4293">
        <v>2842</v>
      </c>
      <c r="H5" s="4293">
        <v>568.95000000000005</v>
      </c>
      <c r="I5" s="4293" t="s">
        <v>627</v>
      </c>
      <c r="J5" s="4293" t="s">
        <v>627</v>
      </c>
      <c r="K5" s="4293">
        <v>4</v>
      </c>
      <c r="L5" s="4293">
        <v>65</v>
      </c>
      <c r="M5" s="4293"/>
    </row>
    <row r="6" spans="1:13" s="4296" customFormat="1">
      <c r="A6" s="4295" t="s">
        <v>4252</v>
      </c>
      <c r="B6" s="4295" t="s">
        <v>4261</v>
      </c>
      <c r="C6" s="4295" t="s">
        <v>4263</v>
      </c>
      <c r="D6" s="4295">
        <v>55</v>
      </c>
      <c r="E6" s="4295">
        <v>2333</v>
      </c>
      <c r="F6" s="4295">
        <f t="shared" si="0"/>
        <v>42.42</v>
      </c>
      <c r="G6" s="4295">
        <v>12514</v>
      </c>
      <c r="H6" s="4295">
        <v>2919.81</v>
      </c>
      <c r="I6" s="4295">
        <v>218</v>
      </c>
      <c r="J6" s="4295">
        <v>7731</v>
      </c>
      <c r="K6" s="4295">
        <v>163</v>
      </c>
      <c r="L6" s="4295">
        <v>5398</v>
      </c>
      <c r="M6" s="4295"/>
    </row>
    <row r="7" spans="1:13">
      <c r="A7" s="4293" t="s">
        <v>4350</v>
      </c>
      <c r="B7" s="4293" t="s">
        <v>4261</v>
      </c>
      <c r="C7" s="4293" t="s">
        <v>4277</v>
      </c>
      <c r="D7" s="4293">
        <v>53</v>
      </c>
      <c r="E7" s="4293">
        <v>2986</v>
      </c>
      <c r="F7" s="4293">
        <f t="shared" si="0"/>
        <v>56.34</v>
      </c>
      <c r="G7" s="4293">
        <v>3603</v>
      </c>
      <c r="H7" s="4293">
        <v>1076.02</v>
      </c>
      <c r="I7" s="4293" t="s">
        <v>627</v>
      </c>
      <c r="J7" s="4293" t="s">
        <v>627</v>
      </c>
      <c r="K7" s="4293">
        <v>14</v>
      </c>
      <c r="L7" s="4293">
        <v>762</v>
      </c>
      <c r="M7" s="4293"/>
    </row>
    <row r="8" spans="1:13">
      <c r="A8" s="4293" t="s">
        <v>4376</v>
      </c>
      <c r="B8" s="4293" t="s">
        <v>4261</v>
      </c>
      <c r="C8" s="4293" t="s">
        <v>4315</v>
      </c>
      <c r="D8" s="4293">
        <v>44</v>
      </c>
      <c r="E8" s="4293">
        <v>1129</v>
      </c>
      <c r="F8" s="4293">
        <f t="shared" si="0"/>
        <v>25.66</v>
      </c>
      <c r="G8" s="4293">
        <v>6904</v>
      </c>
      <c r="H8" s="4293">
        <v>779.29</v>
      </c>
      <c r="I8" s="4293" t="s">
        <v>627</v>
      </c>
      <c r="J8" s="4293" t="s">
        <v>627</v>
      </c>
      <c r="K8" s="4293">
        <v>1163</v>
      </c>
      <c r="L8" s="4293">
        <v>32311</v>
      </c>
      <c r="M8" s="4293"/>
    </row>
    <row r="9" spans="1:13">
      <c r="A9" s="4293" t="s">
        <v>4264</v>
      </c>
      <c r="B9" s="4293" t="s">
        <v>4261</v>
      </c>
      <c r="C9" s="4293" t="s">
        <v>4263</v>
      </c>
      <c r="D9" s="4293">
        <v>43</v>
      </c>
      <c r="E9" s="4293">
        <v>1250</v>
      </c>
      <c r="F9" s="4293">
        <f t="shared" si="0"/>
        <v>29.07</v>
      </c>
      <c r="G9" s="4293">
        <v>28848</v>
      </c>
      <c r="H9" s="4293">
        <v>3604.85</v>
      </c>
      <c r="I9" s="4293" t="s">
        <v>627</v>
      </c>
      <c r="J9" s="4293" t="s">
        <v>627</v>
      </c>
      <c r="K9" s="4293">
        <v>5</v>
      </c>
      <c r="L9" s="4293">
        <v>198</v>
      </c>
      <c r="M9" s="4293"/>
    </row>
    <row r="10" spans="1:13" s="4296" customFormat="1">
      <c r="A10" s="4295" t="s">
        <v>4198</v>
      </c>
      <c r="B10" s="4295" t="s">
        <v>4261</v>
      </c>
      <c r="C10" s="4295" t="s">
        <v>4353</v>
      </c>
      <c r="D10" s="4295">
        <v>42</v>
      </c>
      <c r="E10" s="4295">
        <v>1506</v>
      </c>
      <c r="F10" s="4295">
        <f t="shared" si="0"/>
        <v>35.86</v>
      </c>
      <c r="G10" s="4295">
        <v>15996</v>
      </c>
      <c r="H10" s="4295">
        <v>2409.64</v>
      </c>
      <c r="I10" s="4295">
        <v>48</v>
      </c>
      <c r="J10" s="4295">
        <v>1329</v>
      </c>
      <c r="K10" s="4295">
        <v>88</v>
      </c>
      <c r="L10" s="4295">
        <v>2379</v>
      </c>
      <c r="M10" s="4295"/>
    </row>
    <row r="11" spans="1:13">
      <c r="A11" s="4293" t="s">
        <v>4328</v>
      </c>
      <c r="B11" s="4293" t="s">
        <v>4261</v>
      </c>
      <c r="C11" s="4293" t="s">
        <v>4283</v>
      </c>
      <c r="D11" s="4293">
        <v>36</v>
      </c>
      <c r="E11" s="4293">
        <v>1310</v>
      </c>
      <c r="F11" s="4293">
        <f t="shared" si="0"/>
        <v>36.39</v>
      </c>
      <c r="G11" s="4293">
        <v>19571</v>
      </c>
      <c r="H11" s="4293">
        <v>2563.1</v>
      </c>
      <c r="I11" s="4293">
        <v>72</v>
      </c>
      <c r="J11" s="4293">
        <v>2083</v>
      </c>
      <c r="K11" s="4293">
        <v>601</v>
      </c>
      <c r="L11" s="4293">
        <v>22712</v>
      </c>
      <c r="M11" s="4293"/>
    </row>
    <row r="12" spans="1:13">
      <c r="A12" s="4293" t="s">
        <v>4332</v>
      </c>
      <c r="B12" s="4293" t="s">
        <v>4261</v>
      </c>
      <c r="C12" s="4293" t="s">
        <v>4270</v>
      </c>
      <c r="D12" s="4293">
        <v>36</v>
      </c>
      <c r="E12" s="4293">
        <v>3363</v>
      </c>
      <c r="F12" s="4293">
        <f t="shared" si="0"/>
        <v>93.42</v>
      </c>
      <c r="G12" s="4293">
        <v>12865</v>
      </c>
      <c r="H12" s="4293">
        <v>4326.95</v>
      </c>
      <c r="I12" s="4293" t="s">
        <v>627</v>
      </c>
      <c r="J12" s="4293" t="s">
        <v>627</v>
      </c>
      <c r="K12" s="4293">
        <v>6</v>
      </c>
      <c r="L12" s="4293">
        <v>897</v>
      </c>
      <c r="M12" s="4293"/>
    </row>
    <row r="13" spans="1:13">
      <c r="A13" s="4293" t="s">
        <v>4362</v>
      </c>
      <c r="B13" s="4293" t="s">
        <v>4261</v>
      </c>
      <c r="C13" s="4293" t="s">
        <v>4321</v>
      </c>
      <c r="D13" s="4293">
        <v>35</v>
      </c>
      <c r="E13" s="4293">
        <v>769</v>
      </c>
      <c r="F13" s="4293">
        <f t="shared" si="0"/>
        <v>21.97</v>
      </c>
      <c r="G13" s="4293">
        <v>6937</v>
      </c>
      <c r="H13" s="4293">
        <v>533.69000000000005</v>
      </c>
      <c r="I13" s="4293">
        <v>279</v>
      </c>
      <c r="J13" s="4293">
        <v>6054</v>
      </c>
      <c r="K13" s="4293">
        <v>488</v>
      </c>
      <c r="L13" s="4293">
        <v>11719</v>
      </c>
      <c r="M13" s="4293"/>
    </row>
    <row r="14" spans="1:13">
      <c r="A14" s="4293" t="s">
        <v>4343</v>
      </c>
      <c r="B14" s="4293" t="s">
        <v>4261</v>
      </c>
      <c r="C14" s="4293" t="s">
        <v>4268</v>
      </c>
      <c r="D14" s="4293">
        <v>28</v>
      </c>
      <c r="E14" s="4293">
        <v>3701</v>
      </c>
      <c r="F14" s="4293">
        <f t="shared" si="0"/>
        <v>132.18</v>
      </c>
      <c r="G14" s="4293">
        <v>8741</v>
      </c>
      <c r="H14" s="4293">
        <v>3234.91</v>
      </c>
      <c r="I14" s="4293" t="s">
        <v>627</v>
      </c>
      <c r="J14" s="4293" t="s">
        <v>627</v>
      </c>
      <c r="K14" s="4293">
        <v>12</v>
      </c>
      <c r="L14" s="4293">
        <v>1901</v>
      </c>
      <c r="M14" s="4293"/>
    </row>
    <row r="15" spans="1:13">
      <c r="A15" s="4293" t="s">
        <v>4320</v>
      </c>
      <c r="B15" s="4293" t="s">
        <v>4261</v>
      </c>
      <c r="C15" s="4293" t="s">
        <v>4263</v>
      </c>
      <c r="D15" s="4293">
        <v>25</v>
      </c>
      <c r="E15" s="4293">
        <v>478</v>
      </c>
      <c r="F15" s="4293">
        <f t="shared" si="0"/>
        <v>19.12</v>
      </c>
      <c r="G15" s="4293">
        <v>11822</v>
      </c>
      <c r="H15" s="4293">
        <v>564.77</v>
      </c>
      <c r="I15" s="4293" t="s">
        <v>627</v>
      </c>
      <c r="J15" s="4293" t="s">
        <v>627</v>
      </c>
      <c r="K15" s="4293" t="s">
        <v>627</v>
      </c>
      <c r="L15" s="4293" t="s">
        <v>627</v>
      </c>
      <c r="M15" s="4293"/>
    </row>
    <row r="16" spans="1:13">
      <c r="A16" s="4293" t="s">
        <v>4209</v>
      </c>
      <c r="B16" s="4293" t="s">
        <v>4261</v>
      </c>
      <c r="C16" s="4293" t="s">
        <v>4283</v>
      </c>
      <c r="D16" s="4293">
        <v>24</v>
      </c>
      <c r="E16" s="4293">
        <v>715</v>
      </c>
      <c r="F16" s="4293">
        <f t="shared" si="0"/>
        <v>29.79</v>
      </c>
      <c r="G16" s="4293">
        <v>12438</v>
      </c>
      <c r="H16" s="4293">
        <v>888.81</v>
      </c>
      <c r="I16" s="4293" t="s">
        <v>627</v>
      </c>
      <c r="J16" s="4293" t="s">
        <v>627</v>
      </c>
      <c r="K16" s="4293">
        <v>83</v>
      </c>
      <c r="L16" s="4293">
        <v>3456</v>
      </c>
      <c r="M16" s="4293"/>
    </row>
    <row r="17" spans="1:13">
      <c r="A17" s="4293" t="s">
        <v>4324</v>
      </c>
      <c r="B17" s="4293" t="s">
        <v>4261</v>
      </c>
      <c r="C17" s="4293" t="s">
        <v>4321</v>
      </c>
      <c r="D17" s="4293">
        <v>19</v>
      </c>
      <c r="E17" s="4293">
        <v>764</v>
      </c>
      <c r="F17" s="4293">
        <f t="shared" si="0"/>
        <v>40.21</v>
      </c>
      <c r="G17" s="4293">
        <v>17635</v>
      </c>
      <c r="H17" s="4293">
        <v>1347.65</v>
      </c>
      <c r="I17" s="4293" t="s">
        <v>627</v>
      </c>
      <c r="J17" s="4293" t="s">
        <v>627</v>
      </c>
      <c r="K17" s="4293">
        <v>194</v>
      </c>
      <c r="L17" s="4293">
        <v>5813</v>
      </c>
      <c r="M17" s="4293"/>
    </row>
    <row r="18" spans="1:13">
      <c r="A18" s="4293" t="s">
        <v>4322</v>
      </c>
      <c r="B18" s="4293" t="s">
        <v>4261</v>
      </c>
      <c r="C18" s="4293" t="s">
        <v>4321</v>
      </c>
      <c r="D18" s="4293">
        <v>18</v>
      </c>
      <c r="E18" s="4293">
        <v>1147</v>
      </c>
      <c r="F18" s="4293">
        <f t="shared" si="0"/>
        <v>63.72</v>
      </c>
      <c r="G18" s="4293">
        <v>13029</v>
      </c>
      <c r="H18" s="4293">
        <v>1494.58</v>
      </c>
      <c r="I18" s="4293" t="s">
        <v>627</v>
      </c>
      <c r="J18" s="4293" t="s">
        <v>627</v>
      </c>
      <c r="K18" s="4293">
        <v>112</v>
      </c>
      <c r="L18" s="4293">
        <v>4350</v>
      </c>
      <c r="M18" s="4293"/>
    </row>
    <row r="19" spans="1:13">
      <c r="A19" s="4293" t="s">
        <v>4345</v>
      </c>
      <c r="B19" s="4293" t="s">
        <v>4261</v>
      </c>
      <c r="C19" s="4293" t="s">
        <v>4310</v>
      </c>
      <c r="D19" s="4293">
        <v>18</v>
      </c>
      <c r="E19" s="4293">
        <v>585</v>
      </c>
      <c r="F19" s="4293">
        <f t="shared" si="0"/>
        <v>32.5</v>
      </c>
      <c r="G19" s="4293">
        <v>23309</v>
      </c>
      <c r="H19" s="4293">
        <v>1363.1</v>
      </c>
      <c r="I19" s="4293">
        <v>42</v>
      </c>
      <c r="J19" s="4293">
        <v>1280</v>
      </c>
      <c r="K19" s="4293">
        <v>78</v>
      </c>
      <c r="L19" s="4293">
        <v>2325</v>
      </c>
      <c r="M19" s="4293"/>
    </row>
    <row r="20" spans="1:13">
      <c r="A20" s="4293" t="s">
        <v>4307</v>
      </c>
      <c r="B20" s="4293" t="s">
        <v>4261</v>
      </c>
      <c r="C20" s="4293" t="s">
        <v>4301</v>
      </c>
      <c r="D20" s="4293">
        <v>14</v>
      </c>
      <c r="E20" s="4293">
        <v>307</v>
      </c>
      <c r="F20" s="4293">
        <f t="shared" si="0"/>
        <v>21.93</v>
      </c>
      <c r="G20" s="4293">
        <v>29800</v>
      </c>
      <c r="H20" s="4293">
        <v>915.59</v>
      </c>
      <c r="I20" s="4293" t="s">
        <v>627</v>
      </c>
      <c r="J20" s="4293" t="s">
        <v>627</v>
      </c>
      <c r="K20" s="4293">
        <v>254</v>
      </c>
      <c r="L20" s="4293">
        <v>8031</v>
      </c>
      <c r="M20" s="4293"/>
    </row>
    <row r="21" spans="1:13">
      <c r="A21" s="4293" t="s">
        <v>4327</v>
      </c>
      <c r="B21" s="4293" t="s">
        <v>4261</v>
      </c>
      <c r="C21" s="4293" t="s">
        <v>4301</v>
      </c>
      <c r="D21" s="4293">
        <v>11</v>
      </c>
      <c r="E21" s="4293">
        <v>573</v>
      </c>
      <c r="F21" s="4293">
        <f t="shared" si="0"/>
        <v>52.09</v>
      </c>
      <c r="G21" s="4293">
        <v>20000</v>
      </c>
      <c r="H21" s="4293">
        <v>1145.32</v>
      </c>
      <c r="I21" s="4293" t="s">
        <v>627</v>
      </c>
      <c r="J21" s="4293" t="s">
        <v>627</v>
      </c>
      <c r="K21" s="4293">
        <v>452</v>
      </c>
      <c r="L21" s="4293">
        <v>13643</v>
      </c>
      <c r="M21" s="4293"/>
    </row>
    <row r="22" spans="1:13">
      <c r="A22" s="4293" t="s">
        <v>4311</v>
      </c>
      <c r="B22" s="4293" t="s">
        <v>4261</v>
      </c>
      <c r="C22" s="4293" t="s">
        <v>4310</v>
      </c>
      <c r="D22" s="4293">
        <v>7</v>
      </c>
      <c r="E22" s="4293">
        <v>85</v>
      </c>
      <c r="F22" s="4293">
        <f t="shared" si="0"/>
        <v>12.14</v>
      </c>
      <c r="G22" s="4293">
        <v>30043</v>
      </c>
      <c r="H22" s="4293">
        <v>256.14999999999998</v>
      </c>
      <c r="I22" s="4293" t="s">
        <v>627</v>
      </c>
      <c r="J22" s="4293" t="s">
        <v>627</v>
      </c>
      <c r="K22" s="4293">
        <v>7</v>
      </c>
      <c r="L22" s="4293">
        <v>85</v>
      </c>
      <c r="M22" s="4293"/>
    </row>
    <row r="23" spans="1:13">
      <c r="A23" s="4293" t="s">
        <v>4375</v>
      </c>
      <c r="B23" s="4293" t="s">
        <v>4261</v>
      </c>
      <c r="C23" s="4293" t="s">
        <v>4321</v>
      </c>
      <c r="D23" s="4293">
        <v>6</v>
      </c>
      <c r="E23" s="4293">
        <v>133</v>
      </c>
      <c r="F23" s="4293">
        <f t="shared" si="0"/>
        <v>22.17</v>
      </c>
      <c r="G23" s="4293">
        <v>5314</v>
      </c>
      <c r="H23" s="4293">
        <v>70.75</v>
      </c>
      <c r="I23" s="4293" t="s">
        <v>627</v>
      </c>
      <c r="J23" s="4293" t="s">
        <v>627</v>
      </c>
      <c r="K23" s="4293">
        <v>281</v>
      </c>
      <c r="L23" s="4293">
        <v>5806</v>
      </c>
      <c r="M23" s="4293"/>
    </row>
    <row r="24" spans="1:13">
      <c r="A24" s="4293" t="s">
        <v>4317</v>
      </c>
      <c r="B24" s="4293" t="s">
        <v>4261</v>
      </c>
      <c r="C24" s="4293" t="s">
        <v>4291</v>
      </c>
      <c r="D24" s="4293">
        <v>6</v>
      </c>
      <c r="E24" s="4293">
        <v>105</v>
      </c>
      <c r="F24" s="4293">
        <f t="shared" si="0"/>
        <v>17.5</v>
      </c>
      <c r="G24" s="4293">
        <v>17272</v>
      </c>
      <c r="H24" s="4293">
        <v>181.86</v>
      </c>
      <c r="I24" s="4293">
        <v>1</v>
      </c>
      <c r="J24" s="4293">
        <v>14</v>
      </c>
      <c r="K24" s="4293">
        <v>9</v>
      </c>
      <c r="L24" s="4293">
        <v>232</v>
      </c>
      <c r="M24" s="4293"/>
    </row>
    <row r="25" spans="1:13">
      <c r="A25" s="4293" t="s">
        <v>4330</v>
      </c>
      <c r="B25" s="4293" t="s">
        <v>4261</v>
      </c>
      <c r="C25" s="4293" t="s">
        <v>4329</v>
      </c>
      <c r="D25" s="4293">
        <v>5</v>
      </c>
      <c r="E25" s="4293">
        <v>188</v>
      </c>
      <c r="F25" s="4293">
        <f t="shared" si="0"/>
        <v>37.6</v>
      </c>
      <c r="G25" s="4293">
        <v>4872</v>
      </c>
      <c r="H25" s="4293">
        <v>91.36</v>
      </c>
      <c r="I25" s="4293" t="s">
        <v>627</v>
      </c>
      <c r="J25" s="4293" t="s">
        <v>627</v>
      </c>
      <c r="K25" s="4293">
        <v>46</v>
      </c>
      <c r="L25" s="4293">
        <v>1924</v>
      </c>
      <c r="M25" s="4293"/>
    </row>
    <row r="26" spans="1:13">
      <c r="A26" s="4293" t="s">
        <v>4273</v>
      </c>
      <c r="B26" s="4293" t="s">
        <v>4261</v>
      </c>
      <c r="C26" s="4293" t="s">
        <v>4272</v>
      </c>
      <c r="D26" s="4293">
        <v>4</v>
      </c>
      <c r="E26" s="4293">
        <v>177</v>
      </c>
      <c r="F26" s="4293">
        <f t="shared" si="0"/>
        <v>44.25</v>
      </c>
      <c r="G26" s="4293">
        <v>24331</v>
      </c>
      <c r="H26" s="4293">
        <v>430.85</v>
      </c>
      <c r="I26" s="4293" t="s">
        <v>627</v>
      </c>
      <c r="J26" s="4293" t="s">
        <v>627</v>
      </c>
      <c r="K26" s="4293">
        <v>102</v>
      </c>
      <c r="L26" s="4293">
        <v>2951</v>
      </c>
      <c r="M26" s="4293"/>
    </row>
    <row r="27" spans="1:13">
      <c r="A27" s="4293" t="s">
        <v>4374</v>
      </c>
      <c r="B27" s="4293" t="s">
        <v>4261</v>
      </c>
      <c r="C27" s="4293" t="s">
        <v>4310</v>
      </c>
      <c r="D27" s="4293">
        <v>4</v>
      </c>
      <c r="E27" s="4293">
        <v>1257</v>
      </c>
      <c r="F27" s="4293">
        <f t="shared" si="0"/>
        <v>314.25</v>
      </c>
      <c r="G27" s="4293">
        <v>124</v>
      </c>
      <c r="H27" s="4293">
        <v>15.58</v>
      </c>
      <c r="I27" s="4293">
        <v>4</v>
      </c>
      <c r="J27" s="4293">
        <v>1257</v>
      </c>
      <c r="K27" s="4293" t="s">
        <v>627</v>
      </c>
      <c r="L27" s="4293" t="s">
        <v>627</v>
      </c>
      <c r="M27" s="4293"/>
    </row>
    <row r="28" spans="1:13">
      <c r="A28" s="4293" t="s">
        <v>4373</v>
      </c>
      <c r="B28" s="4293" t="s">
        <v>4261</v>
      </c>
      <c r="C28" s="4293" t="s">
        <v>4310</v>
      </c>
      <c r="D28" s="4293">
        <v>3</v>
      </c>
      <c r="E28" s="4293">
        <v>56</v>
      </c>
      <c r="F28" s="4293">
        <f t="shared" si="0"/>
        <v>18.670000000000002</v>
      </c>
      <c r="G28" s="4293">
        <v>9934</v>
      </c>
      <c r="H28" s="4293">
        <v>56.06</v>
      </c>
      <c r="I28" s="4293" t="s">
        <v>627</v>
      </c>
      <c r="J28" s="4293" t="s">
        <v>627</v>
      </c>
      <c r="K28" s="4293" t="s">
        <v>627</v>
      </c>
      <c r="L28" s="4293" t="s">
        <v>627</v>
      </c>
      <c r="M28" s="4293"/>
    </row>
    <row r="29" spans="1:13">
      <c r="A29" s="4293" t="s">
        <v>4340</v>
      </c>
      <c r="B29" s="4293" t="s">
        <v>4261</v>
      </c>
      <c r="C29" s="4293" t="s">
        <v>4339</v>
      </c>
      <c r="D29" s="4293">
        <v>3</v>
      </c>
      <c r="E29" s="4293">
        <v>36</v>
      </c>
      <c r="F29" s="4293">
        <f t="shared" si="0"/>
        <v>12</v>
      </c>
      <c r="G29" s="4293">
        <v>11464</v>
      </c>
      <c r="H29" s="4293">
        <v>41.66</v>
      </c>
      <c r="I29" s="4293" t="s">
        <v>627</v>
      </c>
      <c r="J29" s="4293" t="s">
        <v>627</v>
      </c>
      <c r="K29" s="4293">
        <v>2</v>
      </c>
      <c r="L29" s="4293">
        <v>20</v>
      </c>
      <c r="M29" s="4293"/>
    </row>
    <row r="30" spans="1:13">
      <c r="A30" s="4293" t="s">
        <v>4302</v>
      </c>
      <c r="B30" s="4293" t="s">
        <v>4261</v>
      </c>
      <c r="C30" s="4293" t="s">
        <v>4301</v>
      </c>
      <c r="D30" s="4293">
        <v>2</v>
      </c>
      <c r="E30" s="4293">
        <v>58</v>
      </c>
      <c r="F30" s="4293">
        <f t="shared" si="0"/>
        <v>29</v>
      </c>
      <c r="G30" s="4293">
        <v>15000</v>
      </c>
      <c r="H30" s="4293">
        <v>87.47</v>
      </c>
      <c r="I30" s="4293" t="s">
        <v>627</v>
      </c>
      <c r="J30" s="4293" t="s">
        <v>627</v>
      </c>
      <c r="K30" s="4293">
        <v>79</v>
      </c>
      <c r="L30" s="4293">
        <v>3442</v>
      </c>
      <c r="M30" s="4293"/>
    </row>
    <row r="31" spans="1:13">
      <c r="A31" s="4293" t="s">
        <v>4306</v>
      </c>
      <c r="B31" s="4293" t="s">
        <v>4261</v>
      </c>
      <c r="C31" s="4293" t="s">
        <v>4305</v>
      </c>
      <c r="D31" s="4293">
        <v>2</v>
      </c>
      <c r="E31" s="4293">
        <v>210</v>
      </c>
      <c r="F31" s="4293">
        <f t="shared" si="0"/>
        <v>105</v>
      </c>
      <c r="G31" s="4293">
        <v>16452</v>
      </c>
      <c r="H31" s="4293">
        <v>345.28</v>
      </c>
      <c r="I31" s="4293">
        <v>1</v>
      </c>
      <c r="J31" s="4293">
        <v>63</v>
      </c>
      <c r="K31" s="4293">
        <v>132</v>
      </c>
      <c r="L31" s="4293">
        <v>3482</v>
      </c>
      <c r="M31" s="4293"/>
    </row>
    <row r="32" spans="1:13">
      <c r="A32" s="4293" t="s">
        <v>4372</v>
      </c>
      <c r="B32" s="4293" t="s">
        <v>4261</v>
      </c>
      <c r="C32" s="4293" t="s">
        <v>4270</v>
      </c>
      <c r="D32" s="4293">
        <v>1</v>
      </c>
      <c r="E32" s="4293">
        <v>21</v>
      </c>
      <c r="F32" s="4293">
        <f t="shared" si="0"/>
        <v>21</v>
      </c>
      <c r="G32" s="4293">
        <v>9401</v>
      </c>
      <c r="H32" s="4293">
        <v>20.03</v>
      </c>
      <c r="I32" s="4293" t="s">
        <v>627</v>
      </c>
      <c r="J32" s="4293" t="s">
        <v>627</v>
      </c>
      <c r="K32" s="4293">
        <v>14</v>
      </c>
      <c r="L32" s="4293">
        <v>904</v>
      </c>
      <c r="M32" s="4293"/>
    </row>
    <row r="33" spans="1:13">
      <c r="A33" s="4293" t="s">
        <v>4309</v>
      </c>
      <c r="B33" s="4293" t="s">
        <v>4261</v>
      </c>
      <c r="C33" s="4293" t="s">
        <v>4260</v>
      </c>
      <c r="D33" s="4293">
        <v>1</v>
      </c>
      <c r="E33" s="4293">
        <v>94</v>
      </c>
      <c r="F33" s="4293">
        <f t="shared" si="0"/>
        <v>94</v>
      </c>
      <c r="G33" s="4293">
        <v>1061</v>
      </c>
      <c r="H33" s="4293">
        <v>10</v>
      </c>
      <c r="I33" s="4293" t="s">
        <v>627</v>
      </c>
      <c r="J33" s="4293" t="s">
        <v>627</v>
      </c>
      <c r="K33" s="4293">
        <v>4</v>
      </c>
      <c r="L33" s="4293">
        <v>219</v>
      </c>
      <c r="M33" s="4293"/>
    </row>
    <row r="34" spans="1:13">
      <c r="A34" s="4293" t="s">
        <v>4259</v>
      </c>
      <c r="B34" s="4293" t="s">
        <v>4261</v>
      </c>
      <c r="C34" s="4293" t="s">
        <v>4274</v>
      </c>
      <c r="D34" s="4293" t="s">
        <v>627</v>
      </c>
      <c r="E34" s="4293" t="s">
        <v>627</v>
      </c>
      <c r="F34" s="4293" t="e">
        <f t="shared" si="0"/>
        <v>#VALUE!</v>
      </c>
      <c r="G34" s="4293" t="s">
        <v>627</v>
      </c>
      <c r="H34" s="4293" t="s">
        <v>627</v>
      </c>
      <c r="I34" s="4293">
        <v>40</v>
      </c>
      <c r="J34" s="4293">
        <v>1013</v>
      </c>
      <c r="K34" s="4293">
        <v>40</v>
      </c>
      <c r="L34" s="4293">
        <v>1013</v>
      </c>
      <c r="M34" s="4293"/>
    </row>
    <row r="35" spans="1:13">
      <c r="A35" s="4293" t="s">
        <v>4371</v>
      </c>
      <c r="B35" s="4293" t="s">
        <v>4261</v>
      </c>
      <c r="C35" s="4293" t="s">
        <v>4315</v>
      </c>
      <c r="D35" s="4293" t="s">
        <v>627</v>
      </c>
      <c r="E35" s="4293" t="s">
        <v>627</v>
      </c>
      <c r="F35" s="4293" t="e">
        <f t="shared" si="0"/>
        <v>#VALUE!</v>
      </c>
      <c r="G35" s="4293" t="s">
        <v>627</v>
      </c>
      <c r="H35" s="4293" t="s">
        <v>627</v>
      </c>
      <c r="I35" s="4293">
        <v>38</v>
      </c>
      <c r="J35" s="4293">
        <v>2961</v>
      </c>
      <c r="K35" s="4293">
        <v>38</v>
      </c>
      <c r="L35" s="4293">
        <v>2961</v>
      </c>
      <c r="M35" s="4293"/>
    </row>
    <row r="36" spans="1:13">
      <c r="A36" s="4293" t="s">
        <v>4304</v>
      </c>
      <c r="B36" s="4293" t="s">
        <v>4261</v>
      </c>
      <c r="C36" s="4293" t="s">
        <v>4270</v>
      </c>
      <c r="D36" s="4293" t="s">
        <v>627</v>
      </c>
      <c r="E36" s="4293" t="s">
        <v>627</v>
      </c>
      <c r="F36" s="4293" t="e">
        <f t="shared" si="0"/>
        <v>#VALUE!</v>
      </c>
      <c r="G36" s="4293" t="s">
        <v>627</v>
      </c>
      <c r="H36" s="4293" t="s">
        <v>627</v>
      </c>
      <c r="I36" s="4293" t="s">
        <v>627</v>
      </c>
      <c r="J36" s="4293" t="s">
        <v>627</v>
      </c>
      <c r="K36" s="4293">
        <v>13</v>
      </c>
      <c r="L36" s="4293">
        <v>1210</v>
      </c>
      <c r="M36" s="4293"/>
    </row>
    <row r="37" spans="1:13">
      <c r="A37" s="4293" t="s">
        <v>4370</v>
      </c>
      <c r="B37" s="4293" t="s">
        <v>4261</v>
      </c>
      <c r="C37" s="4293" t="s">
        <v>4270</v>
      </c>
      <c r="D37" s="4293" t="s">
        <v>627</v>
      </c>
      <c r="E37" s="4293" t="s">
        <v>627</v>
      </c>
      <c r="F37" s="4293" t="e">
        <f t="shared" si="0"/>
        <v>#VALUE!</v>
      </c>
      <c r="G37" s="4293" t="s">
        <v>627</v>
      </c>
      <c r="H37" s="4293" t="s">
        <v>627</v>
      </c>
      <c r="I37" s="4293" t="s">
        <v>627</v>
      </c>
      <c r="J37" s="4293" t="s">
        <v>627</v>
      </c>
      <c r="K37" s="4293">
        <v>17</v>
      </c>
      <c r="L37" s="4293">
        <v>1515</v>
      </c>
      <c r="M37" s="4293"/>
    </row>
    <row r="38" spans="1:13">
      <c r="A38" s="4293" t="s">
        <v>4369</v>
      </c>
      <c r="B38" s="4293" t="s">
        <v>4261</v>
      </c>
      <c r="C38" s="4293" t="s">
        <v>4287</v>
      </c>
      <c r="D38" s="4293" t="s">
        <v>627</v>
      </c>
      <c r="E38" s="4293" t="s">
        <v>627</v>
      </c>
      <c r="F38" s="4293" t="e">
        <f t="shared" si="0"/>
        <v>#VALUE!</v>
      </c>
      <c r="G38" s="4293" t="s">
        <v>627</v>
      </c>
      <c r="H38" s="4293" t="s">
        <v>627</v>
      </c>
      <c r="I38" s="4293" t="s">
        <v>627</v>
      </c>
      <c r="J38" s="4293" t="s">
        <v>627</v>
      </c>
      <c r="K38" s="4293">
        <v>58</v>
      </c>
      <c r="L38" s="4293">
        <v>2565</v>
      </c>
      <c r="M38" s="4293"/>
    </row>
    <row r="39" spans="1:13">
      <c r="A39" s="4293" t="s">
        <v>4326</v>
      </c>
      <c r="B39" s="4293" t="s">
        <v>4261</v>
      </c>
      <c r="C39" s="4293" t="s">
        <v>4283</v>
      </c>
      <c r="D39" s="4293" t="s">
        <v>627</v>
      </c>
      <c r="E39" s="4293" t="s">
        <v>627</v>
      </c>
      <c r="F39" s="4293" t="e">
        <f t="shared" si="0"/>
        <v>#VALUE!</v>
      </c>
      <c r="G39" s="4293" t="s">
        <v>627</v>
      </c>
      <c r="H39" s="4293" t="s">
        <v>627</v>
      </c>
      <c r="I39" s="4293" t="s">
        <v>627</v>
      </c>
      <c r="J39" s="4293" t="s">
        <v>627</v>
      </c>
      <c r="K39" s="4293">
        <v>175</v>
      </c>
      <c r="L39" s="4293">
        <v>5768</v>
      </c>
      <c r="M39" s="4293"/>
    </row>
    <row r="40" spans="1:13">
      <c r="A40" s="4293" t="s">
        <v>4368</v>
      </c>
      <c r="B40" s="4293" t="s">
        <v>4261</v>
      </c>
      <c r="C40" s="4293" t="s">
        <v>4277</v>
      </c>
      <c r="D40" s="4293" t="s">
        <v>627</v>
      </c>
      <c r="E40" s="4293" t="s">
        <v>627</v>
      </c>
      <c r="F40" s="4293" t="e">
        <f t="shared" si="0"/>
        <v>#VALUE!</v>
      </c>
      <c r="G40" s="4293" t="s">
        <v>627</v>
      </c>
      <c r="H40" s="4293" t="s">
        <v>627</v>
      </c>
      <c r="I40" s="4293" t="s">
        <v>627</v>
      </c>
      <c r="J40" s="4293" t="s">
        <v>627</v>
      </c>
      <c r="K40" s="4293">
        <v>25</v>
      </c>
      <c r="L40" s="4293">
        <v>1643</v>
      </c>
      <c r="M40" s="4293"/>
    </row>
    <row r="41" spans="1:13">
      <c r="A41" s="4293" t="s">
        <v>4314</v>
      </c>
      <c r="B41" s="4293" t="s">
        <v>4261</v>
      </c>
      <c r="C41" s="4293" t="s">
        <v>4268</v>
      </c>
      <c r="D41" s="4293" t="s">
        <v>627</v>
      </c>
      <c r="E41" s="4293" t="s">
        <v>627</v>
      </c>
      <c r="F41" s="4293" t="e">
        <f t="shared" si="0"/>
        <v>#VALUE!</v>
      </c>
      <c r="G41" s="4293" t="s">
        <v>627</v>
      </c>
      <c r="H41" s="4293" t="s">
        <v>627</v>
      </c>
      <c r="I41" s="4293" t="s">
        <v>627</v>
      </c>
      <c r="J41" s="4293" t="s">
        <v>627</v>
      </c>
      <c r="K41" s="4293">
        <v>6</v>
      </c>
      <c r="L41" s="4293">
        <v>1047</v>
      </c>
      <c r="M41" s="4293"/>
    </row>
    <row r="42" spans="1:13">
      <c r="A42" s="4293" t="s">
        <v>4319</v>
      </c>
      <c r="B42" s="4293" t="s">
        <v>4261</v>
      </c>
      <c r="C42" s="4293" t="s">
        <v>4287</v>
      </c>
      <c r="D42" s="4293" t="s">
        <v>627</v>
      </c>
      <c r="E42" s="4293" t="s">
        <v>627</v>
      </c>
      <c r="F42" s="4293" t="e">
        <f t="shared" si="0"/>
        <v>#VALUE!</v>
      </c>
      <c r="G42" s="4293" t="s">
        <v>627</v>
      </c>
      <c r="H42" s="4293" t="s">
        <v>627</v>
      </c>
      <c r="I42" s="4293" t="s">
        <v>627</v>
      </c>
      <c r="J42" s="4293" t="s">
        <v>627</v>
      </c>
      <c r="K42" s="4293">
        <v>1</v>
      </c>
      <c r="L42" s="4293">
        <v>12</v>
      </c>
      <c r="M42" s="4293"/>
    </row>
    <row r="43" spans="1:13">
      <c r="A43" s="4293" t="s">
        <v>4367</v>
      </c>
      <c r="B43" s="4293" t="s">
        <v>4261</v>
      </c>
      <c r="C43" s="4293" t="s">
        <v>4260</v>
      </c>
      <c r="D43" s="4293" t="s">
        <v>627</v>
      </c>
      <c r="E43" s="4293" t="s">
        <v>627</v>
      </c>
      <c r="F43" s="4293" t="e">
        <f t="shared" si="0"/>
        <v>#VALUE!</v>
      </c>
      <c r="G43" s="4293" t="s">
        <v>627</v>
      </c>
      <c r="H43" s="4293" t="s">
        <v>627</v>
      </c>
      <c r="I43" s="4293" t="s">
        <v>627</v>
      </c>
      <c r="J43" s="4293" t="s">
        <v>627</v>
      </c>
      <c r="K43" s="4293">
        <v>1</v>
      </c>
      <c r="L43" s="4293">
        <v>287</v>
      </c>
      <c r="M43" s="4293"/>
    </row>
    <row r="44" spans="1:13">
      <c r="A44" s="4293" t="s">
        <v>4366</v>
      </c>
      <c r="B44" s="4293" t="s">
        <v>4261</v>
      </c>
      <c r="C44" s="4293" t="s">
        <v>4263</v>
      </c>
      <c r="D44" s="4293" t="s">
        <v>627</v>
      </c>
      <c r="E44" s="4293" t="s">
        <v>627</v>
      </c>
      <c r="F44" s="4293" t="e">
        <f t="shared" si="0"/>
        <v>#VALUE!</v>
      </c>
      <c r="G44" s="4293" t="s">
        <v>627</v>
      </c>
      <c r="H44" s="4293" t="s">
        <v>627</v>
      </c>
      <c r="I44" s="4293" t="s">
        <v>627</v>
      </c>
      <c r="J44" s="4293" t="s">
        <v>627</v>
      </c>
      <c r="K44" s="4293">
        <v>92</v>
      </c>
      <c r="L44" s="4293">
        <v>4458</v>
      </c>
      <c r="M44" s="4293"/>
    </row>
    <row r="45" spans="1:13">
      <c r="A45" s="4293" t="s">
        <v>4271</v>
      </c>
      <c r="B45" s="4293" t="s">
        <v>4261</v>
      </c>
      <c r="C45" s="4293" t="s">
        <v>4270</v>
      </c>
      <c r="D45" s="4293" t="s">
        <v>627</v>
      </c>
      <c r="E45" s="4293" t="s">
        <v>627</v>
      </c>
      <c r="F45" s="4293" t="e">
        <f t="shared" si="0"/>
        <v>#VALUE!</v>
      </c>
      <c r="G45" s="4293" t="s">
        <v>627</v>
      </c>
      <c r="H45" s="4293" t="s">
        <v>627</v>
      </c>
      <c r="I45" s="4293" t="s">
        <v>627</v>
      </c>
      <c r="J45" s="4293" t="s">
        <v>627</v>
      </c>
      <c r="K45" s="4293">
        <v>630</v>
      </c>
      <c r="L45" s="4293">
        <v>16490</v>
      </c>
      <c r="M45" s="4293"/>
    </row>
  </sheetData>
  <phoneticPr fontId="137"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6CB6-7E40-4492-B1E2-479FEF3DC8F8}">
  <sheetPr>
    <tabColor theme="4" tint="0.59999389629810485"/>
  </sheetPr>
  <dimension ref="A1:I90"/>
  <sheetViews>
    <sheetView topLeftCell="A70" zoomScaleNormal="100" workbookViewId="0">
      <selection activeCell="H91" sqref="H91"/>
    </sheetView>
  </sheetViews>
  <sheetFormatPr defaultRowHeight="13.5"/>
  <cols>
    <col min="1" max="1" width="10.5" style="4273"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73"/>
  </cols>
  <sheetData>
    <row r="1" spans="1:9">
      <c r="A1" s="4272" t="s">
        <v>4188</v>
      </c>
      <c r="B1" s="4272" t="s">
        <v>4189</v>
      </c>
      <c r="C1" s="4272" t="s">
        <v>4190</v>
      </c>
      <c r="D1" s="4272" t="s">
        <v>4191</v>
      </c>
      <c r="E1" s="4272" t="s">
        <v>4192</v>
      </c>
      <c r="F1" s="4272" t="s">
        <v>4193</v>
      </c>
      <c r="G1" s="4272" t="s">
        <v>4194</v>
      </c>
      <c r="H1" s="4272" t="s">
        <v>4195</v>
      </c>
      <c r="I1" s="4272" t="s">
        <v>4196</v>
      </c>
    </row>
    <row r="2" spans="1:9">
      <c r="A2" s="4272" t="s">
        <v>4197</v>
      </c>
      <c r="B2" s="4272">
        <v>125</v>
      </c>
      <c r="C2" s="4274">
        <v>14654</v>
      </c>
      <c r="D2" s="4274">
        <v>78435</v>
      </c>
      <c r="E2" s="4275">
        <v>114941.46</v>
      </c>
      <c r="F2" s="4272">
        <v>439</v>
      </c>
      <c r="G2" s="4274">
        <v>53892</v>
      </c>
      <c r="H2" s="4272" t="s">
        <v>627</v>
      </c>
      <c r="I2" s="4272" t="s">
        <v>627</v>
      </c>
    </row>
    <row r="3" spans="1:9">
      <c r="A3" s="4276">
        <v>46054</v>
      </c>
      <c r="B3" s="4272">
        <v>4</v>
      </c>
      <c r="C3" s="4272">
        <v>507</v>
      </c>
      <c r="D3" s="4274">
        <v>78021</v>
      </c>
      <c r="E3" s="4275">
        <v>3951.92</v>
      </c>
      <c r="F3" s="4272" t="s">
        <v>627</v>
      </c>
      <c r="G3" s="4272" t="s">
        <v>627</v>
      </c>
      <c r="H3" s="4272" t="s">
        <v>627</v>
      </c>
      <c r="I3" s="4272" t="s">
        <v>627</v>
      </c>
    </row>
    <row r="4" spans="1:9">
      <c r="A4" s="4276">
        <v>46023</v>
      </c>
      <c r="B4" s="4272">
        <v>6</v>
      </c>
      <c r="C4" s="4272">
        <v>714</v>
      </c>
      <c r="D4" s="4274">
        <v>77837</v>
      </c>
      <c r="E4" s="4275">
        <v>5560.38</v>
      </c>
      <c r="F4" s="4272" t="s">
        <v>627</v>
      </c>
      <c r="G4" s="4272" t="s">
        <v>627</v>
      </c>
      <c r="H4" s="4272">
        <v>317</v>
      </c>
      <c r="I4" s="4274">
        <v>39631</v>
      </c>
    </row>
    <row r="5" spans="1:9">
      <c r="A5" s="4276">
        <v>45992</v>
      </c>
      <c r="B5" s="4272">
        <v>14</v>
      </c>
      <c r="C5" s="4274">
        <v>1509</v>
      </c>
      <c r="D5" s="4274">
        <v>75444</v>
      </c>
      <c r="E5" s="4275">
        <v>11387.43</v>
      </c>
      <c r="F5" s="4272" t="s">
        <v>627</v>
      </c>
      <c r="G5" s="4272" t="s">
        <v>627</v>
      </c>
      <c r="H5" s="4272">
        <v>318</v>
      </c>
      <c r="I5" s="4274">
        <v>39738</v>
      </c>
    </row>
    <row r="6" spans="1:9">
      <c r="A6" s="4276">
        <v>45962</v>
      </c>
      <c r="B6" s="4272">
        <v>4</v>
      </c>
      <c r="C6" s="4272">
        <v>486</v>
      </c>
      <c r="D6" s="4274">
        <v>77928</v>
      </c>
      <c r="E6" s="4275">
        <v>3786.2</v>
      </c>
      <c r="F6" s="4272" t="s">
        <v>627</v>
      </c>
      <c r="G6" s="4272" t="s">
        <v>627</v>
      </c>
      <c r="H6" s="4272">
        <v>332</v>
      </c>
      <c r="I6" s="4274">
        <v>41249</v>
      </c>
    </row>
    <row r="7" spans="1:9">
      <c r="A7" s="4276">
        <v>45931</v>
      </c>
      <c r="B7" s="4272">
        <v>11</v>
      </c>
      <c r="C7" s="4274">
        <v>1273</v>
      </c>
      <c r="D7" s="4274">
        <v>77056</v>
      </c>
      <c r="E7" s="4275">
        <v>9806.59</v>
      </c>
      <c r="F7" s="4272" t="s">
        <v>627</v>
      </c>
      <c r="G7" s="4272" t="s">
        <v>627</v>
      </c>
      <c r="H7" s="4272">
        <v>336</v>
      </c>
      <c r="I7" s="4274">
        <v>41735</v>
      </c>
    </row>
    <row r="8" spans="1:9">
      <c r="A8" s="4276">
        <v>45901</v>
      </c>
      <c r="B8" s="4272">
        <v>17</v>
      </c>
      <c r="C8" s="4274">
        <v>1994</v>
      </c>
      <c r="D8" s="4274">
        <v>78524</v>
      </c>
      <c r="E8" s="4275">
        <v>15658.19</v>
      </c>
      <c r="F8" s="4272" t="s">
        <v>627</v>
      </c>
      <c r="G8" s="4272" t="s">
        <v>627</v>
      </c>
      <c r="H8" s="4272">
        <v>344</v>
      </c>
      <c r="I8" s="4274">
        <v>42669</v>
      </c>
    </row>
    <row r="9" spans="1:9">
      <c r="A9" s="4276">
        <v>45870</v>
      </c>
      <c r="B9" s="4272">
        <v>15</v>
      </c>
      <c r="C9" s="4274">
        <v>1725</v>
      </c>
      <c r="D9" s="4274">
        <v>78184</v>
      </c>
      <c r="E9" s="4275">
        <v>13488.23</v>
      </c>
      <c r="F9" s="4272" t="s">
        <v>627</v>
      </c>
      <c r="G9" s="4272" t="s">
        <v>627</v>
      </c>
      <c r="H9" s="4272">
        <v>366</v>
      </c>
      <c r="I9" s="4274">
        <v>45248</v>
      </c>
    </row>
    <row r="10" spans="1:9">
      <c r="A10" s="4276">
        <v>45839</v>
      </c>
      <c r="B10" s="4272">
        <v>9</v>
      </c>
      <c r="C10" s="4274">
        <v>1053</v>
      </c>
      <c r="D10" s="4274">
        <v>80267</v>
      </c>
      <c r="E10" s="4275">
        <v>8454.17</v>
      </c>
      <c r="F10" s="4272" t="s">
        <v>627</v>
      </c>
      <c r="G10" s="4272" t="s">
        <v>627</v>
      </c>
      <c r="H10" s="4272">
        <v>382</v>
      </c>
      <c r="I10" s="4274">
        <v>47085</v>
      </c>
    </row>
    <row r="11" spans="1:9">
      <c r="A11" s="4276">
        <v>45809</v>
      </c>
      <c r="B11" s="4272">
        <v>14</v>
      </c>
      <c r="C11" s="4274">
        <v>1704</v>
      </c>
      <c r="D11" s="4274">
        <v>79804</v>
      </c>
      <c r="E11" s="4275">
        <v>13601.48</v>
      </c>
      <c r="F11" s="4272" t="s">
        <v>627</v>
      </c>
      <c r="G11" s="4272" t="s">
        <v>627</v>
      </c>
      <c r="H11" s="4272">
        <v>392</v>
      </c>
      <c r="I11" s="4274">
        <v>48251</v>
      </c>
    </row>
    <row r="12" spans="1:9">
      <c r="A12" s="4276">
        <v>45778</v>
      </c>
      <c r="B12" s="4272">
        <v>31</v>
      </c>
      <c r="C12" s="4274">
        <v>3689</v>
      </c>
      <c r="D12" s="4274">
        <v>79286</v>
      </c>
      <c r="E12" s="4275">
        <v>29246.87</v>
      </c>
      <c r="F12" s="4272" t="s">
        <v>627</v>
      </c>
      <c r="G12" s="4272" t="s">
        <v>627</v>
      </c>
      <c r="H12" s="4272">
        <v>406</v>
      </c>
      <c r="I12" s="4274">
        <v>49956</v>
      </c>
    </row>
    <row r="13" spans="1:9">
      <c r="A13" s="4276"/>
      <c r="B13" s="4272"/>
      <c r="C13" s="4274">
        <f>SUM(C2:C12)</f>
        <v>29308</v>
      </c>
      <c r="D13" s="4272">
        <f>ROUND(E13/C13*10000,0)</f>
        <v>78437</v>
      </c>
      <c r="E13" s="4275">
        <f>SUM(E2:E12)</f>
        <v>229882.92000000004</v>
      </c>
      <c r="F13" s="4272"/>
      <c r="G13" s="4272"/>
      <c r="H13" s="4272"/>
      <c r="I13" s="4274"/>
    </row>
    <row r="14" spans="1:9">
      <c r="A14" s="4277"/>
      <c r="C14" s="4278"/>
      <c r="D14" s="4278"/>
      <c r="E14" s="4279"/>
      <c r="I14" s="4278"/>
    </row>
    <row r="15" spans="1:9">
      <c r="A15" s="4277">
        <v>45748</v>
      </c>
      <c r="B15" s="4273" t="s">
        <v>627</v>
      </c>
      <c r="C15" s="4273" t="s">
        <v>627</v>
      </c>
      <c r="D15" s="4273" t="s">
        <v>627</v>
      </c>
      <c r="E15" s="4273" t="s">
        <v>627</v>
      </c>
      <c r="F15" s="4273">
        <v>439</v>
      </c>
      <c r="G15" s="4278">
        <v>53892</v>
      </c>
      <c r="H15" s="4273">
        <v>439</v>
      </c>
      <c r="I15" s="4278">
        <v>53892</v>
      </c>
    </row>
    <row r="87" spans="2:5">
      <c r="C87" s="4291"/>
      <c r="D87" s="4291"/>
      <c r="E87" s="4291"/>
    </row>
    <row r="88" spans="2:5">
      <c r="B88" s="4291"/>
    </row>
    <row r="89" spans="2:5">
      <c r="B89" s="4291"/>
    </row>
    <row r="90" spans="2:5">
      <c r="B90" s="4291"/>
    </row>
  </sheetData>
  <phoneticPr fontId="13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5DA6-85FA-4A7D-AAC7-A9D216461DCC}">
  <sheetPr>
    <tabColor theme="4" tint="0.59999389629810485"/>
  </sheetPr>
  <dimension ref="A1:I27"/>
  <sheetViews>
    <sheetView workbookViewId="0">
      <selection activeCell="E11" sqref="E11"/>
    </sheetView>
  </sheetViews>
  <sheetFormatPr defaultRowHeight="13.5"/>
  <cols>
    <col min="1" max="1" width="10.5" style="4273"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73"/>
  </cols>
  <sheetData>
    <row r="1" spans="1:9">
      <c r="A1" s="4272" t="s">
        <v>4188</v>
      </c>
      <c r="B1" s="4272" t="s">
        <v>4189</v>
      </c>
      <c r="C1" s="4272" t="s">
        <v>4190</v>
      </c>
      <c r="D1" s="4272" t="s">
        <v>4191</v>
      </c>
      <c r="E1" s="4272" t="s">
        <v>4192</v>
      </c>
      <c r="F1" s="4272" t="s">
        <v>4193</v>
      </c>
      <c r="G1" s="4272" t="s">
        <v>4194</v>
      </c>
      <c r="H1" s="4272" t="s">
        <v>4195</v>
      </c>
      <c r="I1" s="4272" t="s">
        <v>4196</v>
      </c>
    </row>
    <row r="2" spans="1:9">
      <c r="A2" s="4272" t="s">
        <v>4197</v>
      </c>
      <c r="B2" s="4272">
        <v>300</v>
      </c>
      <c r="C2" s="4274">
        <v>38694</v>
      </c>
      <c r="D2" s="4274">
        <v>80682</v>
      </c>
      <c r="E2" s="4275">
        <v>312186.74</v>
      </c>
      <c r="F2" s="4272">
        <v>838</v>
      </c>
      <c r="G2" s="4274">
        <v>113269</v>
      </c>
      <c r="H2" s="4272">
        <v>536</v>
      </c>
      <c r="I2" s="4274">
        <v>74331</v>
      </c>
    </row>
    <row r="3" spans="1:9">
      <c r="A3" s="4276">
        <v>46023</v>
      </c>
      <c r="B3" s="4272">
        <v>12</v>
      </c>
      <c r="C3" s="4274">
        <v>1784</v>
      </c>
      <c r="D3" s="4274">
        <v>83944</v>
      </c>
      <c r="E3" s="4275">
        <v>14977.37</v>
      </c>
      <c r="F3" s="4272" t="s">
        <v>627</v>
      </c>
      <c r="G3" s="4272" t="s">
        <v>627</v>
      </c>
      <c r="H3" s="4272">
        <v>536</v>
      </c>
      <c r="I3" s="4274">
        <v>74331</v>
      </c>
    </row>
    <row r="4" spans="1:9">
      <c r="A4" s="4276">
        <v>45992</v>
      </c>
      <c r="B4" s="4272">
        <v>17</v>
      </c>
      <c r="C4" s="4274">
        <v>2142</v>
      </c>
      <c r="D4" s="4274">
        <v>80322</v>
      </c>
      <c r="E4" s="4275">
        <v>17208.54</v>
      </c>
      <c r="F4" s="4272" t="s">
        <v>627</v>
      </c>
      <c r="G4" s="4272" t="s">
        <v>627</v>
      </c>
      <c r="H4" s="4272">
        <v>548</v>
      </c>
      <c r="I4" s="4274">
        <v>76115</v>
      </c>
    </row>
    <row r="5" spans="1:9">
      <c r="A5" s="4276">
        <v>45962</v>
      </c>
      <c r="B5" s="4272">
        <v>7</v>
      </c>
      <c r="C5" s="4272">
        <v>915</v>
      </c>
      <c r="D5" s="4274">
        <v>79335</v>
      </c>
      <c r="E5" s="4275">
        <v>7259.14</v>
      </c>
      <c r="F5" s="4272" t="s">
        <v>627</v>
      </c>
      <c r="G5" s="4272" t="s">
        <v>627</v>
      </c>
      <c r="H5" s="4272">
        <v>563</v>
      </c>
      <c r="I5" s="4274">
        <v>78014</v>
      </c>
    </row>
    <row r="6" spans="1:9">
      <c r="A6" s="4276">
        <v>45931</v>
      </c>
      <c r="B6" s="4272">
        <v>14</v>
      </c>
      <c r="C6" s="4274">
        <v>1842</v>
      </c>
      <c r="D6" s="4274">
        <v>80054</v>
      </c>
      <c r="E6" s="4275">
        <v>14744.36</v>
      </c>
      <c r="F6" s="4272" t="s">
        <v>627</v>
      </c>
      <c r="G6" s="4272" t="s">
        <v>627</v>
      </c>
      <c r="H6" s="4272">
        <v>571</v>
      </c>
      <c r="I6" s="4274">
        <v>79051</v>
      </c>
    </row>
    <row r="7" spans="1:9">
      <c r="A7" s="4276">
        <v>45901</v>
      </c>
      <c r="B7" s="4272">
        <v>12</v>
      </c>
      <c r="C7" s="4274">
        <v>1683</v>
      </c>
      <c r="D7" s="4274">
        <v>82134</v>
      </c>
      <c r="E7" s="4275">
        <v>13821.1</v>
      </c>
      <c r="F7" s="4272" t="s">
        <v>627</v>
      </c>
      <c r="G7" s="4272" t="s">
        <v>627</v>
      </c>
      <c r="H7" s="4272">
        <v>581</v>
      </c>
      <c r="I7" s="4274">
        <v>80368</v>
      </c>
    </row>
    <row r="8" spans="1:9">
      <c r="A8" s="4276">
        <v>45870</v>
      </c>
      <c r="B8" s="4272">
        <v>13</v>
      </c>
      <c r="C8" s="4274">
        <v>1775</v>
      </c>
      <c r="D8" s="4274">
        <v>80590</v>
      </c>
      <c r="E8" s="4275">
        <v>14307.09</v>
      </c>
      <c r="F8" s="4272" t="s">
        <v>627</v>
      </c>
      <c r="G8" s="4272" t="s">
        <v>627</v>
      </c>
      <c r="H8" s="4272">
        <v>597</v>
      </c>
      <c r="I8" s="4274">
        <v>82576</v>
      </c>
    </row>
    <row r="9" spans="1:9">
      <c r="A9" s="4276">
        <v>45839</v>
      </c>
      <c r="B9" s="4272">
        <v>8</v>
      </c>
      <c r="C9" s="4274">
        <v>1015</v>
      </c>
      <c r="D9" s="4274">
        <v>80095</v>
      </c>
      <c r="E9" s="4275">
        <v>8128.75</v>
      </c>
      <c r="F9" s="4272" t="s">
        <v>627</v>
      </c>
      <c r="G9" s="4272" t="s">
        <v>627</v>
      </c>
      <c r="H9" s="4272">
        <v>607</v>
      </c>
      <c r="I9" s="4274">
        <v>84009</v>
      </c>
    </row>
    <row r="10" spans="1:9">
      <c r="A10" s="4276">
        <v>45809</v>
      </c>
      <c r="B10" s="4272">
        <v>27</v>
      </c>
      <c r="C10" s="4274">
        <v>3400</v>
      </c>
      <c r="D10" s="4274">
        <v>79326</v>
      </c>
      <c r="E10" s="4275">
        <v>26971.93</v>
      </c>
      <c r="F10" s="4272" t="s">
        <v>627</v>
      </c>
      <c r="G10" s="4272" t="s">
        <v>627</v>
      </c>
      <c r="H10" s="4272">
        <v>618</v>
      </c>
      <c r="I10" s="4274">
        <v>85366</v>
      </c>
    </row>
    <row r="11" spans="1:9">
      <c r="A11" s="4276">
        <v>45778</v>
      </c>
      <c r="B11" s="4272" t="s">
        <v>627</v>
      </c>
      <c r="C11" s="4272" t="s">
        <v>627</v>
      </c>
      <c r="D11" s="4272" t="s">
        <v>627</v>
      </c>
      <c r="E11" s="4272" t="s">
        <v>627</v>
      </c>
      <c r="F11" s="4272" t="s">
        <v>627</v>
      </c>
      <c r="G11" s="4272" t="s">
        <v>627</v>
      </c>
      <c r="H11" s="4272">
        <v>645</v>
      </c>
      <c r="I11" s="4274">
        <v>88766</v>
      </c>
    </row>
    <row r="12" spans="1:9">
      <c r="A12" s="4276">
        <v>45748</v>
      </c>
      <c r="B12" s="4272">
        <v>37</v>
      </c>
      <c r="C12" s="4274">
        <v>4764</v>
      </c>
      <c r="D12" s="4274">
        <v>80113</v>
      </c>
      <c r="E12" s="4275">
        <v>38165.33</v>
      </c>
      <c r="F12" s="4272" t="s">
        <v>627</v>
      </c>
      <c r="G12" s="4272" t="s">
        <v>627</v>
      </c>
      <c r="H12" s="4272">
        <v>645</v>
      </c>
      <c r="I12" s="4274">
        <v>88766</v>
      </c>
    </row>
    <row r="13" spans="1:9">
      <c r="A13" s="4276">
        <v>45717</v>
      </c>
      <c r="B13" s="4272">
        <v>23</v>
      </c>
      <c r="C13" s="4274">
        <v>2955</v>
      </c>
      <c r="D13" s="4274">
        <v>79559</v>
      </c>
      <c r="E13" s="4275">
        <v>23506.36</v>
      </c>
      <c r="F13" s="4272" t="s">
        <v>627</v>
      </c>
      <c r="G13" s="4272" t="s">
        <v>627</v>
      </c>
      <c r="H13" s="4272">
        <v>682</v>
      </c>
      <c r="I13" s="4274">
        <v>93530</v>
      </c>
    </row>
    <row r="14" spans="1:9">
      <c r="A14" s="4280"/>
      <c r="B14" s="4281"/>
      <c r="C14" s="4282">
        <f>SUM(C2:C13)</f>
        <v>60969</v>
      </c>
      <c r="D14" s="4281">
        <f>ROUND(E14/C14*10000,0)</f>
        <v>80578</v>
      </c>
      <c r="E14" s="4283">
        <f>SUM(E2:E13)</f>
        <v>491276.70999999996</v>
      </c>
      <c r="F14" s="4281"/>
      <c r="G14" s="4281"/>
      <c r="H14" s="4281"/>
      <c r="I14" s="4282"/>
    </row>
    <row r="15" spans="1:9">
      <c r="A15" s="4280"/>
      <c r="B15" s="4281"/>
      <c r="C15" s="4282"/>
      <c r="D15" s="4282"/>
      <c r="E15" s="4283"/>
      <c r="F15" s="4281"/>
      <c r="G15" s="4281"/>
      <c r="H15" s="4281"/>
      <c r="I15" s="4282"/>
    </row>
    <row r="16" spans="1:9">
      <c r="A16" s="4277">
        <v>45689</v>
      </c>
      <c r="B16" s="4273">
        <v>14</v>
      </c>
      <c r="C16" s="4278">
        <v>1757</v>
      </c>
      <c r="D16" s="4278">
        <v>80509</v>
      </c>
      <c r="E16" s="4279">
        <v>14148.95</v>
      </c>
      <c r="F16" s="4273" t="s">
        <v>627</v>
      </c>
      <c r="G16" s="4273" t="s">
        <v>627</v>
      </c>
      <c r="H16" s="4273">
        <v>705</v>
      </c>
      <c r="I16" s="4278">
        <v>96461</v>
      </c>
    </row>
    <row r="17" spans="1:9">
      <c r="A17" s="4277">
        <v>45658</v>
      </c>
      <c r="B17" s="4273">
        <v>9</v>
      </c>
      <c r="C17" s="4278">
        <v>1139</v>
      </c>
      <c r="D17" s="4278">
        <v>81993</v>
      </c>
      <c r="E17" s="4279">
        <v>9338.52</v>
      </c>
      <c r="F17" s="4273" t="s">
        <v>627</v>
      </c>
      <c r="G17" s="4273" t="s">
        <v>627</v>
      </c>
      <c r="H17" s="4273">
        <v>717</v>
      </c>
      <c r="I17" s="4278">
        <v>97976</v>
      </c>
    </row>
    <row r="18" spans="1:9">
      <c r="A18" s="4277">
        <v>45627</v>
      </c>
      <c r="B18" s="4273">
        <v>32</v>
      </c>
      <c r="C18" s="4278">
        <v>3979</v>
      </c>
      <c r="D18" s="4278">
        <v>80906</v>
      </c>
      <c r="E18" s="4279">
        <v>32193.47</v>
      </c>
      <c r="F18" s="4273" t="s">
        <v>627</v>
      </c>
      <c r="G18" s="4273" t="s">
        <v>627</v>
      </c>
      <c r="H18" s="4273">
        <v>729</v>
      </c>
      <c r="I18" s="4278">
        <v>99540</v>
      </c>
    </row>
    <row r="19" spans="1:9">
      <c r="A19" s="4277">
        <v>45597</v>
      </c>
      <c r="B19" s="4273">
        <v>28</v>
      </c>
      <c r="C19" s="4278">
        <v>3498</v>
      </c>
      <c r="D19" s="4278">
        <v>81226</v>
      </c>
      <c r="E19" s="4279">
        <v>28409.41</v>
      </c>
      <c r="F19" s="4273" t="s">
        <v>627</v>
      </c>
      <c r="G19" s="4273" t="s">
        <v>627</v>
      </c>
      <c r="H19" s="4273">
        <v>758</v>
      </c>
      <c r="I19" s="4278">
        <v>103165</v>
      </c>
    </row>
    <row r="20" spans="1:9">
      <c r="A20" s="4277">
        <v>45566</v>
      </c>
      <c r="B20" s="4273">
        <v>22</v>
      </c>
      <c r="C20" s="4278">
        <v>2750</v>
      </c>
      <c r="D20" s="4278">
        <v>81122</v>
      </c>
      <c r="E20" s="4279">
        <v>22312.27</v>
      </c>
      <c r="F20" s="4273" t="s">
        <v>627</v>
      </c>
      <c r="G20" s="4273" t="s">
        <v>627</v>
      </c>
      <c r="H20" s="4273">
        <v>775</v>
      </c>
      <c r="I20" s="4278">
        <v>105232</v>
      </c>
    </row>
    <row r="21" spans="1:9">
      <c r="A21" s="4277">
        <v>45536</v>
      </c>
      <c r="B21" s="4273">
        <v>4</v>
      </c>
      <c r="C21" s="4273">
        <v>535</v>
      </c>
      <c r="D21" s="4278">
        <v>80659</v>
      </c>
      <c r="E21" s="4279">
        <v>4315.88</v>
      </c>
      <c r="F21" s="4273" t="s">
        <v>627</v>
      </c>
      <c r="G21" s="4273" t="s">
        <v>627</v>
      </c>
      <c r="H21" s="4273">
        <v>797</v>
      </c>
      <c r="I21" s="4278">
        <v>107983</v>
      </c>
    </row>
    <row r="22" spans="1:9">
      <c r="A22" s="4277">
        <v>45505</v>
      </c>
      <c r="B22" s="4273">
        <v>19</v>
      </c>
      <c r="C22" s="4278">
        <v>2439</v>
      </c>
      <c r="D22" s="4278">
        <v>80318</v>
      </c>
      <c r="E22" s="4279">
        <v>19588.28</v>
      </c>
      <c r="F22" s="4273" t="s">
        <v>627</v>
      </c>
      <c r="G22" s="4273" t="s">
        <v>627</v>
      </c>
      <c r="H22" s="4273">
        <v>801</v>
      </c>
      <c r="I22" s="4278">
        <v>108518</v>
      </c>
    </row>
    <row r="23" spans="1:9">
      <c r="A23" s="4277">
        <v>45474</v>
      </c>
      <c r="B23" s="4273">
        <v>1</v>
      </c>
      <c r="C23" s="4273">
        <v>172</v>
      </c>
      <c r="D23" s="4278">
        <v>91033</v>
      </c>
      <c r="E23" s="4279">
        <v>1567.86</v>
      </c>
      <c r="F23" s="4273" t="s">
        <v>627</v>
      </c>
      <c r="G23" s="4273" t="s">
        <v>627</v>
      </c>
      <c r="H23" s="4273">
        <v>821</v>
      </c>
      <c r="I23" s="4278">
        <v>111066</v>
      </c>
    </row>
    <row r="24" spans="1:9">
      <c r="A24" s="4277">
        <v>45444</v>
      </c>
      <c r="B24" s="4273">
        <v>1</v>
      </c>
      <c r="C24" s="4273">
        <v>149</v>
      </c>
      <c r="D24" s="4278">
        <v>82129</v>
      </c>
      <c r="E24" s="4279">
        <v>1222.1600000000001</v>
      </c>
      <c r="F24" s="4273" t="s">
        <v>627</v>
      </c>
      <c r="G24" s="4273" t="s">
        <v>627</v>
      </c>
      <c r="H24" s="4273">
        <v>826</v>
      </c>
      <c r="I24" s="4278">
        <v>111725</v>
      </c>
    </row>
    <row r="25" spans="1:9">
      <c r="A25" s="4277">
        <v>45413</v>
      </c>
      <c r="B25" s="4273" t="s">
        <v>627</v>
      </c>
      <c r="C25" s="4273" t="s">
        <v>627</v>
      </c>
      <c r="D25" s="4273" t="s">
        <v>627</v>
      </c>
      <c r="E25" s="4273" t="s">
        <v>627</v>
      </c>
      <c r="F25" s="4273" t="s">
        <v>627</v>
      </c>
      <c r="G25" s="4273" t="s">
        <v>627</v>
      </c>
      <c r="H25" s="4273">
        <v>838</v>
      </c>
      <c r="I25" s="4278">
        <v>113269</v>
      </c>
    </row>
    <row r="26" spans="1:9">
      <c r="A26" s="4277">
        <v>45383</v>
      </c>
      <c r="B26" s="4273" t="s">
        <v>627</v>
      </c>
      <c r="C26" s="4273" t="s">
        <v>627</v>
      </c>
      <c r="D26" s="4273" t="s">
        <v>627</v>
      </c>
      <c r="E26" s="4273" t="s">
        <v>627</v>
      </c>
      <c r="F26" s="4273" t="s">
        <v>627</v>
      </c>
      <c r="G26" s="4273" t="s">
        <v>627</v>
      </c>
      <c r="H26" s="4273">
        <v>838</v>
      </c>
      <c r="I26" s="4278">
        <v>113269</v>
      </c>
    </row>
    <row r="27" spans="1:9">
      <c r="A27" s="4277">
        <v>45352</v>
      </c>
      <c r="B27" s="4273" t="s">
        <v>627</v>
      </c>
      <c r="C27" s="4273" t="s">
        <v>627</v>
      </c>
      <c r="D27" s="4273" t="s">
        <v>627</v>
      </c>
      <c r="E27" s="4273" t="s">
        <v>627</v>
      </c>
      <c r="F27" s="4273">
        <v>838</v>
      </c>
      <c r="G27" s="4278">
        <v>113269</v>
      </c>
      <c r="H27" s="4273">
        <v>838</v>
      </c>
      <c r="I27" s="4278">
        <v>113269</v>
      </c>
    </row>
  </sheetData>
  <phoneticPr fontId="13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39232-7055-4051-88F3-1DCFF087A778}">
  <sheetPr>
    <tabColor theme="4" tint="0.59999389629810485"/>
  </sheetPr>
  <dimension ref="A1:I16"/>
  <sheetViews>
    <sheetView workbookViewId="0">
      <selection activeCell="E11" sqref="E11"/>
    </sheetView>
  </sheetViews>
  <sheetFormatPr defaultRowHeight="13.5"/>
  <cols>
    <col min="1" max="1" width="10.5" style="4277"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84"/>
  </cols>
  <sheetData>
    <row r="1" spans="1:9">
      <c r="A1" s="4277" t="s">
        <v>4188</v>
      </c>
      <c r="B1" s="4273" t="s">
        <v>4189</v>
      </c>
      <c r="C1" s="4273" t="s">
        <v>4190</v>
      </c>
      <c r="D1" s="4273" t="s">
        <v>4191</v>
      </c>
      <c r="E1" s="4273" t="s">
        <v>4192</v>
      </c>
      <c r="F1" s="4273" t="s">
        <v>4193</v>
      </c>
      <c r="G1" s="4273" t="s">
        <v>4194</v>
      </c>
      <c r="H1" s="4273" t="s">
        <v>4195</v>
      </c>
      <c r="I1" s="4273" t="s">
        <v>4196</v>
      </c>
    </row>
    <row r="2" spans="1:9">
      <c r="A2" s="4277" t="s">
        <v>4197</v>
      </c>
      <c r="B2" s="4273">
        <v>456</v>
      </c>
      <c r="C2" s="4278">
        <v>56870</v>
      </c>
      <c r="D2" s="4278">
        <v>77789</v>
      </c>
      <c r="E2" s="4279">
        <v>442389.71</v>
      </c>
      <c r="F2" s="4273">
        <v>874</v>
      </c>
      <c r="G2" s="4278">
        <v>112361</v>
      </c>
      <c r="H2" s="4273" t="s">
        <v>627</v>
      </c>
      <c r="I2" s="4273" t="s">
        <v>627</v>
      </c>
    </row>
    <row r="3" spans="1:9">
      <c r="A3" s="4277">
        <v>46082</v>
      </c>
      <c r="B3" s="4273">
        <v>10</v>
      </c>
      <c r="C3" s="4278">
        <v>1263</v>
      </c>
      <c r="D3" s="4278">
        <v>74861</v>
      </c>
      <c r="E3" s="4279">
        <v>9451.3799999999992</v>
      </c>
      <c r="F3" s="4273" t="s">
        <v>627</v>
      </c>
      <c r="G3" s="4273" t="s">
        <v>627</v>
      </c>
      <c r="H3" s="4273" t="s">
        <v>627</v>
      </c>
      <c r="I3" s="4273" t="s">
        <v>627</v>
      </c>
    </row>
    <row r="4" spans="1:9">
      <c r="A4" s="4277">
        <v>46054</v>
      </c>
      <c r="B4" s="4273">
        <v>5</v>
      </c>
      <c r="C4" s="4273">
        <v>592</v>
      </c>
      <c r="D4" s="4278">
        <v>74304</v>
      </c>
      <c r="E4" s="4279">
        <v>4398.62</v>
      </c>
      <c r="F4" s="4273" t="s">
        <v>627</v>
      </c>
      <c r="G4" s="4273" t="s">
        <v>627</v>
      </c>
      <c r="H4" s="4273">
        <v>418</v>
      </c>
      <c r="I4" s="4278">
        <v>55490</v>
      </c>
    </row>
    <row r="5" spans="1:9">
      <c r="A5" s="4277">
        <v>46023</v>
      </c>
      <c r="B5" s="4273">
        <v>12</v>
      </c>
      <c r="C5" s="4278">
        <v>1495</v>
      </c>
      <c r="D5" s="4278">
        <v>73745</v>
      </c>
      <c r="E5" s="4279">
        <v>11025.11</v>
      </c>
      <c r="F5" s="4273" t="s">
        <v>627</v>
      </c>
      <c r="G5" s="4273" t="s">
        <v>627</v>
      </c>
      <c r="H5" s="4273">
        <v>433</v>
      </c>
      <c r="I5" s="4278">
        <v>57345</v>
      </c>
    </row>
    <row r="6" spans="1:9">
      <c r="A6" s="4277">
        <v>45992</v>
      </c>
      <c r="B6" s="4273">
        <v>36</v>
      </c>
      <c r="C6" s="4278">
        <v>4698</v>
      </c>
      <c r="D6" s="4278">
        <v>77863</v>
      </c>
      <c r="E6" s="4279">
        <v>36579.53</v>
      </c>
      <c r="F6" s="4273" t="s">
        <v>627</v>
      </c>
      <c r="G6" s="4273" t="s">
        <v>627</v>
      </c>
      <c r="H6" s="4273">
        <v>445</v>
      </c>
      <c r="I6" s="4278">
        <v>58840</v>
      </c>
    </row>
    <row r="7" spans="1:9">
      <c r="A7" s="4277">
        <v>45962</v>
      </c>
      <c r="B7" s="4273">
        <v>38</v>
      </c>
      <c r="C7" s="4278">
        <v>4718</v>
      </c>
      <c r="D7" s="4278">
        <v>77927</v>
      </c>
      <c r="E7" s="4279">
        <v>36768.870000000003</v>
      </c>
      <c r="F7" s="4273" t="s">
        <v>627</v>
      </c>
      <c r="G7" s="4273" t="s">
        <v>627</v>
      </c>
      <c r="H7" s="4273">
        <v>481</v>
      </c>
      <c r="I7" s="4278">
        <v>63538</v>
      </c>
    </row>
    <row r="8" spans="1:9">
      <c r="A8" s="4277">
        <v>45931</v>
      </c>
      <c r="B8" s="4273">
        <v>44</v>
      </c>
      <c r="C8" s="4278">
        <v>5560</v>
      </c>
      <c r="D8" s="4278">
        <v>77344</v>
      </c>
      <c r="E8" s="4279">
        <v>43003.32</v>
      </c>
      <c r="F8" s="4273">
        <v>27</v>
      </c>
      <c r="G8" s="4278">
        <v>4513</v>
      </c>
      <c r="H8" s="4273">
        <v>497</v>
      </c>
      <c r="I8" s="4278">
        <v>65529</v>
      </c>
    </row>
    <row r="9" spans="1:9">
      <c r="A9" s="4277">
        <v>45901</v>
      </c>
      <c r="B9" s="4273">
        <v>33</v>
      </c>
      <c r="C9" s="4278">
        <v>4093</v>
      </c>
      <c r="D9" s="4278">
        <v>78188</v>
      </c>
      <c r="E9" s="4279">
        <v>32003.1</v>
      </c>
      <c r="F9" s="4273">
        <v>368</v>
      </c>
      <c r="G9" s="4278">
        <v>47238</v>
      </c>
      <c r="H9" s="4273">
        <v>524</v>
      </c>
      <c r="I9" s="4278">
        <v>67818</v>
      </c>
    </row>
    <row r="10" spans="1:9">
      <c r="A10" s="4277">
        <v>45870</v>
      </c>
      <c r="B10" s="4273">
        <v>38</v>
      </c>
      <c r="C10" s="4278">
        <v>4848</v>
      </c>
      <c r="D10" s="4278">
        <v>78846</v>
      </c>
      <c r="E10" s="4279">
        <v>38227.120000000003</v>
      </c>
      <c r="F10" s="4273" t="s">
        <v>627</v>
      </c>
      <c r="G10" s="4273" t="s">
        <v>627</v>
      </c>
      <c r="H10" s="4273">
        <v>198</v>
      </c>
      <c r="I10" s="4278">
        <v>25771</v>
      </c>
    </row>
    <row r="11" spans="1:9">
      <c r="A11" s="4277">
        <v>45839</v>
      </c>
      <c r="B11" s="4273">
        <v>36</v>
      </c>
      <c r="C11" s="4278">
        <v>4350</v>
      </c>
      <c r="D11" s="4278">
        <v>77449</v>
      </c>
      <c r="E11" s="4279">
        <v>33689.79</v>
      </c>
      <c r="F11" s="4273" t="s">
        <v>627</v>
      </c>
      <c r="G11" s="4273" t="s">
        <v>627</v>
      </c>
      <c r="H11" s="4273">
        <v>228</v>
      </c>
      <c r="I11" s="4278">
        <v>29736</v>
      </c>
    </row>
    <row r="12" spans="1:9">
      <c r="A12" s="4277">
        <v>45809</v>
      </c>
      <c r="B12" s="4273">
        <v>61</v>
      </c>
      <c r="C12" s="4278">
        <v>7518</v>
      </c>
      <c r="D12" s="4278">
        <v>77554</v>
      </c>
      <c r="E12" s="4279">
        <v>58303.43</v>
      </c>
      <c r="F12" s="4273" t="s">
        <v>627</v>
      </c>
      <c r="G12" s="4273" t="s">
        <v>627</v>
      </c>
      <c r="H12" s="4273">
        <v>274</v>
      </c>
      <c r="I12" s="4278">
        <v>35296</v>
      </c>
    </row>
    <row r="13" spans="1:9">
      <c r="A13" s="4277">
        <v>45778</v>
      </c>
      <c r="B13" s="4273">
        <v>45</v>
      </c>
      <c r="C13" s="4278">
        <v>5587</v>
      </c>
      <c r="D13" s="4278">
        <v>78296</v>
      </c>
      <c r="E13" s="4279">
        <v>43745.4</v>
      </c>
      <c r="F13" s="4273" t="s">
        <v>627</v>
      </c>
      <c r="G13" s="4273" t="s">
        <v>627</v>
      </c>
      <c r="H13" s="4273">
        <v>337</v>
      </c>
      <c r="I13" s="4278">
        <v>43040</v>
      </c>
    </row>
    <row r="14" spans="1:9">
      <c r="A14" s="4277">
        <v>45748</v>
      </c>
      <c r="B14" s="4273">
        <v>83</v>
      </c>
      <c r="C14" s="4278">
        <v>10128</v>
      </c>
      <c r="D14" s="4278">
        <v>78433</v>
      </c>
      <c r="E14" s="4279">
        <v>79435.56</v>
      </c>
      <c r="F14" s="4273">
        <v>22</v>
      </c>
      <c r="G14" s="4278">
        <v>2426</v>
      </c>
      <c r="H14" s="4273">
        <v>381</v>
      </c>
      <c r="I14" s="4278">
        <v>48516</v>
      </c>
    </row>
    <row r="15" spans="1:9">
      <c r="A15" s="4277">
        <v>45717</v>
      </c>
      <c r="B15" s="4273">
        <v>15</v>
      </c>
      <c r="C15" s="4278">
        <v>2020</v>
      </c>
      <c r="D15" s="4278">
        <v>78000</v>
      </c>
      <c r="E15" s="4279">
        <v>15758.5</v>
      </c>
      <c r="F15" s="4273">
        <v>457</v>
      </c>
      <c r="G15" s="4278">
        <v>58183</v>
      </c>
      <c r="H15" s="4273">
        <v>442</v>
      </c>
      <c r="I15" s="4278">
        <v>56163</v>
      </c>
    </row>
    <row r="16" spans="1:9">
      <c r="C16" s="4273">
        <f t="shared" ref="C16" si="0">SUM(C2:C15)</f>
        <v>113740</v>
      </c>
      <c r="D16" s="4273">
        <f>ROUND(E16/C16*10000,0)</f>
        <v>77790</v>
      </c>
      <c r="E16" s="4273">
        <f>SUM(E2:E15)</f>
        <v>884779.44</v>
      </c>
    </row>
  </sheetData>
  <phoneticPr fontId="137"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7F09A-31FA-4A94-9021-CBF92CD1B0AD}">
  <sheetPr>
    <tabColor theme="3" tint="0.79998168889431442"/>
  </sheetPr>
  <dimension ref="A1:I30"/>
  <sheetViews>
    <sheetView workbookViewId="0">
      <selection activeCell="H7" sqref="H7"/>
    </sheetView>
  </sheetViews>
  <sheetFormatPr defaultRowHeight="13.5"/>
  <cols>
    <col min="1" max="1" width="10.5" style="4303" bestFit="1" customWidth="1"/>
    <col min="2" max="3" width="13.125" style="4304" bestFit="1" customWidth="1"/>
    <col min="4" max="4" width="16.375" style="4304" bestFit="1" customWidth="1"/>
    <col min="5" max="5" width="15.25" style="4304" bestFit="1" customWidth="1"/>
    <col min="6" max="7" width="17.375" style="4304" bestFit="1" customWidth="1"/>
    <col min="8" max="9" width="13.125" style="4304" bestFit="1" customWidth="1"/>
    <col min="10" max="16384" width="9" style="4302"/>
  </cols>
  <sheetData>
    <row r="1" spans="1:9">
      <c r="A1" s="4303" t="s">
        <v>4188</v>
      </c>
      <c r="B1" s="4304" t="s">
        <v>4189</v>
      </c>
      <c r="C1" s="4304" t="s">
        <v>4190</v>
      </c>
      <c r="D1" s="4304" t="s">
        <v>4191</v>
      </c>
      <c r="E1" s="4304" t="s">
        <v>4192</v>
      </c>
      <c r="F1" s="4304" t="s">
        <v>4193</v>
      </c>
      <c r="G1" s="4304" t="s">
        <v>4194</v>
      </c>
      <c r="H1" s="4304" t="s">
        <v>4195</v>
      </c>
      <c r="I1" s="4304" t="s">
        <v>4196</v>
      </c>
    </row>
    <row r="2" spans="1:9">
      <c r="A2" s="4303" t="s">
        <v>4197</v>
      </c>
      <c r="B2" s="4304">
        <v>559</v>
      </c>
      <c r="C2" s="4305">
        <v>53829</v>
      </c>
      <c r="D2" s="4305">
        <v>72387</v>
      </c>
      <c r="E2" s="4306">
        <v>389652.15</v>
      </c>
      <c r="F2" s="4305">
        <v>1094</v>
      </c>
      <c r="G2" s="4305">
        <v>116243</v>
      </c>
      <c r="H2" s="4304" t="s">
        <v>627</v>
      </c>
      <c r="I2" s="4304" t="s">
        <v>627</v>
      </c>
    </row>
    <row r="3" spans="1:9">
      <c r="A3" s="4303">
        <v>46082</v>
      </c>
      <c r="B3" s="4304">
        <v>7</v>
      </c>
      <c r="C3" s="4304">
        <v>699</v>
      </c>
      <c r="D3" s="4305">
        <v>71495</v>
      </c>
      <c r="E3" s="4306">
        <v>4994.2299999999996</v>
      </c>
      <c r="F3" s="4304" t="s">
        <v>627</v>
      </c>
      <c r="G3" s="4304" t="s">
        <v>627</v>
      </c>
      <c r="H3" s="4304" t="s">
        <v>627</v>
      </c>
      <c r="I3" s="4304" t="s">
        <v>627</v>
      </c>
    </row>
    <row r="4" spans="1:9">
      <c r="A4" s="4303">
        <v>46054</v>
      </c>
      <c r="B4" s="4304">
        <v>4</v>
      </c>
      <c r="C4" s="4304">
        <v>394</v>
      </c>
      <c r="D4" s="4305">
        <v>70392</v>
      </c>
      <c r="E4" s="4306">
        <v>2773.86</v>
      </c>
      <c r="F4" s="4304" t="s">
        <v>627</v>
      </c>
      <c r="G4" s="4304" t="s">
        <v>627</v>
      </c>
      <c r="H4" s="4304">
        <v>539</v>
      </c>
      <c r="I4" s="4305">
        <v>62839</v>
      </c>
    </row>
    <row r="5" spans="1:9">
      <c r="A5" s="4303">
        <v>46023</v>
      </c>
      <c r="B5" s="4304">
        <v>10</v>
      </c>
      <c r="C5" s="4304">
        <v>874</v>
      </c>
      <c r="D5" s="4305">
        <v>69774</v>
      </c>
      <c r="E5" s="4306">
        <v>6096.01</v>
      </c>
      <c r="F5" s="4304" t="s">
        <v>627</v>
      </c>
      <c r="G5" s="4304" t="s">
        <v>627</v>
      </c>
      <c r="H5" s="4304">
        <v>543</v>
      </c>
      <c r="I5" s="4305">
        <v>63233</v>
      </c>
    </row>
    <row r="6" spans="1:9">
      <c r="A6" s="4303">
        <v>45992</v>
      </c>
      <c r="B6" s="4304">
        <v>23</v>
      </c>
      <c r="C6" s="4305">
        <v>2284</v>
      </c>
      <c r="D6" s="4305">
        <v>71216</v>
      </c>
      <c r="E6" s="4306">
        <v>16264.35</v>
      </c>
      <c r="F6" s="4304" t="s">
        <v>627</v>
      </c>
      <c r="G6" s="4304" t="s">
        <v>627</v>
      </c>
      <c r="H6" s="4304">
        <v>551</v>
      </c>
      <c r="I6" s="4305">
        <v>63956</v>
      </c>
    </row>
    <row r="7" spans="1:9">
      <c r="A7" s="4303">
        <v>45962</v>
      </c>
      <c r="B7" s="4304">
        <v>14</v>
      </c>
      <c r="C7" s="4305">
        <v>1347</v>
      </c>
      <c r="D7" s="4305">
        <v>71165</v>
      </c>
      <c r="E7" s="4306">
        <v>9586.84</v>
      </c>
      <c r="F7" s="4304" t="s">
        <v>627</v>
      </c>
      <c r="G7" s="4304" t="s">
        <v>627</v>
      </c>
      <c r="H7" s="4304">
        <v>574</v>
      </c>
      <c r="I7" s="4305">
        <v>66191</v>
      </c>
    </row>
    <row r="8" spans="1:9">
      <c r="A8" s="4303">
        <v>45931</v>
      </c>
      <c r="B8" s="4304">
        <v>11</v>
      </c>
      <c r="C8" s="4305">
        <v>1096</v>
      </c>
      <c r="D8" s="4305">
        <v>71431</v>
      </c>
      <c r="E8" s="4306">
        <v>7825.8</v>
      </c>
      <c r="F8" s="4304" t="s">
        <v>627</v>
      </c>
      <c r="G8" s="4304" t="s">
        <v>627</v>
      </c>
      <c r="H8" s="4304">
        <v>576</v>
      </c>
      <c r="I8" s="4305">
        <v>66379</v>
      </c>
    </row>
    <row r="9" spans="1:9">
      <c r="A9" s="4303">
        <v>45901</v>
      </c>
      <c r="B9" s="4304">
        <v>18</v>
      </c>
      <c r="C9" s="4305">
        <v>1596</v>
      </c>
      <c r="D9" s="4305">
        <v>72119</v>
      </c>
      <c r="E9" s="4306">
        <v>11509.87</v>
      </c>
      <c r="F9" s="4304" t="s">
        <v>627</v>
      </c>
      <c r="G9" s="4304" t="s">
        <v>627</v>
      </c>
      <c r="H9" s="4304">
        <v>593</v>
      </c>
      <c r="I9" s="4305">
        <v>68092</v>
      </c>
    </row>
    <row r="10" spans="1:9">
      <c r="A10" s="4303">
        <v>45870</v>
      </c>
      <c r="B10" s="4304">
        <v>13</v>
      </c>
      <c r="C10" s="4305">
        <v>1212</v>
      </c>
      <c r="D10" s="4305">
        <v>69763</v>
      </c>
      <c r="E10" s="4306">
        <v>8455.58</v>
      </c>
      <c r="F10" s="4304" t="s">
        <v>627</v>
      </c>
      <c r="G10" s="4304" t="s">
        <v>627</v>
      </c>
      <c r="H10" s="4304">
        <v>613</v>
      </c>
      <c r="I10" s="4305">
        <v>69826</v>
      </c>
    </row>
    <row r="11" spans="1:9">
      <c r="A11" s="4303">
        <v>45839</v>
      </c>
      <c r="B11" s="4304">
        <v>10</v>
      </c>
      <c r="C11" s="4304">
        <v>837</v>
      </c>
      <c r="D11" s="4305">
        <v>72723</v>
      </c>
      <c r="E11" s="4306">
        <v>6089.63</v>
      </c>
      <c r="F11" s="4304" t="s">
        <v>627</v>
      </c>
      <c r="G11" s="4304" t="s">
        <v>627</v>
      </c>
      <c r="H11" s="4304">
        <v>628</v>
      </c>
      <c r="I11" s="4305">
        <v>71167</v>
      </c>
    </row>
    <row r="12" spans="1:9">
      <c r="A12" s="4303">
        <v>45809</v>
      </c>
      <c r="B12" s="4304">
        <v>25</v>
      </c>
      <c r="C12" s="4305">
        <v>2495</v>
      </c>
      <c r="D12" s="4305">
        <v>71964</v>
      </c>
      <c r="E12" s="4306">
        <v>17954.3</v>
      </c>
      <c r="F12" s="4304" t="s">
        <v>627</v>
      </c>
      <c r="G12" s="4304" t="s">
        <v>627</v>
      </c>
      <c r="H12" s="4304">
        <v>638</v>
      </c>
      <c r="I12" s="4305">
        <v>72036</v>
      </c>
    </row>
    <row r="13" spans="1:9">
      <c r="A13" s="4303">
        <v>45778</v>
      </c>
      <c r="B13" s="4304">
        <v>22</v>
      </c>
      <c r="C13" s="4305">
        <v>2183</v>
      </c>
      <c r="D13" s="4305">
        <v>71929</v>
      </c>
      <c r="E13" s="4306">
        <v>15702.29</v>
      </c>
      <c r="F13" s="4304" t="s">
        <v>627</v>
      </c>
      <c r="G13" s="4304" t="s">
        <v>627</v>
      </c>
      <c r="H13" s="4304">
        <v>666</v>
      </c>
      <c r="I13" s="4305">
        <v>74875</v>
      </c>
    </row>
    <row r="14" spans="1:9">
      <c r="A14" s="4303">
        <v>45748</v>
      </c>
      <c r="B14" s="4304">
        <v>27</v>
      </c>
      <c r="C14" s="4305">
        <v>2656</v>
      </c>
      <c r="D14" s="4305">
        <v>71643</v>
      </c>
      <c r="E14" s="4306">
        <v>19024.82</v>
      </c>
      <c r="F14" s="4304" t="s">
        <v>627</v>
      </c>
      <c r="G14" s="4304" t="s">
        <v>627</v>
      </c>
      <c r="H14" s="4304">
        <v>693</v>
      </c>
      <c r="I14" s="4305">
        <v>77524</v>
      </c>
    </row>
    <row r="15" spans="1:9">
      <c r="A15" s="4303">
        <v>45717</v>
      </c>
      <c r="B15" s="4304">
        <v>41</v>
      </c>
      <c r="C15" s="4305">
        <v>4016</v>
      </c>
      <c r="D15" s="4305">
        <v>71549</v>
      </c>
      <c r="E15" s="4306">
        <v>28733.86</v>
      </c>
      <c r="F15" s="4304" t="s">
        <v>627</v>
      </c>
      <c r="G15" s="4304" t="s">
        <v>627</v>
      </c>
      <c r="H15" s="4304">
        <v>720</v>
      </c>
      <c r="I15" s="4305">
        <v>80179</v>
      </c>
    </row>
    <row r="16" spans="1:9">
      <c r="A16" s="4303">
        <v>45689</v>
      </c>
      <c r="B16" s="4304">
        <v>19</v>
      </c>
      <c r="C16" s="4305">
        <v>1830</v>
      </c>
      <c r="D16" s="4305">
        <v>71016</v>
      </c>
      <c r="E16" s="4306">
        <v>12994.77</v>
      </c>
      <c r="F16" s="4304" t="s">
        <v>627</v>
      </c>
      <c r="G16" s="4304" t="s">
        <v>627</v>
      </c>
      <c r="H16" s="4304">
        <v>761</v>
      </c>
      <c r="I16" s="4305">
        <v>84195</v>
      </c>
    </row>
    <row r="17" spans="1:9">
      <c r="A17" s="4303">
        <v>45658</v>
      </c>
      <c r="B17" s="4304">
        <v>16</v>
      </c>
      <c r="C17" s="4305">
        <v>1528</v>
      </c>
      <c r="D17" s="4305">
        <v>70615</v>
      </c>
      <c r="E17" s="4306">
        <v>10789.2</v>
      </c>
      <c r="F17" s="4304" t="s">
        <v>627</v>
      </c>
      <c r="G17" s="4304" t="s">
        <v>627</v>
      </c>
      <c r="H17" s="4304">
        <v>780</v>
      </c>
      <c r="I17" s="4305">
        <v>86025</v>
      </c>
    </row>
    <row r="18" spans="1:9">
      <c r="A18" s="4303">
        <v>45627</v>
      </c>
      <c r="B18" s="4304">
        <v>40</v>
      </c>
      <c r="C18" s="4305">
        <v>3822</v>
      </c>
      <c r="D18" s="4305">
        <v>71479</v>
      </c>
      <c r="E18" s="4306">
        <v>27319.06</v>
      </c>
      <c r="F18" s="4304" t="s">
        <v>627</v>
      </c>
      <c r="G18" s="4304" t="s">
        <v>627</v>
      </c>
      <c r="H18" s="4304">
        <v>795</v>
      </c>
      <c r="I18" s="4305">
        <v>87460</v>
      </c>
    </row>
    <row r="19" spans="1:9">
      <c r="A19" s="4303">
        <v>45597</v>
      </c>
      <c r="B19" s="4304">
        <v>49</v>
      </c>
      <c r="C19" s="4305">
        <v>4701</v>
      </c>
      <c r="D19" s="4305">
        <v>70753</v>
      </c>
      <c r="E19" s="4306">
        <v>33261.78</v>
      </c>
      <c r="F19" s="4304" t="s">
        <v>627</v>
      </c>
      <c r="G19" s="4304" t="s">
        <v>627</v>
      </c>
      <c r="H19" s="4304">
        <v>835</v>
      </c>
      <c r="I19" s="4305">
        <v>91282</v>
      </c>
    </row>
    <row r="20" spans="1:9">
      <c r="A20" s="4303">
        <v>45566</v>
      </c>
      <c r="B20" s="4304">
        <v>57</v>
      </c>
      <c r="C20" s="4305">
        <v>5449</v>
      </c>
      <c r="D20" s="4305">
        <v>70256</v>
      </c>
      <c r="E20" s="4306">
        <v>38283.11</v>
      </c>
      <c r="F20" s="4304" t="s">
        <v>627</v>
      </c>
      <c r="G20" s="4304" t="s">
        <v>627</v>
      </c>
      <c r="H20" s="4304">
        <v>884</v>
      </c>
      <c r="I20" s="4305">
        <v>95983</v>
      </c>
    </row>
    <row r="21" spans="1:9">
      <c r="A21" s="4303">
        <v>45536</v>
      </c>
      <c r="B21" s="4304">
        <v>12</v>
      </c>
      <c r="C21" s="4305">
        <v>1116</v>
      </c>
      <c r="D21" s="4305">
        <v>69293</v>
      </c>
      <c r="E21" s="4306">
        <v>7732.73</v>
      </c>
      <c r="F21" s="4304" t="s">
        <v>627</v>
      </c>
      <c r="G21" s="4304" t="s">
        <v>627</v>
      </c>
      <c r="H21" s="4304">
        <v>941</v>
      </c>
      <c r="I21" s="4305">
        <v>101432</v>
      </c>
    </row>
    <row r="22" spans="1:9">
      <c r="A22" s="4303">
        <v>45505</v>
      </c>
      <c r="B22" s="4304">
        <v>2</v>
      </c>
      <c r="C22" s="4304">
        <v>174</v>
      </c>
      <c r="D22" s="4305">
        <v>68346</v>
      </c>
      <c r="E22" s="4306">
        <v>1190.32</v>
      </c>
      <c r="F22" s="4304" t="s">
        <v>627</v>
      </c>
      <c r="G22" s="4304" t="s">
        <v>627</v>
      </c>
      <c r="H22" s="4304">
        <v>953</v>
      </c>
      <c r="I22" s="4305">
        <v>102548</v>
      </c>
    </row>
    <row r="23" spans="1:9">
      <c r="A23" s="4303">
        <v>45474</v>
      </c>
      <c r="B23" s="4304">
        <v>13</v>
      </c>
      <c r="C23" s="4305">
        <v>1247</v>
      </c>
      <c r="D23" s="4305">
        <v>74583</v>
      </c>
      <c r="E23" s="4306">
        <v>9301.2800000000007</v>
      </c>
      <c r="F23" s="4304" t="s">
        <v>627</v>
      </c>
      <c r="G23" s="4304" t="s">
        <v>627</v>
      </c>
      <c r="H23" s="4304">
        <v>955</v>
      </c>
      <c r="I23" s="4305">
        <v>102722</v>
      </c>
    </row>
    <row r="24" spans="1:9">
      <c r="A24" s="4303">
        <v>45444</v>
      </c>
      <c r="B24" s="4304">
        <v>20</v>
      </c>
      <c r="C24" s="4305">
        <v>1965</v>
      </c>
      <c r="D24" s="4305">
        <v>77137</v>
      </c>
      <c r="E24" s="4306">
        <v>15159.74</v>
      </c>
      <c r="F24" s="4304" t="s">
        <v>627</v>
      </c>
      <c r="G24" s="4304" t="s">
        <v>627</v>
      </c>
      <c r="H24" s="4304">
        <v>968</v>
      </c>
      <c r="I24" s="4305">
        <v>103969</v>
      </c>
    </row>
    <row r="25" spans="1:9">
      <c r="A25" s="4303">
        <v>45413</v>
      </c>
      <c r="B25" s="4304">
        <v>5</v>
      </c>
      <c r="C25" s="4304">
        <v>530</v>
      </c>
      <c r="D25" s="4305">
        <v>77217</v>
      </c>
      <c r="E25" s="4306">
        <v>4092.88</v>
      </c>
      <c r="F25" s="4304" t="s">
        <v>627</v>
      </c>
      <c r="G25" s="4304" t="s">
        <v>627</v>
      </c>
      <c r="H25" s="4304">
        <v>988</v>
      </c>
      <c r="I25" s="4305">
        <v>105934</v>
      </c>
    </row>
    <row r="26" spans="1:9">
      <c r="A26" s="4303">
        <v>45383</v>
      </c>
      <c r="B26" s="4304">
        <v>6</v>
      </c>
      <c r="C26" s="4304">
        <v>553</v>
      </c>
      <c r="D26" s="4305">
        <v>75800</v>
      </c>
      <c r="E26" s="4306">
        <v>4193.38</v>
      </c>
      <c r="F26" s="4304" t="s">
        <v>627</v>
      </c>
      <c r="G26" s="4304" t="s">
        <v>627</v>
      </c>
      <c r="H26" s="4304">
        <v>993</v>
      </c>
      <c r="I26" s="4305">
        <v>106464</v>
      </c>
    </row>
    <row r="27" spans="1:9">
      <c r="A27" s="4303">
        <v>45352</v>
      </c>
      <c r="B27" s="4304">
        <v>19</v>
      </c>
      <c r="C27" s="4305">
        <v>1856</v>
      </c>
      <c r="D27" s="4305">
        <v>76760</v>
      </c>
      <c r="E27" s="4306">
        <v>14247.89</v>
      </c>
      <c r="F27" s="4304" t="s">
        <v>627</v>
      </c>
      <c r="G27" s="4304" t="s">
        <v>627</v>
      </c>
      <c r="H27" s="4304">
        <v>999</v>
      </c>
      <c r="I27" s="4305">
        <v>107018</v>
      </c>
    </row>
    <row r="28" spans="1:9">
      <c r="A28" s="4303">
        <v>45323</v>
      </c>
      <c r="B28" s="4304">
        <v>4</v>
      </c>
      <c r="C28" s="4304">
        <v>433</v>
      </c>
      <c r="D28" s="4305">
        <v>78380</v>
      </c>
      <c r="E28" s="4306">
        <v>3394.73</v>
      </c>
      <c r="F28" s="4304" t="s">
        <v>627</v>
      </c>
      <c r="G28" s="4304" t="s">
        <v>627</v>
      </c>
      <c r="H28" s="4305">
        <v>1018</v>
      </c>
      <c r="I28" s="4305">
        <v>108874</v>
      </c>
    </row>
    <row r="29" spans="1:9">
      <c r="A29" s="4303">
        <v>45292</v>
      </c>
      <c r="B29" s="4304">
        <v>7</v>
      </c>
      <c r="C29" s="4304">
        <v>665</v>
      </c>
      <c r="D29" s="4305">
        <v>76548</v>
      </c>
      <c r="E29" s="4306">
        <v>5093.51</v>
      </c>
      <c r="F29" s="4304" t="s">
        <v>627</v>
      </c>
      <c r="G29" s="4304" t="s">
        <v>627</v>
      </c>
      <c r="H29" s="4305">
        <v>1022</v>
      </c>
      <c r="I29" s="4305">
        <v>109307</v>
      </c>
    </row>
    <row r="30" spans="1:9">
      <c r="A30" s="4303">
        <v>45261</v>
      </c>
      <c r="B30" s="4304">
        <v>65</v>
      </c>
      <c r="C30" s="4305">
        <v>6271</v>
      </c>
      <c r="D30" s="4305">
        <v>75880</v>
      </c>
      <c r="E30" s="4306">
        <v>47586.31</v>
      </c>
      <c r="F30" s="4304">
        <v>818</v>
      </c>
      <c r="G30" s="4305">
        <v>89977</v>
      </c>
      <c r="H30" s="4305">
        <v>1029</v>
      </c>
      <c r="I30" s="4305">
        <v>109972</v>
      </c>
    </row>
  </sheetData>
  <phoneticPr fontId="137"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A283-98C9-432A-B98B-8B223A1C8364}">
  <sheetPr>
    <tabColor theme="5" tint="0.59999389629810485"/>
  </sheetPr>
  <dimension ref="A1:P32"/>
  <sheetViews>
    <sheetView topLeftCell="F13" workbookViewId="0">
      <selection activeCell="S24" sqref="S24"/>
    </sheetView>
  </sheetViews>
  <sheetFormatPr defaultRowHeight="13.5"/>
  <cols>
    <col min="1" max="1" width="10.5" style="4284" bestFit="1" customWidth="1"/>
    <col min="2" max="16384" width="9" style="4284"/>
  </cols>
  <sheetData>
    <row r="1" spans="1:9">
      <c r="A1" s="4273" t="s">
        <v>4198</v>
      </c>
      <c r="B1" s="4273"/>
      <c r="C1" s="4273"/>
      <c r="D1" s="4273"/>
      <c r="E1" s="4273"/>
      <c r="F1" s="4273"/>
      <c r="G1" s="4273"/>
      <c r="H1" s="4273"/>
      <c r="I1" s="4273"/>
    </row>
    <row r="2" spans="1:9">
      <c r="A2" s="4273" t="s">
        <v>4199</v>
      </c>
      <c r="B2" s="4273"/>
      <c r="C2" s="4273"/>
      <c r="D2" s="4273"/>
      <c r="E2" s="4273"/>
      <c r="F2" s="4273"/>
      <c r="G2" s="4273"/>
      <c r="H2" s="4273"/>
      <c r="I2" s="4273"/>
    </row>
    <row r="3" spans="1:9">
      <c r="A3" s="4273" t="s">
        <v>4200</v>
      </c>
      <c r="B3" s="4273"/>
      <c r="C3" s="4273"/>
      <c r="D3" s="4273"/>
      <c r="E3" s="4273"/>
      <c r="F3" s="4273"/>
      <c r="G3" s="4273"/>
      <c r="H3" s="4273"/>
      <c r="I3" s="4273"/>
    </row>
    <row r="4" spans="1:9">
      <c r="A4" s="4273" t="s">
        <v>4201</v>
      </c>
      <c r="B4" s="4273"/>
      <c r="C4" s="4273"/>
      <c r="D4" s="4273"/>
      <c r="E4" s="4273"/>
      <c r="F4" s="4273"/>
      <c r="G4" s="4273"/>
      <c r="H4" s="4273"/>
      <c r="I4" s="4273"/>
    </row>
    <row r="5" spans="1:9">
      <c r="A5" s="4273" t="s">
        <v>4188</v>
      </c>
      <c r="B5" s="4273" t="s">
        <v>4189</v>
      </c>
      <c r="C5" s="4273" t="s">
        <v>4190</v>
      </c>
      <c r="D5" s="4273" t="s">
        <v>4191</v>
      </c>
      <c r="E5" s="4273" t="s">
        <v>4192</v>
      </c>
      <c r="F5" s="4273" t="s">
        <v>4193</v>
      </c>
      <c r="G5" s="4273" t="s">
        <v>4194</v>
      </c>
      <c r="H5" s="4273" t="s">
        <v>4195</v>
      </c>
      <c r="I5" s="4273" t="s">
        <v>4196</v>
      </c>
    </row>
    <row r="6" spans="1:9">
      <c r="A6" s="4273" t="s">
        <v>4197</v>
      </c>
      <c r="B6" s="4273">
        <v>164</v>
      </c>
      <c r="C6" s="4278">
        <v>5106</v>
      </c>
      <c r="D6" s="4278">
        <v>8319</v>
      </c>
      <c r="E6" s="4279">
        <v>4247.47</v>
      </c>
      <c r="F6" s="4278">
        <v>1066</v>
      </c>
      <c r="G6" s="4278">
        <v>33305</v>
      </c>
      <c r="H6" s="4273" t="s">
        <v>627</v>
      </c>
      <c r="I6" s="4273" t="s">
        <v>627</v>
      </c>
    </row>
    <row r="7" spans="1:9">
      <c r="A7" s="4277">
        <v>46023</v>
      </c>
      <c r="B7" s="4273">
        <v>2</v>
      </c>
      <c r="C7" s="4273">
        <v>62</v>
      </c>
      <c r="D7" s="4278">
        <v>8500</v>
      </c>
      <c r="E7" s="4273">
        <v>52.76</v>
      </c>
      <c r="F7" s="4273" t="s">
        <v>627</v>
      </c>
      <c r="G7" s="4273" t="s">
        <v>627</v>
      </c>
      <c r="H7" s="4273">
        <v>901</v>
      </c>
      <c r="I7" s="4278">
        <v>28168</v>
      </c>
    </row>
    <row r="8" spans="1:9">
      <c r="A8" s="4277">
        <v>45992</v>
      </c>
      <c r="B8" s="4273">
        <v>8</v>
      </c>
      <c r="C8" s="4273">
        <v>248</v>
      </c>
      <c r="D8" s="4278">
        <v>8276</v>
      </c>
      <c r="E8" s="4273">
        <v>205.52</v>
      </c>
      <c r="F8" s="4273">
        <v>455</v>
      </c>
      <c r="G8" s="4278">
        <v>14224</v>
      </c>
      <c r="H8" s="4273" t="s">
        <v>627</v>
      </c>
      <c r="I8" s="4273" t="s">
        <v>627</v>
      </c>
    </row>
    <row r="9" spans="1:9">
      <c r="A9" s="4277">
        <v>45962</v>
      </c>
      <c r="B9" s="4273" t="s">
        <v>627</v>
      </c>
      <c r="C9" s="4273" t="s">
        <v>627</v>
      </c>
      <c r="D9" s="4273" t="s">
        <v>627</v>
      </c>
      <c r="E9" s="4273" t="s">
        <v>627</v>
      </c>
      <c r="F9" s="4273" t="s">
        <v>627</v>
      </c>
      <c r="G9" s="4273" t="s">
        <v>627</v>
      </c>
      <c r="H9" s="4273">
        <v>456</v>
      </c>
      <c r="I9" s="4278">
        <v>14255</v>
      </c>
    </row>
    <row r="10" spans="1:9">
      <c r="A10" s="4277">
        <v>45931</v>
      </c>
      <c r="B10" s="4273">
        <v>13</v>
      </c>
      <c r="C10" s="4273">
        <v>404</v>
      </c>
      <c r="D10" s="4278">
        <v>8229</v>
      </c>
      <c r="E10" s="4273">
        <v>332.06</v>
      </c>
      <c r="F10" s="4273" t="s">
        <v>627</v>
      </c>
      <c r="G10" s="4273" t="s">
        <v>627</v>
      </c>
      <c r="H10" s="4273">
        <v>456</v>
      </c>
      <c r="I10" s="4278">
        <v>14255</v>
      </c>
    </row>
    <row r="11" spans="1:9">
      <c r="A11" s="4277">
        <v>45901</v>
      </c>
      <c r="B11" s="4273">
        <v>11</v>
      </c>
      <c r="C11" s="4273">
        <v>341</v>
      </c>
      <c r="D11" s="4278">
        <v>8425</v>
      </c>
      <c r="E11" s="4273">
        <v>287.64999999999998</v>
      </c>
      <c r="F11" s="4273" t="s">
        <v>627</v>
      </c>
      <c r="G11" s="4273" t="s">
        <v>627</v>
      </c>
      <c r="H11" s="4273">
        <v>459</v>
      </c>
      <c r="I11" s="4278">
        <v>14348</v>
      </c>
    </row>
    <row r="12" spans="1:9">
      <c r="A12" s="4277">
        <v>45870</v>
      </c>
      <c r="B12" s="4273">
        <v>2</v>
      </c>
      <c r="C12" s="4273">
        <v>62</v>
      </c>
      <c r="D12" s="4278">
        <v>7974</v>
      </c>
      <c r="E12" s="4273">
        <v>49.5</v>
      </c>
      <c r="F12" s="4273" t="s">
        <v>627</v>
      </c>
      <c r="G12" s="4273" t="s">
        <v>627</v>
      </c>
      <c r="H12" s="4273">
        <v>480</v>
      </c>
      <c r="I12" s="4278">
        <v>15000</v>
      </c>
    </row>
    <row r="13" spans="1:9">
      <c r="A13" s="4277">
        <v>45839</v>
      </c>
      <c r="B13" s="4273">
        <v>12</v>
      </c>
      <c r="C13" s="4273">
        <v>372</v>
      </c>
      <c r="D13" s="4278">
        <v>8282</v>
      </c>
      <c r="E13" s="4273">
        <v>308.49</v>
      </c>
      <c r="F13" s="4273" t="s">
        <v>627</v>
      </c>
      <c r="G13" s="4273" t="s">
        <v>627</v>
      </c>
      <c r="H13" s="4273">
        <v>482</v>
      </c>
      <c r="I13" s="4278">
        <v>15062</v>
      </c>
    </row>
    <row r="14" spans="1:9">
      <c r="A14" s="4277">
        <v>45809</v>
      </c>
      <c r="B14" s="4273">
        <v>18</v>
      </c>
      <c r="C14" s="4273">
        <v>559</v>
      </c>
      <c r="D14" s="4278">
        <v>8300</v>
      </c>
      <c r="E14" s="4273">
        <v>463.74</v>
      </c>
      <c r="F14" s="4273" t="s">
        <v>627</v>
      </c>
      <c r="G14" s="4273" t="s">
        <v>627</v>
      </c>
      <c r="H14" s="4273">
        <v>493</v>
      </c>
      <c r="I14" s="4278">
        <v>15403</v>
      </c>
    </row>
    <row r="15" spans="1:9">
      <c r="A15" s="4277">
        <v>45778</v>
      </c>
      <c r="B15" s="4273">
        <v>14</v>
      </c>
      <c r="C15" s="4273">
        <v>450</v>
      </c>
      <c r="D15" s="4278">
        <v>8101</v>
      </c>
      <c r="E15" s="4273">
        <v>364.61</v>
      </c>
      <c r="F15" s="4273" t="s">
        <v>627</v>
      </c>
      <c r="G15" s="4273" t="s">
        <v>627</v>
      </c>
      <c r="H15" s="4273">
        <v>512</v>
      </c>
      <c r="I15" s="4278">
        <v>15993</v>
      </c>
    </row>
    <row r="16" spans="1:9">
      <c r="A16" s="4277">
        <v>45748</v>
      </c>
      <c r="B16" s="4273">
        <v>2</v>
      </c>
      <c r="C16" s="4273">
        <v>62</v>
      </c>
      <c r="D16" s="4278">
        <v>8376</v>
      </c>
      <c r="E16" s="4273">
        <v>52</v>
      </c>
      <c r="F16" s="4273" t="s">
        <v>627</v>
      </c>
      <c r="G16" s="4273" t="s">
        <v>627</v>
      </c>
      <c r="H16" s="4273">
        <v>527</v>
      </c>
      <c r="I16" s="4278">
        <v>16474</v>
      </c>
    </row>
    <row r="17" spans="1:16">
      <c r="A17" s="4277">
        <v>45717</v>
      </c>
      <c r="B17" s="4273">
        <v>8</v>
      </c>
      <c r="C17" s="4273">
        <v>248</v>
      </c>
      <c r="D17" s="4278">
        <v>9329</v>
      </c>
      <c r="E17" s="4273">
        <v>231.66</v>
      </c>
      <c r="F17" s="4273" t="s">
        <v>627</v>
      </c>
      <c r="G17" s="4273" t="s">
        <v>627</v>
      </c>
      <c r="H17" s="4273">
        <v>529</v>
      </c>
      <c r="I17" s="4278">
        <v>16536</v>
      </c>
    </row>
    <row r="18" spans="1:16">
      <c r="A18" s="4277">
        <v>45689</v>
      </c>
      <c r="B18" s="4273">
        <v>1</v>
      </c>
      <c r="C18" s="4273">
        <v>31</v>
      </c>
      <c r="D18" s="4278">
        <v>7732</v>
      </c>
      <c r="E18" s="4273">
        <v>23.97</v>
      </c>
      <c r="F18" s="4273" t="s">
        <v>627</v>
      </c>
      <c r="G18" s="4273" t="s">
        <v>627</v>
      </c>
      <c r="H18" s="4273">
        <v>537</v>
      </c>
      <c r="I18" s="4278">
        <v>16784</v>
      </c>
    </row>
    <row r="19" spans="1:16">
      <c r="A19" s="4277">
        <v>45658</v>
      </c>
      <c r="B19" s="4273">
        <v>1</v>
      </c>
      <c r="C19" s="4273">
        <v>31</v>
      </c>
      <c r="D19" s="4278">
        <v>8376</v>
      </c>
      <c r="E19" s="4273">
        <v>26</v>
      </c>
      <c r="F19" s="4273" t="s">
        <v>627</v>
      </c>
      <c r="G19" s="4273" t="s">
        <v>627</v>
      </c>
      <c r="H19" s="4273">
        <v>538</v>
      </c>
      <c r="I19" s="4278">
        <v>16815</v>
      </c>
    </row>
    <row r="20" spans="1:16">
      <c r="A20" s="4277">
        <v>45627</v>
      </c>
      <c r="B20" s="4273">
        <v>1</v>
      </c>
      <c r="C20" s="4273">
        <v>31</v>
      </c>
      <c r="D20" s="4278">
        <v>8376</v>
      </c>
      <c r="E20" s="4273">
        <v>26</v>
      </c>
      <c r="F20" s="4273" t="s">
        <v>627</v>
      </c>
      <c r="G20" s="4273" t="s">
        <v>627</v>
      </c>
      <c r="H20" s="4273">
        <v>539</v>
      </c>
      <c r="I20" s="4278">
        <v>16846</v>
      </c>
    </row>
    <row r="21" spans="1:16">
      <c r="A21" s="4277">
        <v>45597</v>
      </c>
      <c r="B21" s="4273">
        <v>3</v>
      </c>
      <c r="C21" s="4273">
        <v>93</v>
      </c>
      <c r="D21" s="4278">
        <v>8376</v>
      </c>
      <c r="E21" s="4273">
        <v>78</v>
      </c>
      <c r="F21" s="4273" t="s">
        <v>627</v>
      </c>
      <c r="G21" s="4273" t="s">
        <v>627</v>
      </c>
      <c r="H21" s="4273">
        <v>540</v>
      </c>
      <c r="I21" s="4278">
        <v>16878</v>
      </c>
    </row>
    <row r="22" spans="1:16">
      <c r="A22" s="4277">
        <v>45566</v>
      </c>
      <c r="B22" s="4273">
        <v>6</v>
      </c>
      <c r="C22" s="4273">
        <v>186</v>
      </c>
      <c r="D22" s="4278">
        <v>8430</v>
      </c>
      <c r="E22" s="4273">
        <v>157</v>
      </c>
      <c r="F22" s="4273" t="s">
        <v>627</v>
      </c>
      <c r="G22" s="4273" t="s">
        <v>627</v>
      </c>
      <c r="H22" s="4273">
        <v>543</v>
      </c>
      <c r="I22" s="4278">
        <v>16971</v>
      </c>
    </row>
    <row r="23" spans="1:16">
      <c r="A23" s="4277">
        <v>45536</v>
      </c>
      <c r="B23" s="4273">
        <v>4</v>
      </c>
      <c r="C23" s="4273">
        <v>124</v>
      </c>
      <c r="D23" s="4278">
        <v>8376</v>
      </c>
      <c r="E23" s="4273">
        <v>104</v>
      </c>
      <c r="F23" s="4273" t="s">
        <v>627</v>
      </c>
      <c r="G23" s="4273" t="s">
        <v>627</v>
      </c>
      <c r="H23" s="4273">
        <v>549</v>
      </c>
      <c r="I23" s="4278">
        <v>17157</v>
      </c>
    </row>
    <row r="24" spans="1:16">
      <c r="A24" s="4277">
        <v>45505</v>
      </c>
      <c r="B24" s="4273">
        <v>3</v>
      </c>
      <c r="C24" s="4273">
        <v>93</v>
      </c>
      <c r="D24" s="4278">
        <v>8430</v>
      </c>
      <c r="E24" s="4273">
        <v>78.5</v>
      </c>
      <c r="F24" s="4273" t="s">
        <v>627</v>
      </c>
      <c r="G24" s="4273" t="s">
        <v>627</v>
      </c>
      <c r="H24" s="4273">
        <v>553</v>
      </c>
      <c r="I24" s="4278">
        <v>17281</v>
      </c>
    </row>
    <row r="25" spans="1:16">
      <c r="A25" s="4277">
        <v>45474</v>
      </c>
      <c r="B25" s="4273">
        <v>10</v>
      </c>
      <c r="C25" s="4273">
        <v>310</v>
      </c>
      <c r="D25" s="4278">
        <v>8183</v>
      </c>
      <c r="E25" s="4273">
        <v>254</v>
      </c>
      <c r="F25" s="4273" t="s">
        <v>627</v>
      </c>
      <c r="G25" s="4273" t="s">
        <v>627</v>
      </c>
      <c r="H25" s="4273">
        <v>556</v>
      </c>
      <c r="I25" s="4278">
        <v>17374</v>
      </c>
    </row>
    <row r="26" spans="1:16">
      <c r="A26" s="4277">
        <v>45444</v>
      </c>
      <c r="B26" s="4273">
        <v>2</v>
      </c>
      <c r="C26" s="4273">
        <v>62</v>
      </c>
      <c r="D26" s="4278">
        <v>8054</v>
      </c>
      <c r="E26" s="4273">
        <v>50</v>
      </c>
      <c r="F26" s="4273" t="s">
        <v>627</v>
      </c>
      <c r="G26" s="4273" t="s">
        <v>627</v>
      </c>
      <c r="H26" s="4273">
        <v>566</v>
      </c>
      <c r="I26" s="4278">
        <v>17685</v>
      </c>
    </row>
    <row r="27" spans="1:16">
      <c r="A27" s="4277">
        <v>45413</v>
      </c>
      <c r="B27" s="4273">
        <v>3</v>
      </c>
      <c r="C27" s="4273">
        <v>93</v>
      </c>
      <c r="D27" s="4278">
        <v>8162</v>
      </c>
      <c r="E27" s="4273">
        <v>76</v>
      </c>
      <c r="F27" s="4273" t="s">
        <v>627</v>
      </c>
      <c r="G27" s="4273" t="s">
        <v>627</v>
      </c>
      <c r="H27" s="4273">
        <v>568</v>
      </c>
      <c r="I27" s="4278">
        <v>17747</v>
      </c>
    </row>
    <row r="28" spans="1:16">
      <c r="A28" s="4277">
        <v>45383</v>
      </c>
      <c r="B28" s="4273">
        <v>14</v>
      </c>
      <c r="C28" s="4273">
        <v>435</v>
      </c>
      <c r="D28" s="4278">
        <v>8319</v>
      </c>
      <c r="E28" s="4273">
        <v>361.5</v>
      </c>
      <c r="F28" s="4273" t="s">
        <v>627</v>
      </c>
      <c r="G28" s="4273" t="s">
        <v>627</v>
      </c>
      <c r="H28" s="4273">
        <v>571</v>
      </c>
      <c r="I28" s="4278">
        <v>17840</v>
      </c>
      <c r="M28" s="4292"/>
      <c r="N28" s="4292"/>
      <c r="O28" s="4292"/>
      <c r="P28" s="4292"/>
    </row>
    <row r="29" spans="1:16">
      <c r="A29" s="4277">
        <v>45352</v>
      </c>
      <c r="B29" s="4273">
        <v>26</v>
      </c>
      <c r="C29" s="4273">
        <v>807</v>
      </c>
      <c r="D29" s="4278">
        <v>8234</v>
      </c>
      <c r="E29" s="4273">
        <v>664.5</v>
      </c>
      <c r="F29" s="4273">
        <v>611</v>
      </c>
      <c r="G29" s="4278">
        <v>19081</v>
      </c>
      <c r="H29" s="4273">
        <v>585</v>
      </c>
      <c r="I29" s="4278">
        <v>18274</v>
      </c>
      <c r="K29" s="4292"/>
    </row>
    <row r="30" spans="1:16">
      <c r="A30" s="4284" t="s">
        <v>4202</v>
      </c>
      <c r="K30" s="4292"/>
    </row>
    <row r="31" spans="1:16">
      <c r="A31" s="4284" t="s">
        <v>4203</v>
      </c>
      <c r="K31" s="4292"/>
    </row>
    <row r="32" spans="1:16">
      <c r="A32" s="4284" t="s">
        <v>4204</v>
      </c>
    </row>
  </sheetData>
  <phoneticPr fontId="13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1B11-53F2-4C81-870D-3CD5BBF29DE4}">
  <sheetPr>
    <tabColor theme="5" tint="0.59999389629810485"/>
  </sheetPr>
  <dimension ref="A1:J19"/>
  <sheetViews>
    <sheetView workbookViewId="0">
      <selection activeCell="L12" sqref="L12"/>
    </sheetView>
  </sheetViews>
  <sheetFormatPr defaultRowHeight="13.5"/>
  <cols>
    <col min="1" max="1" width="10.5" style="4284" bestFit="1" customWidth="1"/>
    <col min="2" max="16384" width="9" style="4284"/>
  </cols>
  <sheetData>
    <row r="1" spans="1:10">
      <c r="A1" s="4273" t="s">
        <v>4205</v>
      </c>
      <c r="B1" s="4273"/>
      <c r="C1" s="4273"/>
      <c r="D1" s="4273"/>
      <c r="E1" s="4273"/>
      <c r="F1" s="4273"/>
      <c r="G1" s="4273"/>
      <c r="H1" s="4273"/>
      <c r="I1" s="4273"/>
      <c r="J1" s="4273"/>
    </row>
    <row r="2" spans="1:10">
      <c r="A2" s="4273" t="s">
        <v>4206</v>
      </c>
      <c r="B2" s="4273"/>
      <c r="C2" s="4273"/>
      <c r="D2" s="4273"/>
      <c r="E2" s="4273"/>
      <c r="F2" s="4273"/>
      <c r="G2" s="4273"/>
      <c r="H2" s="4273"/>
      <c r="I2" s="4273"/>
      <c r="J2" s="4273"/>
    </row>
    <row r="3" spans="1:10">
      <c r="A3" s="4273" t="s">
        <v>4207</v>
      </c>
      <c r="B3" s="4273"/>
      <c r="C3" s="4273"/>
      <c r="D3" s="4273"/>
      <c r="E3" s="4273"/>
      <c r="F3" s="4273"/>
      <c r="G3" s="4273"/>
      <c r="H3" s="4273"/>
      <c r="I3" s="4273"/>
      <c r="J3" s="4273"/>
    </row>
    <row r="4" spans="1:10">
      <c r="A4" s="4273" t="s">
        <v>4201</v>
      </c>
      <c r="B4" s="4273"/>
      <c r="C4" s="4273"/>
      <c r="D4" s="4273"/>
      <c r="E4" s="4273"/>
      <c r="F4" s="4273"/>
      <c r="G4" s="4273"/>
      <c r="H4" s="4273"/>
      <c r="I4" s="4273"/>
      <c r="J4" s="4273"/>
    </row>
    <row r="5" spans="1:10">
      <c r="A5" s="4273" t="s">
        <v>4188</v>
      </c>
      <c r="B5" s="4273" t="s">
        <v>4189</v>
      </c>
      <c r="C5" s="4273" t="s">
        <v>4190</v>
      </c>
      <c r="D5" s="4273" t="s">
        <v>4191</v>
      </c>
      <c r="E5" s="4273" t="s">
        <v>4192</v>
      </c>
      <c r="F5" s="4273" t="s">
        <v>4193</v>
      </c>
      <c r="G5" s="4273" t="s">
        <v>4194</v>
      </c>
      <c r="H5" s="4273" t="s">
        <v>4195</v>
      </c>
      <c r="I5" s="4273" t="s">
        <v>4196</v>
      </c>
      <c r="J5" s="4273"/>
    </row>
    <row r="6" spans="1:10">
      <c r="A6" s="4273" t="s">
        <v>4197</v>
      </c>
      <c r="B6" s="4273">
        <v>225</v>
      </c>
      <c r="C6" s="4278">
        <v>6991</v>
      </c>
      <c r="D6" s="4278">
        <v>8739</v>
      </c>
      <c r="E6" s="4279">
        <v>6109.51</v>
      </c>
      <c r="F6" s="4273">
        <v>858</v>
      </c>
      <c r="G6" s="4278">
        <v>19013</v>
      </c>
      <c r="H6" s="4273" t="s">
        <v>627</v>
      </c>
      <c r="I6" s="4273" t="s">
        <v>627</v>
      </c>
      <c r="J6" s="4273"/>
    </row>
    <row r="7" spans="1:10">
      <c r="A7" s="4277">
        <v>46023</v>
      </c>
      <c r="B7" s="4273">
        <v>1</v>
      </c>
      <c r="C7" s="4273">
        <v>31</v>
      </c>
      <c r="D7" s="4278">
        <v>9068</v>
      </c>
      <c r="E7" s="4273">
        <v>27.97</v>
      </c>
      <c r="F7" s="4273" t="s">
        <v>627</v>
      </c>
      <c r="G7" s="4273" t="s">
        <v>627</v>
      </c>
      <c r="H7" s="4273">
        <v>633</v>
      </c>
      <c r="I7" s="4278">
        <v>12021</v>
      </c>
      <c r="J7" s="4273"/>
    </row>
    <row r="8" spans="1:10">
      <c r="A8" s="4277">
        <v>45992</v>
      </c>
      <c r="B8" s="4273">
        <v>11</v>
      </c>
      <c r="C8" s="4273">
        <v>348</v>
      </c>
      <c r="D8" s="4278">
        <v>7346</v>
      </c>
      <c r="E8" s="4273">
        <v>255.74</v>
      </c>
      <c r="F8" s="4273" t="s">
        <v>627</v>
      </c>
      <c r="G8" s="4273" t="s">
        <v>627</v>
      </c>
      <c r="H8" s="4273">
        <v>634</v>
      </c>
      <c r="I8" s="4278">
        <v>12052</v>
      </c>
      <c r="J8" s="4273"/>
    </row>
    <row r="9" spans="1:10">
      <c r="A9" s="4277">
        <v>45962</v>
      </c>
      <c r="B9" s="4273">
        <v>213</v>
      </c>
      <c r="C9" s="4278">
        <v>6612</v>
      </c>
      <c r="D9" s="4278">
        <v>8810</v>
      </c>
      <c r="E9" s="4279">
        <v>5825.81</v>
      </c>
      <c r="F9" s="4273" t="s">
        <v>627</v>
      </c>
      <c r="G9" s="4273" t="s">
        <v>627</v>
      </c>
      <c r="H9" s="4273">
        <v>645</v>
      </c>
      <c r="I9" s="4278">
        <v>12400</v>
      </c>
      <c r="J9" s="4273"/>
    </row>
    <row r="10" spans="1:10">
      <c r="A10" s="4277">
        <v>45931</v>
      </c>
      <c r="B10" s="4273" t="s">
        <v>627</v>
      </c>
      <c r="C10" s="4273" t="s">
        <v>627</v>
      </c>
      <c r="D10" s="4273" t="s">
        <v>627</v>
      </c>
      <c r="E10" s="4273" t="s">
        <v>627</v>
      </c>
      <c r="F10" s="4273">
        <v>427</v>
      </c>
      <c r="G10" s="4278">
        <v>5491</v>
      </c>
      <c r="H10" s="4273">
        <v>858</v>
      </c>
      <c r="I10" s="4278">
        <v>19013</v>
      </c>
      <c r="J10" s="4273"/>
    </row>
    <row r="11" spans="1:10">
      <c r="A11" s="4277">
        <v>45901</v>
      </c>
      <c r="B11" s="4273" t="s">
        <v>627</v>
      </c>
      <c r="C11" s="4273" t="s">
        <v>627</v>
      </c>
      <c r="D11" s="4273" t="s">
        <v>627</v>
      </c>
      <c r="E11" s="4273" t="s">
        <v>627</v>
      </c>
      <c r="F11" s="4273" t="s">
        <v>627</v>
      </c>
      <c r="G11" s="4273" t="s">
        <v>627</v>
      </c>
      <c r="H11" s="4273">
        <v>431</v>
      </c>
      <c r="I11" s="4278">
        <v>13522</v>
      </c>
      <c r="J11" s="4273"/>
    </row>
    <row r="12" spans="1:10">
      <c r="A12" s="4277">
        <v>45870</v>
      </c>
      <c r="B12" s="4273" t="s">
        <v>627</v>
      </c>
      <c r="C12" s="4273" t="s">
        <v>627</v>
      </c>
      <c r="D12" s="4273" t="s">
        <v>627</v>
      </c>
      <c r="E12" s="4273" t="s">
        <v>627</v>
      </c>
      <c r="F12" s="4273" t="s">
        <v>627</v>
      </c>
      <c r="G12" s="4273" t="s">
        <v>627</v>
      </c>
      <c r="H12" s="4273">
        <v>431</v>
      </c>
      <c r="I12" s="4278">
        <v>13522</v>
      </c>
      <c r="J12" s="4273"/>
    </row>
    <row r="13" spans="1:10">
      <c r="A13" s="4277">
        <v>45839</v>
      </c>
      <c r="B13" s="4273" t="s">
        <v>627</v>
      </c>
      <c r="C13" s="4273" t="s">
        <v>627</v>
      </c>
      <c r="D13" s="4273" t="s">
        <v>627</v>
      </c>
      <c r="E13" s="4273" t="s">
        <v>627</v>
      </c>
      <c r="F13" s="4273" t="s">
        <v>627</v>
      </c>
      <c r="G13" s="4273" t="s">
        <v>627</v>
      </c>
      <c r="H13" s="4273">
        <v>431</v>
      </c>
      <c r="I13" s="4278">
        <v>13522</v>
      </c>
      <c r="J13" s="4273"/>
    </row>
    <row r="14" spans="1:10">
      <c r="A14" s="4277">
        <v>45809</v>
      </c>
      <c r="B14" s="4273" t="s">
        <v>627</v>
      </c>
      <c r="C14" s="4273" t="s">
        <v>627</v>
      </c>
      <c r="D14" s="4273" t="s">
        <v>627</v>
      </c>
      <c r="E14" s="4273" t="s">
        <v>627</v>
      </c>
      <c r="F14" s="4273" t="s">
        <v>627</v>
      </c>
      <c r="G14" s="4273" t="s">
        <v>627</v>
      </c>
      <c r="H14" s="4273">
        <v>431</v>
      </c>
      <c r="I14" s="4278">
        <v>13522</v>
      </c>
      <c r="J14" s="4273"/>
    </row>
    <row r="15" spans="1:10">
      <c r="A15" s="4277">
        <v>45778</v>
      </c>
      <c r="B15" s="4273" t="s">
        <v>627</v>
      </c>
      <c r="C15" s="4273" t="s">
        <v>627</v>
      </c>
      <c r="D15" s="4273" t="s">
        <v>627</v>
      </c>
      <c r="E15" s="4273" t="s">
        <v>627</v>
      </c>
      <c r="F15" s="4273" t="s">
        <v>627</v>
      </c>
      <c r="G15" s="4273" t="s">
        <v>627</v>
      </c>
      <c r="H15" s="4273">
        <v>431</v>
      </c>
      <c r="I15" s="4278">
        <v>13522</v>
      </c>
      <c r="J15" s="4273"/>
    </row>
    <row r="16" spans="1:10">
      <c r="A16" s="4277">
        <v>45748</v>
      </c>
      <c r="B16" s="4273" t="s">
        <v>627</v>
      </c>
      <c r="C16" s="4273" t="s">
        <v>627</v>
      </c>
      <c r="D16" s="4273" t="s">
        <v>627</v>
      </c>
      <c r="E16" s="4273" t="s">
        <v>627</v>
      </c>
      <c r="F16" s="4273">
        <v>431</v>
      </c>
      <c r="G16" s="4278">
        <v>13522</v>
      </c>
      <c r="H16" s="4273">
        <v>431</v>
      </c>
      <c r="I16" s="4278">
        <v>13522</v>
      </c>
      <c r="J16" s="4273"/>
    </row>
    <row r="17" spans="1:10">
      <c r="A17" s="4273" t="s">
        <v>4208</v>
      </c>
      <c r="B17" s="4273"/>
      <c r="C17" s="4273"/>
      <c r="D17" s="4273"/>
      <c r="E17" s="4273"/>
      <c r="F17" s="4273"/>
      <c r="G17" s="4273"/>
      <c r="H17" s="4273"/>
      <c r="I17" s="4273"/>
      <c r="J17" s="4273"/>
    </row>
    <row r="18" spans="1:10">
      <c r="A18" s="4273" t="s">
        <v>4203</v>
      </c>
      <c r="B18" s="4273"/>
      <c r="C18" s="4273"/>
      <c r="D18" s="4273"/>
      <c r="E18" s="4273"/>
      <c r="F18" s="4273"/>
      <c r="G18" s="4273"/>
      <c r="H18" s="4273"/>
      <c r="I18" s="4273"/>
      <c r="J18" s="4273"/>
    </row>
    <row r="19" spans="1:10">
      <c r="A19" s="4273" t="s">
        <v>4204</v>
      </c>
      <c r="B19" s="4273"/>
      <c r="C19" s="4273"/>
      <c r="D19" s="4273"/>
      <c r="E19" s="4273"/>
      <c r="F19" s="4273"/>
      <c r="G19" s="4273"/>
      <c r="H19" s="4273"/>
      <c r="I19" s="4273"/>
      <c r="J19" s="4273"/>
    </row>
  </sheetData>
  <phoneticPr fontId="13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DD306-1A95-4BA8-83A9-D261A2E926A1}">
  <sheetPr>
    <tabColor theme="5" tint="0.59999389629810485"/>
  </sheetPr>
  <dimension ref="A1:I30"/>
  <sheetViews>
    <sheetView workbookViewId="0">
      <selection activeCell="F9" sqref="F9"/>
    </sheetView>
  </sheetViews>
  <sheetFormatPr defaultRowHeight="13.5"/>
  <cols>
    <col min="1" max="1" width="10.5" style="4303" bestFit="1" customWidth="1"/>
    <col min="2" max="3" width="13.125" style="4304" bestFit="1" customWidth="1"/>
    <col min="4" max="4" width="16.375" style="4304" bestFit="1" customWidth="1"/>
    <col min="5" max="5" width="15.25" style="4304" bestFit="1" customWidth="1"/>
    <col min="6" max="7" width="17.375" style="4304" bestFit="1" customWidth="1"/>
    <col min="8" max="9" width="13.125" style="4304" bestFit="1" customWidth="1"/>
    <col min="10" max="16384" width="9" style="4302"/>
  </cols>
  <sheetData>
    <row r="1" spans="1:9">
      <c r="A1" s="4303" t="s">
        <v>4188</v>
      </c>
      <c r="B1" s="4304" t="s">
        <v>4189</v>
      </c>
      <c r="C1" s="4304" t="s">
        <v>4190</v>
      </c>
      <c r="D1" s="4304" t="s">
        <v>4191</v>
      </c>
      <c r="E1" s="4304" t="s">
        <v>4192</v>
      </c>
      <c r="F1" s="4304" t="s">
        <v>4193</v>
      </c>
      <c r="G1" s="4304" t="s">
        <v>4194</v>
      </c>
      <c r="H1" s="4304" t="s">
        <v>4195</v>
      </c>
      <c r="I1" s="4304" t="s">
        <v>4196</v>
      </c>
    </row>
    <row r="2" spans="1:9">
      <c r="A2" s="4303" t="s">
        <v>4197</v>
      </c>
      <c r="B2" s="4304">
        <v>851</v>
      </c>
      <c r="C2" s="4305">
        <v>35626</v>
      </c>
      <c r="D2" s="4305">
        <v>11594</v>
      </c>
      <c r="E2" s="4306">
        <v>41306.46</v>
      </c>
      <c r="F2" s="4305">
        <v>1160</v>
      </c>
      <c r="G2" s="4305">
        <v>48554</v>
      </c>
      <c r="H2" s="4304">
        <v>10</v>
      </c>
      <c r="I2" s="4304">
        <v>415</v>
      </c>
    </row>
    <row r="3" spans="1:9">
      <c r="A3" s="4303">
        <v>46054</v>
      </c>
      <c r="B3" s="4304">
        <v>1</v>
      </c>
      <c r="C3" s="4304">
        <v>41</v>
      </c>
      <c r="D3" s="4305">
        <v>12993</v>
      </c>
      <c r="E3" s="4304">
        <v>53.89</v>
      </c>
      <c r="F3" s="4304" t="s">
        <v>627</v>
      </c>
      <c r="G3" s="4304" t="s">
        <v>627</v>
      </c>
      <c r="H3" s="4304">
        <v>10</v>
      </c>
      <c r="I3" s="4304">
        <v>415</v>
      </c>
    </row>
    <row r="4" spans="1:9">
      <c r="A4" s="4303">
        <v>46023</v>
      </c>
      <c r="B4" s="4304">
        <v>2</v>
      </c>
      <c r="C4" s="4304">
        <v>83</v>
      </c>
      <c r="D4" s="4305">
        <v>10634</v>
      </c>
      <c r="E4" s="4304">
        <v>88.22</v>
      </c>
      <c r="F4" s="4304" t="s">
        <v>627</v>
      </c>
      <c r="G4" s="4304" t="s">
        <v>627</v>
      </c>
      <c r="H4" s="4304">
        <v>13</v>
      </c>
      <c r="I4" s="4304">
        <v>539</v>
      </c>
    </row>
    <row r="5" spans="1:9">
      <c r="A5" s="4303">
        <v>45992</v>
      </c>
      <c r="B5" s="4304">
        <v>59</v>
      </c>
      <c r="C5" s="4305">
        <v>2462</v>
      </c>
      <c r="D5" s="4305">
        <v>5887</v>
      </c>
      <c r="E5" s="4306">
        <v>1449.47</v>
      </c>
      <c r="F5" s="4304" t="s">
        <v>627</v>
      </c>
      <c r="G5" s="4304" t="s">
        <v>627</v>
      </c>
      <c r="H5" s="4304">
        <v>28</v>
      </c>
      <c r="I5" s="4305">
        <v>1176</v>
      </c>
    </row>
    <row r="6" spans="1:9">
      <c r="A6" s="4303">
        <v>45962</v>
      </c>
      <c r="B6" s="4304" t="s">
        <v>627</v>
      </c>
      <c r="C6" s="4304" t="s">
        <v>627</v>
      </c>
      <c r="D6" s="4304" t="s">
        <v>627</v>
      </c>
      <c r="E6" s="4304" t="s">
        <v>627</v>
      </c>
      <c r="F6" s="4304" t="s">
        <v>627</v>
      </c>
      <c r="G6" s="4304" t="s">
        <v>627</v>
      </c>
      <c r="H6" s="4304">
        <v>30</v>
      </c>
      <c r="I6" s="4305">
        <v>1259</v>
      </c>
    </row>
    <row r="7" spans="1:9">
      <c r="A7" s="4303">
        <v>45931</v>
      </c>
      <c r="B7" s="4304" t="s">
        <v>627</v>
      </c>
      <c r="C7" s="4304" t="s">
        <v>627</v>
      </c>
      <c r="D7" s="4304" t="s">
        <v>627</v>
      </c>
      <c r="E7" s="4304" t="s">
        <v>627</v>
      </c>
      <c r="F7" s="4304" t="s">
        <v>627</v>
      </c>
      <c r="G7" s="4304" t="s">
        <v>627</v>
      </c>
      <c r="H7" s="4304">
        <v>87</v>
      </c>
      <c r="I7" s="4305">
        <v>3638</v>
      </c>
    </row>
    <row r="8" spans="1:9">
      <c r="A8" s="4303">
        <v>45901</v>
      </c>
      <c r="B8" s="4304" t="s">
        <v>627</v>
      </c>
      <c r="C8" s="4304" t="s">
        <v>627</v>
      </c>
      <c r="D8" s="4304" t="s">
        <v>627</v>
      </c>
      <c r="E8" s="4304" t="s">
        <v>627</v>
      </c>
      <c r="F8" s="4304" t="s">
        <v>627</v>
      </c>
      <c r="G8" s="4304" t="s">
        <v>627</v>
      </c>
      <c r="H8" s="4304">
        <v>87</v>
      </c>
      <c r="I8" s="4305">
        <v>3638</v>
      </c>
    </row>
    <row r="9" spans="1:9">
      <c r="A9" s="4303">
        <v>45870</v>
      </c>
      <c r="B9" s="4304">
        <v>8</v>
      </c>
      <c r="C9" s="4304">
        <v>332</v>
      </c>
      <c r="D9" s="4305">
        <v>9161</v>
      </c>
      <c r="E9" s="4304">
        <v>304</v>
      </c>
      <c r="F9" s="4304" t="s">
        <v>627</v>
      </c>
      <c r="G9" s="4304" t="s">
        <v>627</v>
      </c>
      <c r="H9" s="4304">
        <v>87</v>
      </c>
      <c r="I9" s="4305">
        <v>3638</v>
      </c>
    </row>
    <row r="10" spans="1:9">
      <c r="A10" s="4303">
        <v>45839</v>
      </c>
      <c r="B10" s="4304">
        <v>29</v>
      </c>
      <c r="C10" s="4305">
        <v>1272</v>
      </c>
      <c r="D10" s="4305">
        <v>9161</v>
      </c>
      <c r="E10" s="4306">
        <v>1165.43</v>
      </c>
      <c r="F10" s="4304" t="s">
        <v>627</v>
      </c>
      <c r="G10" s="4304" t="s">
        <v>627</v>
      </c>
      <c r="H10" s="4304">
        <v>1</v>
      </c>
      <c r="I10" s="4304">
        <v>41</v>
      </c>
    </row>
    <row r="11" spans="1:9">
      <c r="A11" s="4303">
        <v>45809</v>
      </c>
      <c r="B11" s="4304" t="s">
        <v>627</v>
      </c>
      <c r="C11" s="4304" t="s">
        <v>627</v>
      </c>
      <c r="D11" s="4304" t="s">
        <v>627</v>
      </c>
      <c r="E11" s="4304" t="s">
        <v>627</v>
      </c>
      <c r="F11" s="4304" t="s">
        <v>627</v>
      </c>
      <c r="G11" s="4304" t="s">
        <v>627</v>
      </c>
      <c r="H11" s="4304">
        <v>517</v>
      </c>
      <c r="I11" s="4305">
        <v>21634</v>
      </c>
    </row>
    <row r="12" spans="1:9">
      <c r="A12" s="4303">
        <v>45778</v>
      </c>
      <c r="B12" s="4304">
        <v>2</v>
      </c>
      <c r="C12" s="4304">
        <v>83</v>
      </c>
      <c r="D12" s="4305">
        <v>9161</v>
      </c>
      <c r="E12" s="4304">
        <v>76</v>
      </c>
      <c r="F12" s="4304" t="s">
        <v>627</v>
      </c>
      <c r="G12" s="4304" t="s">
        <v>627</v>
      </c>
      <c r="H12" s="4304">
        <v>517</v>
      </c>
      <c r="I12" s="4305">
        <v>21634</v>
      </c>
    </row>
    <row r="13" spans="1:9">
      <c r="A13" s="4303">
        <v>45748</v>
      </c>
      <c r="B13" s="4304" t="s">
        <v>627</v>
      </c>
      <c r="C13" s="4304" t="s">
        <v>627</v>
      </c>
      <c r="D13" s="4304" t="s">
        <v>627</v>
      </c>
      <c r="E13" s="4304" t="s">
        <v>627</v>
      </c>
      <c r="F13" s="4304" t="s">
        <v>627</v>
      </c>
      <c r="G13" s="4304" t="s">
        <v>627</v>
      </c>
      <c r="H13" s="4304">
        <v>524</v>
      </c>
      <c r="I13" s="4305">
        <v>21924</v>
      </c>
    </row>
    <row r="14" spans="1:9">
      <c r="A14" s="4303">
        <v>45717</v>
      </c>
      <c r="B14" s="4304" t="s">
        <v>627</v>
      </c>
      <c r="C14" s="4304" t="s">
        <v>627</v>
      </c>
      <c r="D14" s="4304" t="s">
        <v>627</v>
      </c>
      <c r="E14" s="4304" t="s">
        <v>627</v>
      </c>
      <c r="F14" s="4304" t="s">
        <v>627</v>
      </c>
      <c r="G14" s="4304" t="s">
        <v>627</v>
      </c>
      <c r="H14" s="4304">
        <v>524</v>
      </c>
      <c r="I14" s="4305">
        <v>21924</v>
      </c>
    </row>
    <row r="15" spans="1:9">
      <c r="A15" s="4303">
        <v>45689</v>
      </c>
      <c r="B15" s="4304" t="s">
        <v>627</v>
      </c>
      <c r="C15" s="4304" t="s">
        <v>627</v>
      </c>
      <c r="D15" s="4304" t="s">
        <v>627</v>
      </c>
      <c r="E15" s="4304" t="s">
        <v>627</v>
      </c>
      <c r="F15" s="4304" t="s">
        <v>627</v>
      </c>
      <c r="G15" s="4304" t="s">
        <v>627</v>
      </c>
      <c r="H15" s="4304">
        <v>524</v>
      </c>
      <c r="I15" s="4305">
        <v>21924</v>
      </c>
    </row>
    <row r="16" spans="1:9">
      <c r="A16" s="4303">
        <v>45658</v>
      </c>
      <c r="B16" s="4304" t="s">
        <v>627</v>
      </c>
      <c r="C16" s="4304" t="s">
        <v>627</v>
      </c>
      <c r="D16" s="4304" t="s">
        <v>627</v>
      </c>
      <c r="E16" s="4304" t="s">
        <v>627</v>
      </c>
      <c r="F16" s="4304" t="s">
        <v>627</v>
      </c>
      <c r="G16" s="4304" t="s">
        <v>627</v>
      </c>
      <c r="H16" s="4304">
        <v>524</v>
      </c>
      <c r="I16" s="4305">
        <v>21924</v>
      </c>
    </row>
    <row r="17" spans="1:9">
      <c r="A17" s="4303">
        <v>45627</v>
      </c>
      <c r="B17" s="4304">
        <v>5</v>
      </c>
      <c r="C17" s="4304">
        <v>207</v>
      </c>
      <c r="D17" s="4305">
        <v>9161</v>
      </c>
      <c r="E17" s="4304">
        <v>190</v>
      </c>
      <c r="F17" s="4304" t="s">
        <v>627</v>
      </c>
      <c r="G17" s="4304" t="s">
        <v>627</v>
      </c>
      <c r="H17" s="4304">
        <v>531</v>
      </c>
      <c r="I17" s="4305">
        <v>22245</v>
      </c>
    </row>
    <row r="18" spans="1:9">
      <c r="A18" s="4303">
        <v>45597</v>
      </c>
      <c r="B18" s="4304">
        <v>4</v>
      </c>
      <c r="C18" s="4304">
        <v>166</v>
      </c>
      <c r="D18" s="4305">
        <v>12054</v>
      </c>
      <c r="E18" s="4304">
        <v>200</v>
      </c>
      <c r="F18" s="4304" t="s">
        <v>627</v>
      </c>
      <c r="G18" s="4304" t="s">
        <v>627</v>
      </c>
      <c r="H18" s="4304">
        <v>536</v>
      </c>
      <c r="I18" s="4305">
        <v>22453</v>
      </c>
    </row>
    <row r="19" spans="1:9">
      <c r="A19" s="4303">
        <v>45566</v>
      </c>
      <c r="B19" s="4304" t="s">
        <v>627</v>
      </c>
      <c r="C19" s="4304" t="s">
        <v>627</v>
      </c>
      <c r="D19" s="4304" t="s">
        <v>627</v>
      </c>
      <c r="E19" s="4304" t="s">
        <v>627</v>
      </c>
      <c r="F19" s="4304" t="s">
        <v>627</v>
      </c>
      <c r="G19" s="4304" t="s">
        <v>627</v>
      </c>
      <c r="H19" s="4304">
        <v>540</v>
      </c>
      <c r="I19" s="4305">
        <v>22619</v>
      </c>
    </row>
    <row r="20" spans="1:9">
      <c r="A20" s="4303">
        <v>45536</v>
      </c>
      <c r="B20" s="4304">
        <v>6</v>
      </c>
      <c r="C20" s="4304">
        <v>249</v>
      </c>
      <c r="D20" s="4305">
        <v>12777</v>
      </c>
      <c r="E20" s="4304">
        <v>318</v>
      </c>
      <c r="F20" s="4304" t="s">
        <v>627</v>
      </c>
      <c r="G20" s="4304" t="s">
        <v>627</v>
      </c>
      <c r="H20" s="4304">
        <v>540</v>
      </c>
      <c r="I20" s="4305">
        <v>22619</v>
      </c>
    </row>
    <row r="21" spans="1:9">
      <c r="A21" s="4303">
        <v>45505</v>
      </c>
      <c r="B21" s="4304" t="s">
        <v>627</v>
      </c>
      <c r="C21" s="4304" t="s">
        <v>627</v>
      </c>
      <c r="D21" s="4304" t="s">
        <v>627</v>
      </c>
      <c r="E21" s="4304" t="s">
        <v>627</v>
      </c>
      <c r="F21" s="4304" t="s">
        <v>627</v>
      </c>
      <c r="G21" s="4304" t="s">
        <v>627</v>
      </c>
      <c r="H21" s="4304">
        <v>546</v>
      </c>
      <c r="I21" s="4305">
        <v>22868</v>
      </c>
    </row>
    <row r="22" spans="1:9">
      <c r="A22" s="4303">
        <v>45474</v>
      </c>
      <c r="B22" s="4304">
        <v>1</v>
      </c>
      <c r="C22" s="4304">
        <v>41</v>
      </c>
      <c r="D22" s="4305">
        <v>12150</v>
      </c>
      <c r="E22" s="4304">
        <v>50.4</v>
      </c>
      <c r="F22" s="4304" t="s">
        <v>627</v>
      </c>
      <c r="G22" s="4304" t="s">
        <v>627</v>
      </c>
      <c r="H22" s="4304">
        <v>546</v>
      </c>
      <c r="I22" s="4305">
        <v>22868</v>
      </c>
    </row>
    <row r="23" spans="1:9">
      <c r="A23" s="4303">
        <v>45444</v>
      </c>
      <c r="B23" s="4304">
        <v>2</v>
      </c>
      <c r="C23" s="4304">
        <v>83</v>
      </c>
      <c r="D23" s="4305">
        <v>10656</v>
      </c>
      <c r="E23" s="4304">
        <v>88.4</v>
      </c>
      <c r="F23" s="4304" t="s">
        <v>627</v>
      </c>
      <c r="G23" s="4304" t="s">
        <v>627</v>
      </c>
      <c r="H23" s="4304">
        <v>547</v>
      </c>
      <c r="I23" s="4305">
        <v>22909</v>
      </c>
    </row>
    <row r="24" spans="1:9">
      <c r="A24" s="4303">
        <v>45413</v>
      </c>
      <c r="B24" s="4304">
        <v>5</v>
      </c>
      <c r="C24" s="4304">
        <v>207</v>
      </c>
      <c r="D24" s="4305">
        <v>9759</v>
      </c>
      <c r="E24" s="4304">
        <v>202.4</v>
      </c>
      <c r="F24" s="4304" t="s">
        <v>627</v>
      </c>
      <c r="G24" s="4304" t="s">
        <v>627</v>
      </c>
      <c r="H24" s="4304">
        <v>549</v>
      </c>
      <c r="I24" s="4305">
        <v>22992</v>
      </c>
    </row>
    <row r="25" spans="1:9">
      <c r="A25" s="4303">
        <v>45383</v>
      </c>
      <c r="B25" s="4304">
        <v>4</v>
      </c>
      <c r="C25" s="4304">
        <v>166</v>
      </c>
      <c r="D25" s="4305">
        <v>9161</v>
      </c>
      <c r="E25" s="4304">
        <v>152</v>
      </c>
      <c r="F25" s="4304" t="s">
        <v>627</v>
      </c>
      <c r="G25" s="4304" t="s">
        <v>627</v>
      </c>
      <c r="H25" s="4304">
        <v>554</v>
      </c>
      <c r="I25" s="4305">
        <v>23199</v>
      </c>
    </row>
    <row r="26" spans="1:9">
      <c r="A26" s="4303">
        <v>45352</v>
      </c>
      <c r="B26" s="4304" t="s">
        <v>627</v>
      </c>
      <c r="C26" s="4304" t="s">
        <v>627</v>
      </c>
      <c r="D26" s="4304" t="s">
        <v>627</v>
      </c>
      <c r="E26" s="4304" t="s">
        <v>627</v>
      </c>
      <c r="F26" s="4304" t="s">
        <v>627</v>
      </c>
      <c r="G26" s="4304" t="s">
        <v>627</v>
      </c>
      <c r="H26" s="4304">
        <v>558</v>
      </c>
      <c r="I26" s="4305">
        <v>23365</v>
      </c>
    </row>
    <row r="27" spans="1:9">
      <c r="A27" s="4303">
        <v>45323</v>
      </c>
      <c r="B27" s="4304">
        <v>4</v>
      </c>
      <c r="C27" s="4304">
        <v>166</v>
      </c>
      <c r="D27" s="4305">
        <v>9161</v>
      </c>
      <c r="E27" s="4304">
        <v>152</v>
      </c>
      <c r="F27" s="4304" t="s">
        <v>627</v>
      </c>
      <c r="G27" s="4304" t="s">
        <v>627</v>
      </c>
      <c r="H27" s="4304">
        <v>557</v>
      </c>
      <c r="I27" s="4305">
        <v>23324</v>
      </c>
    </row>
    <row r="28" spans="1:9">
      <c r="A28" s="4303">
        <v>45292</v>
      </c>
      <c r="B28" s="4304">
        <v>4</v>
      </c>
      <c r="C28" s="4304">
        <v>166</v>
      </c>
      <c r="D28" s="4305">
        <v>9908</v>
      </c>
      <c r="E28" s="4304">
        <v>164.4</v>
      </c>
      <c r="F28" s="4304" t="s">
        <v>627</v>
      </c>
      <c r="G28" s="4304" t="s">
        <v>627</v>
      </c>
      <c r="H28" s="4304">
        <v>561</v>
      </c>
      <c r="I28" s="4305">
        <v>23490</v>
      </c>
    </row>
    <row r="29" spans="1:9">
      <c r="A29" s="4303">
        <v>45261</v>
      </c>
      <c r="B29" s="4304">
        <v>4</v>
      </c>
      <c r="C29" s="4304">
        <v>166</v>
      </c>
      <c r="D29" s="4305">
        <v>11331</v>
      </c>
      <c r="E29" s="4304">
        <v>188</v>
      </c>
      <c r="F29" s="4304" t="s">
        <v>627</v>
      </c>
      <c r="G29" s="4304" t="s">
        <v>627</v>
      </c>
      <c r="H29" s="4304">
        <v>565</v>
      </c>
      <c r="I29" s="4305">
        <v>23656</v>
      </c>
    </row>
    <row r="30" spans="1:9">
      <c r="A30" s="4303">
        <v>45231</v>
      </c>
      <c r="B30" s="4304" t="s">
        <v>627</v>
      </c>
      <c r="C30" s="4304" t="s">
        <v>627</v>
      </c>
      <c r="D30" s="4304" t="s">
        <v>627</v>
      </c>
      <c r="E30" s="4304" t="s">
        <v>627</v>
      </c>
      <c r="F30" s="4304" t="s">
        <v>627</v>
      </c>
      <c r="G30" s="4304" t="s">
        <v>627</v>
      </c>
      <c r="H30" s="4304">
        <v>569</v>
      </c>
      <c r="I30" s="4305">
        <v>23822</v>
      </c>
    </row>
  </sheetData>
  <phoneticPr fontId="1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79A2E-4471-4783-85A4-AA31D6BB9BC2}">
  <sheetPr>
    <tabColor theme="5" tint="0.59999389629810485"/>
  </sheetPr>
  <dimension ref="A1:I38"/>
  <sheetViews>
    <sheetView topLeftCell="A31" workbookViewId="0">
      <selection sqref="A1:A1048576"/>
    </sheetView>
  </sheetViews>
  <sheetFormatPr defaultRowHeight="13.5"/>
  <cols>
    <col min="1" max="1" width="10.5" style="4289" bestFit="1" customWidth="1"/>
    <col min="2" max="3" width="9" style="4284"/>
    <col min="4" max="4" width="9.25" style="4284" customWidth="1"/>
    <col min="5" max="16384" width="9" style="4284"/>
  </cols>
  <sheetData>
    <row r="1" spans="1:9">
      <c r="A1" s="4289" t="s">
        <v>4209</v>
      </c>
    </row>
    <row r="2" spans="1:9">
      <c r="A2" s="4289" t="s">
        <v>4210</v>
      </c>
    </row>
    <row r="3" spans="1:9">
      <c r="A3" s="4289" t="s">
        <v>4211</v>
      </c>
    </row>
    <row r="4" spans="1:9">
      <c r="A4" s="4289" t="s">
        <v>4201</v>
      </c>
    </row>
    <row r="5" spans="1:9">
      <c r="A5" s="4289" t="s">
        <v>4188</v>
      </c>
      <c r="B5" s="4284" t="s">
        <v>4189</v>
      </c>
      <c r="C5" s="4284" t="s">
        <v>4190</v>
      </c>
      <c r="D5" s="4284" t="s">
        <v>4191</v>
      </c>
      <c r="E5" s="4284" t="s">
        <v>4192</v>
      </c>
      <c r="F5" s="4284" t="s">
        <v>4193</v>
      </c>
      <c r="G5" s="4284" t="s">
        <v>4194</v>
      </c>
      <c r="H5" s="4284" t="s">
        <v>4195</v>
      </c>
      <c r="I5" s="4284" t="s">
        <v>4196</v>
      </c>
    </row>
    <row r="6" spans="1:9">
      <c r="A6" s="4289" t="s">
        <v>4197</v>
      </c>
      <c r="B6" s="4284">
        <v>820</v>
      </c>
      <c r="C6" s="4285">
        <v>29978</v>
      </c>
      <c r="D6" s="4285">
        <v>14490</v>
      </c>
      <c r="E6" s="4286">
        <v>43438.82</v>
      </c>
      <c r="F6" s="4284">
        <v>885</v>
      </c>
      <c r="G6" s="4285">
        <v>32395</v>
      </c>
      <c r="H6" s="4284" t="s">
        <v>627</v>
      </c>
      <c r="I6" s="4284" t="s">
        <v>627</v>
      </c>
    </row>
    <row r="7" spans="1:9">
      <c r="A7" s="4289">
        <v>46023</v>
      </c>
      <c r="B7" s="4284">
        <v>1</v>
      </c>
      <c r="C7" s="4284">
        <v>33</v>
      </c>
      <c r="D7" s="4285">
        <v>10695</v>
      </c>
      <c r="E7" s="4284">
        <v>35.17</v>
      </c>
      <c r="F7" s="4284" t="s">
        <v>627</v>
      </c>
      <c r="G7" s="4284" t="s">
        <v>627</v>
      </c>
      <c r="H7" s="4284">
        <v>81</v>
      </c>
      <c r="I7" s="4285">
        <v>2820</v>
      </c>
    </row>
    <row r="8" spans="1:9">
      <c r="A8" s="4289">
        <v>45992</v>
      </c>
      <c r="B8" s="4284">
        <v>6</v>
      </c>
      <c r="C8" s="4284">
        <v>197</v>
      </c>
      <c r="D8" s="4285">
        <v>13795</v>
      </c>
      <c r="E8" s="4284">
        <v>271.22000000000003</v>
      </c>
      <c r="F8" s="4284" t="s">
        <v>627</v>
      </c>
      <c r="G8" s="4284" t="s">
        <v>627</v>
      </c>
      <c r="H8" s="4284">
        <v>82</v>
      </c>
      <c r="I8" s="4285">
        <v>2852</v>
      </c>
    </row>
    <row r="9" spans="1:9">
      <c r="A9" s="4289">
        <v>45962</v>
      </c>
      <c r="B9" s="4284" t="s">
        <v>627</v>
      </c>
      <c r="C9" s="4284" t="s">
        <v>627</v>
      </c>
      <c r="D9" s="4284" t="s">
        <v>627</v>
      </c>
      <c r="E9" s="4284" t="s">
        <v>627</v>
      </c>
      <c r="F9" s="4284" t="s">
        <v>627</v>
      </c>
      <c r="G9" s="4284" t="s">
        <v>627</v>
      </c>
      <c r="H9" s="4284">
        <v>87</v>
      </c>
      <c r="I9" s="4285">
        <v>3016</v>
      </c>
    </row>
    <row r="10" spans="1:9">
      <c r="A10" s="4289">
        <v>45931</v>
      </c>
      <c r="B10" s="4284">
        <v>220</v>
      </c>
      <c r="C10" s="4285">
        <v>9774</v>
      </c>
      <c r="D10" s="4285">
        <v>9535</v>
      </c>
      <c r="E10" s="4286">
        <v>9319.4699999999993</v>
      </c>
      <c r="F10" s="4284" t="s">
        <v>627</v>
      </c>
      <c r="G10" s="4284" t="s">
        <v>627</v>
      </c>
      <c r="H10" s="4284">
        <v>88</v>
      </c>
      <c r="I10" s="4285">
        <v>3049</v>
      </c>
    </row>
    <row r="11" spans="1:9">
      <c r="A11" s="4289">
        <v>45901</v>
      </c>
      <c r="B11" s="4284">
        <v>2</v>
      </c>
      <c r="C11" s="4284">
        <v>66</v>
      </c>
      <c r="D11" s="4285">
        <v>15992</v>
      </c>
      <c r="E11" s="4284">
        <v>104.81</v>
      </c>
      <c r="F11" s="4284" t="s">
        <v>627</v>
      </c>
      <c r="G11" s="4284" t="s">
        <v>627</v>
      </c>
      <c r="H11" s="4284">
        <v>307</v>
      </c>
      <c r="I11" s="4285">
        <v>12808</v>
      </c>
    </row>
    <row r="12" spans="1:9">
      <c r="A12" s="4289">
        <v>45870</v>
      </c>
      <c r="B12" s="4284">
        <v>25</v>
      </c>
      <c r="C12" s="4284">
        <v>819</v>
      </c>
      <c r="D12" s="4285">
        <v>15530</v>
      </c>
      <c r="E12" s="4286">
        <v>1272.4100000000001</v>
      </c>
      <c r="F12" s="4284" t="s">
        <v>627</v>
      </c>
      <c r="G12" s="4284" t="s">
        <v>627</v>
      </c>
      <c r="H12" s="4284">
        <v>309</v>
      </c>
      <c r="I12" s="4285">
        <v>12856</v>
      </c>
    </row>
    <row r="13" spans="1:9">
      <c r="A13" s="4289">
        <v>45839</v>
      </c>
      <c r="B13" s="4284">
        <v>6</v>
      </c>
      <c r="C13" s="4284">
        <v>212</v>
      </c>
      <c r="D13" s="4285">
        <v>11899</v>
      </c>
      <c r="E13" s="4284">
        <v>252.3</v>
      </c>
      <c r="F13" s="4284" t="s">
        <v>627</v>
      </c>
      <c r="G13" s="4284" t="s">
        <v>627</v>
      </c>
      <c r="H13" s="4284">
        <v>335</v>
      </c>
      <c r="I13" s="4285">
        <v>13708</v>
      </c>
    </row>
    <row r="14" spans="1:9">
      <c r="A14" s="4289">
        <v>45809</v>
      </c>
      <c r="B14" s="4284">
        <v>4</v>
      </c>
      <c r="C14" s="4284">
        <v>131</v>
      </c>
      <c r="D14" s="4285">
        <v>16876</v>
      </c>
      <c r="E14" s="4284">
        <v>221.18</v>
      </c>
      <c r="F14" s="4284" t="s">
        <v>627</v>
      </c>
      <c r="G14" s="4284" t="s">
        <v>627</v>
      </c>
      <c r="H14" s="4284">
        <v>341</v>
      </c>
      <c r="I14" s="4285">
        <v>13920</v>
      </c>
    </row>
    <row r="15" spans="1:9">
      <c r="A15" s="4289">
        <v>45778</v>
      </c>
      <c r="B15" s="4284">
        <v>1</v>
      </c>
      <c r="C15" s="4284">
        <v>33</v>
      </c>
      <c r="D15" s="4285">
        <v>16885</v>
      </c>
      <c r="E15" s="4284">
        <v>55.33</v>
      </c>
      <c r="F15" s="4284" t="s">
        <v>627</v>
      </c>
      <c r="G15" s="4284" t="s">
        <v>627</v>
      </c>
      <c r="H15" s="4284">
        <v>345</v>
      </c>
      <c r="I15" s="4285">
        <v>14051</v>
      </c>
    </row>
    <row r="16" spans="1:9">
      <c r="A16" s="4289">
        <v>45748</v>
      </c>
      <c r="B16" s="4284">
        <v>4</v>
      </c>
      <c r="C16" s="4284">
        <v>131</v>
      </c>
      <c r="D16" s="4285">
        <v>17027</v>
      </c>
      <c r="E16" s="4284">
        <v>223.12</v>
      </c>
      <c r="F16" s="4284" t="s">
        <v>627</v>
      </c>
      <c r="G16" s="4284" t="s">
        <v>627</v>
      </c>
      <c r="H16" s="4284">
        <v>269</v>
      </c>
      <c r="I16" s="4285">
        <v>11398</v>
      </c>
    </row>
    <row r="17" spans="1:9">
      <c r="A17" s="4289">
        <v>45717</v>
      </c>
      <c r="B17" s="4284">
        <v>5</v>
      </c>
      <c r="C17" s="4284">
        <v>164</v>
      </c>
      <c r="D17" s="4285">
        <v>13815</v>
      </c>
      <c r="E17" s="4284">
        <v>226</v>
      </c>
      <c r="F17" s="4284" t="s">
        <v>627</v>
      </c>
      <c r="G17" s="4284" t="s">
        <v>627</v>
      </c>
      <c r="H17" s="4284">
        <v>273</v>
      </c>
      <c r="I17" s="4285">
        <v>11529</v>
      </c>
    </row>
    <row r="18" spans="1:9">
      <c r="A18" s="4289">
        <v>45689</v>
      </c>
      <c r="B18" s="4284">
        <v>9</v>
      </c>
      <c r="C18" s="4284">
        <v>327</v>
      </c>
      <c r="D18" s="4285">
        <v>13299</v>
      </c>
      <c r="E18" s="4284">
        <v>434.86</v>
      </c>
      <c r="F18" s="4284" t="s">
        <v>627</v>
      </c>
      <c r="G18" s="4284" t="s">
        <v>627</v>
      </c>
      <c r="H18" s="4284">
        <v>278</v>
      </c>
      <c r="I18" s="4285">
        <v>11692</v>
      </c>
    </row>
    <row r="19" spans="1:9">
      <c r="A19" s="4289">
        <v>45658</v>
      </c>
      <c r="B19" s="4284">
        <v>3</v>
      </c>
      <c r="C19" s="4284">
        <v>114</v>
      </c>
      <c r="D19" s="4285">
        <v>14763</v>
      </c>
      <c r="E19" s="4284">
        <v>168.75</v>
      </c>
      <c r="F19" s="4284" t="s">
        <v>627</v>
      </c>
      <c r="G19" s="4284" t="s">
        <v>627</v>
      </c>
      <c r="H19" s="4284">
        <v>287</v>
      </c>
      <c r="I19" s="4285">
        <v>12019</v>
      </c>
    </row>
    <row r="20" spans="1:9">
      <c r="A20" s="4289">
        <v>45627</v>
      </c>
      <c r="B20" s="4284">
        <v>8</v>
      </c>
      <c r="C20" s="4284">
        <v>262</v>
      </c>
      <c r="D20" s="4285">
        <v>15155</v>
      </c>
      <c r="E20" s="4284">
        <v>397.2</v>
      </c>
      <c r="F20" s="4284" t="s">
        <v>627</v>
      </c>
      <c r="G20" s="4284" t="s">
        <v>627</v>
      </c>
      <c r="H20" s="4284">
        <v>366</v>
      </c>
      <c r="I20" s="4285">
        <v>14789</v>
      </c>
    </row>
    <row r="21" spans="1:9">
      <c r="A21" s="4289">
        <v>45597</v>
      </c>
      <c r="B21" s="4284">
        <v>5</v>
      </c>
      <c r="C21" s="4284">
        <v>179</v>
      </c>
      <c r="D21" s="4285">
        <v>12665</v>
      </c>
      <c r="E21" s="4284">
        <v>227</v>
      </c>
      <c r="F21" s="4284" t="s">
        <v>627</v>
      </c>
      <c r="G21" s="4284" t="s">
        <v>627</v>
      </c>
      <c r="H21" s="4284">
        <v>154</v>
      </c>
      <c r="I21" s="4285">
        <v>5259</v>
      </c>
    </row>
    <row r="22" spans="1:9">
      <c r="A22" s="4289">
        <v>45566</v>
      </c>
      <c r="B22" s="4284">
        <v>3</v>
      </c>
      <c r="C22" s="4284">
        <v>114</v>
      </c>
      <c r="D22" s="4285">
        <v>14949</v>
      </c>
      <c r="E22" s="4284">
        <v>170</v>
      </c>
      <c r="F22" s="4284" t="s">
        <v>627</v>
      </c>
      <c r="G22" s="4284" t="s">
        <v>627</v>
      </c>
      <c r="H22" s="4284">
        <v>159</v>
      </c>
      <c r="I22" s="4285">
        <v>5438</v>
      </c>
    </row>
    <row r="23" spans="1:9">
      <c r="A23" s="4289">
        <v>45536</v>
      </c>
      <c r="B23" s="4284" t="s">
        <v>627</v>
      </c>
      <c r="C23" s="4284" t="s">
        <v>627</v>
      </c>
      <c r="D23" s="4284" t="s">
        <v>627</v>
      </c>
      <c r="E23" s="4284" t="s">
        <v>627</v>
      </c>
      <c r="F23" s="4284" t="s">
        <v>627</v>
      </c>
      <c r="G23" s="4284" t="s">
        <v>627</v>
      </c>
      <c r="H23" s="4284">
        <v>162</v>
      </c>
      <c r="I23" s="4285">
        <v>5552</v>
      </c>
    </row>
    <row r="24" spans="1:9">
      <c r="A24" s="4289">
        <v>45505</v>
      </c>
      <c r="B24" s="4284">
        <v>6</v>
      </c>
      <c r="C24" s="4284">
        <v>196</v>
      </c>
      <c r="D24" s="4285">
        <v>16796</v>
      </c>
      <c r="E24" s="4284">
        <v>330</v>
      </c>
      <c r="F24" s="4284" t="s">
        <v>627</v>
      </c>
      <c r="G24" s="4284" t="s">
        <v>627</v>
      </c>
      <c r="H24" s="4284">
        <v>162</v>
      </c>
      <c r="I24" s="4285">
        <v>5552</v>
      </c>
    </row>
    <row r="25" spans="1:9">
      <c r="A25" s="4289">
        <v>45474</v>
      </c>
      <c r="B25" s="4284">
        <v>10</v>
      </c>
      <c r="C25" s="4284">
        <v>393</v>
      </c>
      <c r="D25" s="4285">
        <v>14513</v>
      </c>
      <c r="E25" s="4284">
        <v>570</v>
      </c>
      <c r="F25" s="4284" t="s">
        <v>627</v>
      </c>
      <c r="G25" s="4284" t="s">
        <v>627</v>
      </c>
      <c r="H25" s="4284">
        <v>166</v>
      </c>
      <c r="I25" s="4285">
        <v>5683</v>
      </c>
    </row>
    <row r="26" spans="1:9">
      <c r="A26" s="4289">
        <v>45444</v>
      </c>
      <c r="B26" s="4284">
        <v>6</v>
      </c>
      <c r="C26" s="4284">
        <v>197</v>
      </c>
      <c r="D26" s="4285">
        <v>16522</v>
      </c>
      <c r="E26" s="4284">
        <v>325</v>
      </c>
      <c r="F26" s="4284" t="s">
        <v>627</v>
      </c>
      <c r="G26" s="4284" t="s">
        <v>627</v>
      </c>
      <c r="H26" s="4284">
        <v>172</v>
      </c>
      <c r="I26" s="4285">
        <v>5944</v>
      </c>
    </row>
    <row r="27" spans="1:9">
      <c r="A27" s="4289">
        <v>45413</v>
      </c>
      <c r="B27" s="4284">
        <v>4</v>
      </c>
      <c r="C27" s="4284">
        <v>131</v>
      </c>
      <c r="D27" s="4285">
        <v>17532</v>
      </c>
      <c r="E27" s="4284">
        <v>230</v>
      </c>
      <c r="F27" s="4284" t="s">
        <v>627</v>
      </c>
      <c r="G27" s="4284" t="s">
        <v>627</v>
      </c>
      <c r="H27" s="4284">
        <v>178</v>
      </c>
      <c r="I27" s="4285">
        <v>6141</v>
      </c>
    </row>
    <row r="28" spans="1:9">
      <c r="A28" s="4289">
        <v>45383</v>
      </c>
      <c r="B28" s="4284">
        <v>11</v>
      </c>
      <c r="C28" s="4284">
        <v>360</v>
      </c>
      <c r="D28" s="4285">
        <v>15832</v>
      </c>
      <c r="E28" s="4284">
        <v>570</v>
      </c>
      <c r="F28" s="4284" t="s">
        <v>627</v>
      </c>
      <c r="G28" s="4284" t="s">
        <v>627</v>
      </c>
      <c r="H28" s="4284">
        <v>181</v>
      </c>
      <c r="I28" s="4285">
        <v>6239</v>
      </c>
    </row>
    <row r="29" spans="1:9">
      <c r="A29" s="4289">
        <v>45352</v>
      </c>
      <c r="B29" s="4284">
        <v>4</v>
      </c>
      <c r="C29" s="4284">
        <v>131</v>
      </c>
      <c r="D29" s="4285">
        <v>17981</v>
      </c>
      <c r="E29" s="4284">
        <v>235</v>
      </c>
      <c r="F29" s="4284" t="s">
        <v>627</v>
      </c>
      <c r="G29" s="4284" t="s">
        <v>627</v>
      </c>
      <c r="H29" s="4284">
        <v>192</v>
      </c>
      <c r="I29" s="4285">
        <v>6600</v>
      </c>
    </row>
    <row r="30" spans="1:9">
      <c r="A30" s="4289">
        <v>45323</v>
      </c>
      <c r="B30" s="4284">
        <v>10</v>
      </c>
      <c r="C30" s="4284">
        <v>327</v>
      </c>
      <c r="D30" s="4285">
        <v>15878</v>
      </c>
      <c r="E30" s="4284">
        <v>520</v>
      </c>
      <c r="F30" s="4284" t="s">
        <v>627</v>
      </c>
      <c r="G30" s="4284" t="s">
        <v>627</v>
      </c>
      <c r="H30" s="4284">
        <v>195</v>
      </c>
      <c r="I30" s="4285">
        <v>6698</v>
      </c>
    </row>
    <row r="31" spans="1:9">
      <c r="A31" s="4289">
        <v>45292</v>
      </c>
      <c r="B31" s="4284">
        <v>19</v>
      </c>
      <c r="C31" s="4284">
        <v>622</v>
      </c>
      <c r="D31" s="4285">
        <v>14718</v>
      </c>
      <c r="E31" s="4284">
        <v>915</v>
      </c>
      <c r="F31" s="4284" t="s">
        <v>627</v>
      </c>
      <c r="G31" s="4284" t="s">
        <v>627</v>
      </c>
      <c r="H31" s="4284">
        <v>202</v>
      </c>
      <c r="I31" s="4285">
        <v>6927</v>
      </c>
    </row>
    <row r="32" spans="1:9">
      <c r="A32" s="4289">
        <v>45261</v>
      </c>
      <c r="B32" s="4284">
        <v>44</v>
      </c>
      <c r="C32" s="4285">
        <v>1572</v>
      </c>
      <c r="D32" s="4285">
        <v>14727</v>
      </c>
      <c r="E32" s="4286">
        <v>2315</v>
      </c>
      <c r="F32" s="4284" t="s">
        <v>627</v>
      </c>
      <c r="G32" s="4284" t="s">
        <v>627</v>
      </c>
      <c r="H32" s="4284">
        <v>219</v>
      </c>
      <c r="I32" s="4285">
        <v>7483</v>
      </c>
    </row>
    <row r="33" spans="1:9">
      <c r="A33" s="4289">
        <v>45231</v>
      </c>
      <c r="B33" s="4284">
        <v>47</v>
      </c>
      <c r="C33" s="4285">
        <v>1605</v>
      </c>
      <c r="D33" s="4285">
        <v>16948</v>
      </c>
      <c r="E33" s="4286">
        <v>2720</v>
      </c>
      <c r="F33" s="4284" t="s">
        <v>627</v>
      </c>
      <c r="G33" s="4284" t="s">
        <v>627</v>
      </c>
      <c r="H33" s="4284">
        <v>263</v>
      </c>
      <c r="I33" s="4285">
        <v>9055</v>
      </c>
    </row>
    <row r="34" spans="1:9">
      <c r="A34" s="4289">
        <v>45200</v>
      </c>
      <c r="B34" s="4284">
        <v>89</v>
      </c>
      <c r="C34" s="4285">
        <v>3041</v>
      </c>
      <c r="D34" s="4285">
        <v>17346</v>
      </c>
      <c r="E34" s="4286">
        <v>5275</v>
      </c>
      <c r="F34" s="4284" t="s">
        <v>627</v>
      </c>
      <c r="G34" s="4284" t="s">
        <v>627</v>
      </c>
      <c r="H34" s="4284">
        <v>310</v>
      </c>
      <c r="I34" s="4285">
        <v>10660</v>
      </c>
    </row>
    <row r="35" spans="1:9">
      <c r="A35" s="4289">
        <v>45170</v>
      </c>
      <c r="B35" s="4284">
        <v>1</v>
      </c>
      <c r="C35" s="4284">
        <v>33</v>
      </c>
      <c r="D35" s="4285">
        <v>18382</v>
      </c>
      <c r="E35" s="4284">
        <v>60</v>
      </c>
      <c r="F35" s="4284" t="s">
        <v>627</v>
      </c>
      <c r="G35" s="4284" t="s">
        <v>627</v>
      </c>
      <c r="H35" s="4284">
        <v>399</v>
      </c>
      <c r="I35" s="4285">
        <v>13701</v>
      </c>
    </row>
    <row r="36" spans="1:9">
      <c r="A36" s="4289" t="s">
        <v>4212</v>
      </c>
    </row>
    <row r="37" spans="1:9">
      <c r="A37" s="4289" t="s">
        <v>4203</v>
      </c>
    </row>
    <row r="38" spans="1:9">
      <c r="A38" s="4289" t="s">
        <v>4204</v>
      </c>
    </row>
  </sheetData>
  <phoneticPr fontId="137"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FD119-DDA1-4223-98B9-56884BD11AB5}">
  <sheetPr>
    <tabColor theme="7" tint="0.59999389629810485"/>
  </sheetPr>
  <dimension ref="A1:I14"/>
  <sheetViews>
    <sheetView workbookViewId="0">
      <selection activeCell="D22" sqref="D22"/>
    </sheetView>
  </sheetViews>
  <sheetFormatPr defaultRowHeight="13.5"/>
  <cols>
    <col min="1" max="1" width="13" style="4277"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73"/>
  </cols>
  <sheetData>
    <row r="1" spans="1:9">
      <c r="A1" s="4277" t="s">
        <v>4234</v>
      </c>
    </row>
    <row r="2" spans="1:9">
      <c r="A2" s="4277" t="s">
        <v>4188</v>
      </c>
      <c r="B2" s="4273" t="s">
        <v>4189</v>
      </c>
      <c r="C2" s="4273" t="s">
        <v>4190</v>
      </c>
      <c r="D2" s="4273" t="s">
        <v>4191</v>
      </c>
      <c r="E2" s="4273" t="s">
        <v>4192</v>
      </c>
      <c r="F2" s="4273" t="s">
        <v>4193</v>
      </c>
      <c r="G2" s="4273" t="s">
        <v>4194</v>
      </c>
      <c r="H2" s="4273" t="s">
        <v>4195</v>
      </c>
      <c r="I2" s="4273" t="s">
        <v>4196</v>
      </c>
    </row>
    <row r="3" spans="1:9">
      <c r="A3" s="4277" t="s">
        <v>4197</v>
      </c>
      <c r="B3" s="4273">
        <v>55</v>
      </c>
      <c r="C3" s="4278">
        <v>2333</v>
      </c>
      <c r="D3" s="4278">
        <v>12514</v>
      </c>
      <c r="E3" s="4279">
        <v>2919.81</v>
      </c>
      <c r="F3" s="4273">
        <v>218</v>
      </c>
      <c r="G3" s="4278">
        <v>7731</v>
      </c>
      <c r="H3" s="4273" t="s">
        <v>627</v>
      </c>
      <c r="I3" s="4273" t="s">
        <v>627</v>
      </c>
    </row>
    <row r="4" spans="1:9">
      <c r="A4" s="4277">
        <v>46054</v>
      </c>
      <c r="B4" s="4273" t="s">
        <v>627</v>
      </c>
      <c r="C4" s="4273" t="s">
        <v>627</v>
      </c>
      <c r="D4" s="4273" t="s">
        <v>627</v>
      </c>
      <c r="E4" s="4273" t="s">
        <v>627</v>
      </c>
      <c r="F4" s="4273" t="s">
        <v>627</v>
      </c>
      <c r="G4" s="4273" t="s">
        <v>627</v>
      </c>
      <c r="H4" s="4273">
        <v>163</v>
      </c>
      <c r="I4" s="4278">
        <v>5398</v>
      </c>
    </row>
    <row r="5" spans="1:9">
      <c r="A5" s="4277">
        <v>46023</v>
      </c>
      <c r="B5" s="4273">
        <v>5</v>
      </c>
      <c r="C5" s="4273">
        <v>233</v>
      </c>
      <c r="D5" s="4278">
        <v>11671</v>
      </c>
      <c r="E5" s="4273">
        <v>272.23</v>
      </c>
      <c r="F5" s="4273" t="s">
        <v>627</v>
      </c>
      <c r="G5" s="4273" t="s">
        <v>627</v>
      </c>
      <c r="H5" s="4273">
        <v>163</v>
      </c>
      <c r="I5" s="4278">
        <v>5398</v>
      </c>
    </row>
    <row r="6" spans="1:9">
      <c r="A6" s="4277">
        <v>45992</v>
      </c>
      <c r="B6" s="4273">
        <v>4</v>
      </c>
      <c r="C6" s="4273">
        <v>173</v>
      </c>
      <c r="D6" s="4278">
        <v>15518</v>
      </c>
      <c r="E6" s="4273">
        <v>269.04000000000002</v>
      </c>
      <c r="F6" s="4273" t="s">
        <v>627</v>
      </c>
      <c r="G6" s="4273" t="s">
        <v>627</v>
      </c>
      <c r="H6" s="4273">
        <v>168</v>
      </c>
      <c r="I6" s="4278">
        <v>5631</v>
      </c>
    </row>
    <row r="7" spans="1:9">
      <c r="A7" s="4277">
        <v>45962</v>
      </c>
      <c r="B7" s="4273">
        <v>5</v>
      </c>
      <c r="C7" s="4273">
        <v>208</v>
      </c>
      <c r="D7" s="4278">
        <v>14155</v>
      </c>
      <c r="E7" s="4273">
        <v>294.47000000000003</v>
      </c>
      <c r="F7" s="4273" t="s">
        <v>627</v>
      </c>
      <c r="G7" s="4273" t="s">
        <v>627</v>
      </c>
      <c r="H7" s="4273">
        <v>172</v>
      </c>
      <c r="I7" s="4278">
        <v>5805</v>
      </c>
    </row>
    <row r="8" spans="1:9">
      <c r="A8" s="4277">
        <v>45931</v>
      </c>
      <c r="B8" s="4273" t="s">
        <v>627</v>
      </c>
      <c r="C8" s="4273" t="s">
        <v>627</v>
      </c>
      <c r="D8" s="4273" t="s">
        <v>627</v>
      </c>
      <c r="E8" s="4273" t="s">
        <v>627</v>
      </c>
      <c r="F8" s="4273">
        <v>90</v>
      </c>
      <c r="G8" s="4278">
        <v>3229</v>
      </c>
      <c r="H8" s="4273">
        <v>174</v>
      </c>
      <c r="I8" s="4278">
        <v>5881</v>
      </c>
    </row>
    <row r="9" spans="1:9">
      <c r="A9" s="4277">
        <v>45901</v>
      </c>
      <c r="B9" s="4273">
        <v>13</v>
      </c>
      <c r="C9" s="4273">
        <v>515</v>
      </c>
      <c r="D9" s="4278">
        <v>11275</v>
      </c>
      <c r="E9" s="4273">
        <v>580.94000000000005</v>
      </c>
      <c r="F9" s="4273" t="s">
        <v>627</v>
      </c>
      <c r="G9" s="4273" t="s">
        <v>627</v>
      </c>
      <c r="H9" s="4273">
        <v>87</v>
      </c>
      <c r="I9" s="4278">
        <v>2784</v>
      </c>
    </row>
    <row r="10" spans="1:9">
      <c r="A10" s="4277">
        <v>45870</v>
      </c>
      <c r="B10" s="4273">
        <v>7</v>
      </c>
      <c r="C10" s="4273">
        <v>348</v>
      </c>
      <c r="D10" s="4278">
        <v>13803</v>
      </c>
      <c r="E10" s="4273">
        <v>480.2</v>
      </c>
      <c r="F10" s="4273" t="s">
        <v>627</v>
      </c>
      <c r="G10" s="4273" t="s">
        <v>627</v>
      </c>
      <c r="H10" s="4273">
        <v>100</v>
      </c>
      <c r="I10" s="4278">
        <v>3299</v>
      </c>
    </row>
    <row r="11" spans="1:9">
      <c r="A11" s="4277">
        <v>45839</v>
      </c>
      <c r="B11" s="4273">
        <v>16</v>
      </c>
      <c r="C11" s="4273">
        <v>617</v>
      </c>
      <c r="D11" s="4278">
        <v>12245</v>
      </c>
      <c r="E11" s="4273">
        <v>755.19</v>
      </c>
      <c r="F11" s="4273" t="s">
        <v>627</v>
      </c>
      <c r="G11" s="4273" t="s">
        <v>627</v>
      </c>
      <c r="H11" s="4273">
        <v>106</v>
      </c>
      <c r="I11" s="4278">
        <v>3555</v>
      </c>
    </row>
    <row r="12" spans="1:9">
      <c r="A12" s="4277">
        <v>45809</v>
      </c>
      <c r="B12" s="4273">
        <v>5</v>
      </c>
      <c r="C12" s="4273">
        <v>239</v>
      </c>
      <c r="D12" s="4278">
        <v>11213</v>
      </c>
      <c r="E12" s="4273">
        <v>267.74</v>
      </c>
      <c r="F12" s="4273" t="s">
        <v>627</v>
      </c>
      <c r="G12" s="4273" t="s">
        <v>627</v>
      </c>
      <c r="H12" s="4273">
        <v>123</v>
      </c>
      <c r="I12" s="4278">
        <v>4264</v>
      </c>
    </row>
    <row r="13" spans="1:9">
      <c r="A13" s="4277">
        <v>45778</v>
      </c>
      <c r="B13" s="4273" t="s">
        <v>627</v>
      </c>
      <c r="C13" s="4273" t="s">
        <v>627</v>
      </c>
      <c r="D13" s="4273" t="s">
        <v>627</v>
      </c>
      <c r="E13" s="4273" t="s">
        <v>627</v>
      </c>
      <c r="F13" s="4273" t="s">
        <v>627</v>
      </c>
      <c r="G13" s="4273" t="s">
        <v>627</v>
      </c>
      <c r="H13" s="4273">
        <v>128</v>
      </c>
      <c r="I13" s="4278">
        <v>4502</v>
      </c>
    </row>
    <row r="14" spans="1:9">
      <c r="A14" s="4277">
        <v>45748</v>
      </c>
      <c r="B14" s="4273" t="s">
        <v>627</v>
      </c>
      <c r="C14" s="4273" t="s">
        <v>627</v>
      </c>
      <c r="D14" s="4273" t="s">
        <v>627</v>
      </c>
      <c r="E14" s="4273" t="s">
        <v>627</v>
      </c>
      <c r="F14" s="4273">
        <v>128</v>
      </c>
      <c r="G14" s="4278">
        <v>4502</v>
      </c>
      <c r="H14" s="4273">
        <v>128</v>
      </c>
      <c r="I14" s="4278">
        <v>4502</v>
      </c>
    </row>
  </sheetData>
  <phoneticPr fontId="1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25" t="str">
        <f>IF(项目基本情况!B9="房地产市场价值","估价结果一览表","结果表-2")</f>
        <v>结果表-2</v>
      </c>
      <c r="B1" s="4325"/>
      <c r="C1" s="4325"/>
      <c r="D1" s="4325"/>
      <c r="E1" s="4325"/>
      <c r="F1" s="4325"/>
      <c r="G1" s="4325"/>
      <c r="H1" s="4325"/>
      <c r="I1" s="4325"/>
    </row>
    <row r="2" spans="1:9" ht="30" customHeight="1" thickTop="1">
      <c r="A2" s="4326" t="s">
        <v>912</v>
      </c>
      <c r="B2" s="4326" t="s">
        <v>913</v>
      </c>
      <c r="C2" s="4326" t="s">
        <v>914</v>
      </c>
      <c r="D2" s="4326" t="str">
        <f>结果表!D116</f>
        <v>出让国有建设用地使用权价值</v>
      </c>
      <c r="E2" s="4326"/>
      <c r="F2" s="4326">
        <f>结果表!F116</f>
        <v>0</v>
      </c>
      <c r="G2" s="4326"/>
      <c r="H2" s="4326" t="str">
        <f>IF(项目基本情况!B9="房地产市场价值","房地产市场价值","房地产价值")</f>
        <v>房地产价值</v>
      </c>
      <c r="I2" s="4326"/>
    </row>
    <row r="3" spans="1:9" ht="15">
      <c r="A3" s="4321"/>
      <c r="B3" s="4321"/>
      <c r="C3" s="4321"/>
      <c r="D3" s="544" t="s">
        <v>909</v>
      </c>
      <c r="E3" s="544" t="s">
        <v>915</v>
      </c>
      <c r="F3" s="544" t="s">
        <v>909</v>
      </c>
      <c r="G3" s="544" t="s">
        <v>910</v>
      </c>
      <c r="H3" s="544" t="s">
        <v>909</v>
      </c>
      <c r="I3" s="544" t="s">
        <v>910</v>
      </c>
    </row>
    <row r="4" spans="1:9" ht="15">
      <c r="A4" s="1047" t="str">
        <f>项目基本情况!S2</f>
        <v>北京市房地产</v>
      </c>
      <c r="B4" s="544">
        <f>项目基本情况!C17</f>
        <v>82371.62</v>
      </c>
      <c r="C4" s="544">
        <f>项目基本情况!C18</f>
        <v>21825.93</v>
      </c>
      <c r="D4" s="544" t="e">
        <f ca="1">结果表!E118</f>
        <v>#REF!</v>
      </c>
      <c r="E4" s="544" t="e">
        <f ca="1">结果表!D118</f>
        <v>#REF!</v>
      </c>
      <c r="F4" s="544" t="e">
        <f ca="1">结果表!G118</f>
        <v>#REF!</v>
      </c>
      <c r="G4" s="544" t="e">
        <f ca="1">结果表!F118</f>
        <v>#REF!</v>
      </c>
      <c r="H4" s="544">
        <f ca="1">结果表!I118</f>
        <v>252423</v>
      </c>
      <c r="I4" s="544">
        <f ca="1">结果表!H118</f>
        <v>30644</v>
      </c>
    </row>
    <row r="5" spans="1:9" ht="30" customHeight="1">
      <c r="A5" s="4321" t="s">
        <v>911</v>
      </c>
      <c r="B5" s="4321"/>
      <c r="C5" s="4321"/>
      <c r="D5" s="4321" t="e">
        <f ca="1">结果表!D119</f>
        <v>#REF!</v>
      </c>
      <c r="E5" s="4321"/>
      <c r="F5" s="4321" t="e">
        <f ca="1">结果表!F119</f>
        <v>#REF!</v>
      </c>
      <c r="G5" s="4321"/>
      <c r="H5" s="4321" t="str">
        <f ca="1">结果表!H119</f>
        <v>贰拾伍亿贰仟肆佰贰拾叁万元整</v>
      </c>
      <c r="I5" s="4321"/>
    </row>
    <row r="6" spans="1:9" ht="15.75">
      <c r="A6" s="4320" t="str">
        <f>结果表!A120</f>
        <v>估价师知悉的法定优先受偿款</v>
      </c>
      <c r="B6" s="4320"/>
      <c r="C6" s="4320"/>
      <c r="D6" s="4320">
        <f>结果表!H120</f>
        <v>2945</v>
      </c>
      <c r="E6" s="4320"/>
      <c r="F6" s="4320"/>
      <c r="G6" s="4320"/>
      <c r="H6" s="4320"/>
      <c r="I6" s="4320"/>
    </row>
    <row r="7" spans="1:9" ht="15">
      <c r="A7" s="4321" t="s">
        <v>911</v>
      </c>
      <c r="B7" s="4321"/>
      <c r="C7" s="4321"/>
      <c r="D7" s="4322" t="str">
        <f>结果表!H121</f>
        <v>贰仟玖佰肆拾伍万元整</v>
      </c>
      <c r="E7" s="4323"/>
      <c r="F7" s="4323"/>
      <c r="G7" s="4323"/>
      <c r="H7" s="4323"/>
      <c r="I7" s="4324"/>
    </row>
    <row r="8" spans="1:9" ht="15.75">
      <c r="A8" s="4320" t="str">
        <f>结果表!A122</f>
        <v>房地产抵押价值</v>
      </c>
      <c r="B8" s="4320"/>
      <c r="C8" s="4320"/>
      <c r="D8" s="4320">
        <f ca="1">结果表!H122</f>
        <v>249478</v>
      </c>
      <c r="E8" s="4320"/>
      <c r="F8" s="4320"/>
      <c r="G8" s="4320"/>
      <c r="H8" s="4320"/>
      <c r="I8" s="4320"/>
    </row>
    <row r="9" spans="1:9" ht="15">
      <c r="A9" s="4321" t="s">
        <v>911</v>
      </c>
      <c r="B9" s="4321"/>
      <c r="C9" s="4321"/>
      <c r="D9" s="4321" t="str">
        <f ca="1">结果表!H123</f>
        <v>贰拾肆亿玖仟肆佰柒拾捌万元整</v>
      </c>
      <c r="E9" s="4321"/>
      <c r="F9" s="4321"/>
      <c r="G9" s="4321"/>
      <c r="H9" s="4321"/>
      <c r="I9" s="4321"/>
    </row>
    <row r="10" spans="1:9" ht="15.75">
      <c r="A10" s="4320" t="str">
        <f>结果表!A124</f>
        <v/>
      </c>
      <c r="B10" s="4320"/>
      <c r="C10" s="4320"/>
      <c r="D10" s="4320" t="str">
        <f>结果表!H124</f>
        <v>——</v>
      </c>
      <c r="E10" s="4320"/>
      <c r="F10" s="4320"/>
      <c r="G10" s="4320"/>
      <c r="H10" s="4320"/>
      <c r="I10" s="4320"/>
    </row>
    <row r="11" spans="1:9" ht="15">
      <c r="A11" s="4321" t="s">
        <v>911</v>
      </c>
      <c r="B11" s="4321"/>
      <c r="C11" s="4321"/>
      <c r="D11" s="4321" t="e">
        <f>结果表!H125</f>
        <v>#VALUE!</v>
      </c>
      <c r="E11" s="4321"/>
      <c r="F11" s="4321"/>
      <c r="G11" s="4321"/>
      <c r="H11" s="4321"/>
      <c r="I11" s="4321"/>
    </row>
    <row r="12" spans="1:9" ht="15.75">
      <c r="A12" s="4320" t="str">
        <f>结果表!A126</f>
        <v/>
      </c>
      <c r="B12" s="4320"/>
      <c r="C12" s="4320"/>
      <c r="D12" s="4320" t="str">
        <f>结果表!H126</f>
        <v>——</v>
      </c>
      <c r="E12" s="4320"/>
      <c r="F12" s="4320"/>
      <c r="G12" s="4320"/>
      <c r="H12" s="4320"/>
      <c r="I12" s="4320"/>
    </row>
    <row r="13" spans="1:9" ht="15.75" thickBot="1">
      <c r="A13" s="4318" t="s">
        <v>911</v>
      </c>
      <c r="B13" s="4318"/>
      <c r="C13" s="4318"/>
      <c r="D13" s="4318" t="e">
        <f>结果表!H127</f>
        <v>#VALUE!</v>
      </c>
      <c r="E13" s="4318"/>
      <c r="F13" s="4318"/>
      <c r="G13" s="4318"/>
      <c r="H13" s="4318"/>
      <c r="I13" s="4318"/>
    </row>
    <row r="14" spans="1:9" ht="15" thickTop="1">
      <c r="A14" s="4319" t="s">
        <v>916</v>
      </c>
      <c r="B14" s="4319"/>
      <c r="C14" s="4319"/>
      <c r="D14" s="4319"/>
      <c r="E14" s="4319"/>
      <c r="F14" s="4319"/>
      <c r="G14" s="4319"/>
      <c r="H14" s="4319"/>
      <c r="I14" s="4319"/>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AA537-BE52-4462-9009-516286346D6C}">
  <sheetPr>
    <tabColor theme="7" tint="0.59999389629810485"/>
  </sheetPr>
  <dimension ref="A1:I22"/>
  <sheetViews>
    <sheetView workbookViewId="0">
      <selection activeCell="K28" sqref="K28"/>
    </sheetView>
  </sheetViews>
  <sheetFormatPr defaultRowHeight="13.5"/>
  <cols>
    <col min="1" max="1" width="19.25" style="4277"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73"/>
  </cols>
  <sheetData>
    <row r="1" spans="1:9">
      <c r="A1" s="4277" t="s">
        <v>4235</v>
      </c>
    </row>
    <row r="2" spans="1:9">
      <c r="A2" s="4277" t="s">
        <v>4188</v>
      </c>
      <c r="B2" s="4273" t="s">
        <v>4189</v>
      </c>
      <c r="C2" s="4273" t="s">
        <v>4190</v>
      </c>
      <c r="D2" s="4273" t="s">
        <v>4191</v>
      </c>
      <c r="E2" s="4273" t="s">
        <v>4192</v>
      </c>
      <c r="F2" s="4273" t="s">
        <v>4193</v>
      </c>
      <c r="G2" s="4273" t="s">
        <v>4194</v>
      </c>
      <c r="H2" s="4273" t="s">
        <v>4195</v>
      </c>
      <c r="I2" s="4273" t="s">
        <v>4196</v>
      </c>
    </row>
    <row r="3" spans="1:9">
      <c r="A3" s="4277" t="s">
        <v>4197</v>
      </c>
      <c r="B3" s="4273">
        <v>124</v>
      </c>
      <c r="C3" s="4278">
        <v>5332</v>
      </c>
      <c r="D3" s="4278">
        <v>15767</v>
      </c>
      <c r="E3" s="4279">
        <v>8406.51</v>
      </c>
      <c r="F3" s="4273">
        <v>259</v>
      </c>
      <c r="G3" s="4278">
        <v>8336</v>
      </c>
      <c r="H3" s="4273">
        <v>127</v>
      </c>
      <c r="I3" s="4278">
        <v>1825</v>
      </c>
    </row>
    <row r="4" spans="1:9">
      <c r="A4" s="4277">
        <v>46054</v>
      </c>
      <c r="B4" s="4273">
        <v>1</v>
      </c>
      <c r="C4" s="4273">
        <v>185</v>
      </c>
      <c r="D4" s="4278">
        <v>15109</v>
      </c>
      <c r="E4" s="4273">
        <v>279.83</v>
      </c>
      <c r="F4" s="4273" t="s">
        <v>627</v>
      </c>
      <c r="G4" s="4273" t="s">
        <v>627</v>
      </c>
      <c r="H4" s="4273">
        <v>127</v>
      </c>
      <c r="I4" s="4278">
        <v>1825</v>
      </c>
    </row>
    <row r="5" spans="1:9">
      <c r="A5" s="4277">
        <v>46023</v>
      </c>
      <c r="B5" s="4273">
        <v>5</v>
      </c>
      <c r="C5" s="4273">
        <v>72</v>
      </c>
      <c r="D5" s="4278">
        <v>20260</v>
      </c>
      <c r="E5" s="4273">
        <v>146</v>
      </c>
      <c r="F5" s="4273" t="s">
        <v>627</v>
      </c>
      <c r="G5" s="4273" t="s">
        <v>627</v>
      </c>
      <c r="H5" s="4273">
        <v>128</v>
      </c>
      <c r="I5" s="4278">
        <v>2010</v>
      </c>
    </row>
    <row r="6" spans="1:9">
      <c r="A6" s="4277">
        <v>45992</v>
      </c>
      <c r="B6" s="4273" t="s">
        <v>627</v>
      </c>
      <c r="C6" s="4273" t="s">
        <v>627</v>
      </c>
      <c r="D6" s="4273" t="s">
        <v>627</v>
      </c>
      <c r="E6" s="4273" t="s">
        <v>627</v>
      </c>
      <c r="F6" s="4273" t="s">
        <v>627</v>
      </c>
      <c r="G6" s="4273" t="s">
        <v>627</v>
      </c>
      <c r="H6" s="4273">
        <v>133</v>
      </c>
      <c r="I6" s="4278">
        <v>2082</v>
      </c>
    </row>
    <row r="7" spans="1:9">
      <c r="A7" s="4277">
        <v>45962</v>
      </c>
      <c r="B7" s="4273" t="s">
        <v>627</v>
      </c>
      <c r="C7" s="4273" t="s">
        <v>627</v>
      </c>
      <c r="D7" s="4273" t="s">
        <v>627</v>
      </c>
      <c r="E7" s="4273" t="s">
        <v>627</v>
      </c>
      <c r="F7" s="4273" t="s">
        <v>627</v>
      </c>
      <c r="G7" s="4273" t="s">
        <v>627</v>
      </c>
      <c r="H7" s="4273">
        <v>133</v>
      </c>
      <c r="I7" s="4278">
        <v>2082</v>
      </c>
    </row>
    <row r="8" spans="1:9">
      <c r="A8" s="4277">
        <v>45931</v>
      </c>
      <c r="B8" s="4273">
        <v>1</v>
      </c>
      <c r="C8" s="4273">
        <v>98</v>
      </c>
      <c r="D8" s="4278">
        <v>14906</v>
      </c>
      <c r="E8" s="4273">
        <v>146.36000000000001</v>
      </c>
      <c r="F8" s="4273" t="s">
        <v>627</v>
      </c>
      <c r="G8" s="4273" t="s">
        <v>627</v>
      </c>
      <c r="H8" s="4273">
        <v>133</v>
      </c>
      <c r="I8" s="4278">
        <v>2082</v>
      </c>
    </row>
    <row r="9" spans="1:9">
      <c r="A9" s="4277">
        <v>45901</v>
      </c>
      <c r="B9" s="4273">
        <v>6</v>
      </c>
      <c r="C9" s="4273">
        <v>147</v>
      </c>
      <c r="D9" s="4278">
        <v>15000</v>
      </c>
      <c r="E9" s="4273">
        <v>219.84</v>
      </c>
      <c r="F9" s="4273" t="s">
        <v>627</v>
      </c>
      <c r="G9" s="4273" t="s">
        <v>627</v>
      </c>
      <c r="H9" s="4273">
        <v>134</v>
      </c>
      <c r="I9" s="4278">
        <v>2180</v>
      </c>
    </row>
    <row r="10" spans="1:9">
      <c r="A10" s="4277">
        <v>45870</v>
      </c>
      <c r="B10" s="4273">
        <v>3</v>
      </c>
      <c r="C10" s="4273">
        <v>511</v>
      </c>
      <c r="D10" s="4278">
        <v>15000</v>
      </c>
      <c r="E10" s="4273">
        <v>766.01</v>
      </c>
      <c r="F10" s="4273" t="s">
        <v>627</v>
      </c>
      <c r="G10" s="4273" t="s">
        <v>627</v>
      </c>
      <c r="H10" s="4273">
        <v>140</v>
      </c>
      <c r="I10" s="4278">
        <v>2327</v>
      </c>
    </row>
    <row r="11" spans="1:9">
      <c r="A11" s="4277">
        <v>45839</v>
      </c>
      <c r="B11" s="4273">
        <v>9</v>
      </c>
      <c r="C11" s="4273">
        <v>442</v>
      </c>
      <c r="D11" s="4278">
        <v>15000</v>
      </c>
      <c r="E11" s="4273">
        <v>663.02</v>
      </c>
      <c r="F11" s="4273" t="s">
        <v>627</v>
      </c>
      <c r="G11" s="4273" t="s">
        <v>627</v>
      </c>
      <c r="H11" s="4273">
        <v>143</v>
      </c>
      <c r="I11" s="4278">
        <v>2837</v>
      </c>
    </row>
    <row r="12" spans="1:9">
      <c r="A12" s="4277">
        <v>45809</v>
      </c>
      <c r="B12" s="4273">
        <v>80</v>
      </c>
      <c r="C12" s="4278">
        <v>1306</v>
      </c>
      <c r="D12" s="4278">
        <v>15000</v>
      </c>
      <c r="E12" s="4279">
        <v>1959.54</v>
      </c>
      <c r="F12" s="4273" t="s">
        <v>627</v>
      </c>
      <c r="G12" s="4273" t="s">
        <v>627</v>
      </c>
      <c r="H12" s="4273">
        <v>153</v>
      </c>
      <c r="I12" s="4278">
        <v>3426</v>
      </c>
    </row>
    <row r="13" spans="1:9">
      <c r="A13" s="4277">
        <v>45778</v>
      </c>
      <c r="B13" s="4273">
        <v>4</v>
      </c>
      <c r="C13" s="4273">
        <v>463</v>
      </c>
      <c r="D13" s="4278">
        <v>15000</v>
      </c>
      <c r="E13" s="4273">
        <v>694.38</v>
      </c>
      <c r="F13" s="4273" t="s">
        <v>627</v>
      </c>
      <c r="G13" s="4273" t="s">
        <v>627</v>
      </c>
      <c r="H13" s="4273">
        <v>233</v>
      </c>
      <c r="I13" s="4278">
        <v>4732</v>
      </c>
    </row>
    <row r="14" spans="1:9">
      <c r="A14" s="4277">
        <v>45748</v>
      </c>
      <c r="B14" s="4273">
        <v>4</v>
      </c>
      <c r="C14" s="4273">
        <v>521</v>
      </c>
      <c r="D14" s="4278">
        <v>15000</v>
      </c>
      <c r="E14" s="4273">
        <v>781.22</v>
      </c>
      <c r="F14" s="4273" t="s">
        <v>627</v>
      </c>
      <c r="G14" s="4273" t="s">
        <v>627</v>
      </c>
      <c r="H14" s="4273">
        <v>237</v>
      </c>
      <c r="I14" s="4278">
        <v>5195</v>
      </c>
    </row>
    <row r="15" spans="1:9">
      <c r="A15" s="4277">
        <v>45717</v>
      </c>
      <c r="B15" s="4273">
        <v>6</v>
      </c>
      <c r="C15" s="4273">
        <v>861</v>
      </c>
      <c r="D15" s="4278">
        <v>15000</v>
      </c>
      <c r="E15" s="4279">
        <v>1291.98</v>
      </c>
      <c r="F15" s="4273" t="s">
        <v>627</v>
      </c>
      <c r="G15" s="4273" t="s">
        <v>627</v>
      </c>
      <c r="H15" s="4273">
        <v>241</v>
      </c>
      <c r="I15" s="4278">
        <v>5716</v>
      </c>
    </row>
    <row r="16" spans="1:9">
      <c r="A16" s="4277">
        <v>45689</v>
      </c>
      <c r="B16" s="4273" t="s">
        <v>627</v>
      </c>
      <c r="C16" s="4273" t="s">
        <v>627</v>
      </c>
      <c r="D16" s="4273" t="s">
        <v>627</v>
      </c>
      <c r="E16" s="4273" t="s">
        <v>627</v>
      </c>
      <c r="F16" s="4273" t="s">
        <v>627</v>
      </c>
      <c r="G16" s="4273" t="s">
        <v>627</v>
      </c>
      <c r="H16" s="4273">
        <v>28</v>
      </c>
      <c r="I16" s="4278">
        <v>3737</v>
      </c>
    </row>
    <row r="17" spans="1:9">
      <c r="A17" s="4277">
        <v>45658</v>
      </c>
      <c r="B17" s="4273">
        <v>1</v>
      </c>
      <c r="C17" s="4273">
        <v>149</v>
      </c>
      <c r="D17" s="4278">
        <v>18000</v>
      </c>
      <c r="E17" s="4273">
        <v>268.49</v>
      </c>
      <c r="F17" s="4273">
        <v>6</v>
      </c>
      <c r="G17" s="4273">
        <v>890</v>
      </c>
      <c r="H17" s="4273">
        <v>28</v>
      </c>
      <c r="I17" s="4278">
        <v>3737</v>
      </c>
    </row>
    <row r="18" spans="1:9">
      <c r="A18" s="4277">
        <v>45627</v>
      </c>
      <c r="B18" s="4273">
        <v>1</v>
      </c>
      <c r="C18" s="4273">
        <v>143</v>
      </c>
      <c r="D18" s="4278">
        <v>18000</v>
      </c>
      <c r="E18" s="4273">
        <v>257.33</v>
      </c>
      <c r="F18" s="4273" t="s">
        <v>627</v>
      </c>
      <c r="G18" s="4273" t="s">
        <v>627</v>
      </c>
      <c r="H18" s="4273" t="s">
        <v>627</v>
      </c>
      <c r="I18" s="4273" t="s">
        <v>627</v>
      </c>
    </row>
    <row r="19" spans="1:9">
      <c r="A19" s="4277">
        <v>45566</v>
      </c>
      <c r="B19" s="4273">
        <v>1</v>
      </c>
      <c r="C19" s="4273">
        <v>150</v>
      </c>
      <c r="D19" s="4278">
        <v>15000</v>
      </c>
      <c r="E19" s="4273">
        <v>224.39</v>
      </c>
      <c r="F19" s="4273" t="s">
        <v>627</v>
      </c>
      <c r="G19" s="4273" t="s">
        <v>627</v>
      </c>
      <c r="H19" s="4273" t="s">
        <v>627</v>
      </c>
      <c r="I19" s="4273" t="s">
        <v>627</v>
      </c>
    </row>
    <row r="20" spans="1:9">
      <c r="A20" s="4277">
        <v>45536</v>
      </c>
      <c r="B20" s="4273">
        <v>1</v>
      </c>
      <c r="C20" s="4273">
        <v>143</v>
      </c>
      <c r="D20" s="4278">
        <v>25000</v>
      </c>
      <c r="E20" s="4273">
        <v>357.68</v>
      </c>
      <c r="F20" s="4273" t="s">
        <v>627</v>
      </c>
      <c r="G20" s="4273" t="s">
        <v>627</v>
      </c>
      <c r="H20" s="4273" t="s">
        <v>627</v>
      </c>
      <c r="I20" s="4273" t="s">
        <v>627</v>
      </c>
    </row>
    <row r="21" spans="1:9">
      <c r="A21" s="4277">
        <v>45413</v>
      </c>
      <c r="B21" s="4273">
        <v>1</v>
      </c>
      <c r="C21" s="4273">
        <v>141</v>
      </c>
      <c r="D21" s="4278">
        <v>24900</v>
      </c>
      <c r="E21" s="4273">
        <v>350.47</v>
      </c>
      <c r="F21" s="4273" t="s">
        <v>627</v>
      </c>
      <c r="G21" s="4273" t="s">
        <v>627</v>
      </c>
      <c r="H21" s="4273" t="s">
        <v>627</v>
      </c>
      <c r="I21" s="4273" t="s">
        <v>627</v>
      </c>
    </row>
    <row r="22" spans="1:9">
      <c r="A22" s="4277">
        <v>45261</v>
      </c>
      <c r="B22" s="4273" t="s">
        <v>627</v>
      </c>
      <c r="C22" s="4273" t="s">
        <v>627</v>
      </c>
      <c r="D22" s="4273" t="s">
        <v>627</v>
      </c>
      <c r="E22" s="4273" t="s">
        <v>627</v>
      </c>
      <c r="F22" s="4273">
        <v>253</v>
      </c>
      <c r="G22" s="4278">
        <v>7446</v>
      </c>
      <c r="H22" s="4273" t="s">
        <v>627</v>
      </c>
      <c r="I22" s="4273" t="s">
        <v>627</v>
      </c>
    </row>
  </sheetData>
  <phoneticPr fontId="13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2D8D-B35E-4E11-814F-A3EA2455F801}">
  <sheetPr>
    <tabColor theme="7" tint="0.59999389629810485"/>
  </sheetPr>
  <dimension ref="A1:I19"/>
  <sheetViews>
    <sheetView workbookViewId="0">
      <selection activeCell="M20" sqref="M20"/>
    </sheetView>
  </sheetViews>
  <sheetFormatPr defaultRowHeight="13.5"/>
  <cols>
    <col min="1" max="1" width="10.5" style="4277" bestFit="1" customWidth="1"/>
    <col min="2" max="16384" width="9" style="4273"/>
  </cols>
  <sheetData>
    <row r="1" spans="1:9">
      <c r="A1" s="4277" t="s">
        <v>4198</v>
      </c>
    </row>
    <row r="2" spans="1:9">
      <c r="A2" s="4277" t="s">
        <v>4188</v>
      </c>
      <c r="B2" s="4273" t="s">
        <v>4189</v>
      </c>
      <c r="C2" s="4273" t="s">
        <v>4190</v>
      </c>
      <c r="D2" s="4273" t="s">
        <v>4191</v>
      </c>
      <c r="E2" s="4273" t="s">
        <v>4192</v>
      </c>
      <c r="F2" s="4273" t="s">
        <v>4193</v>
      </c>
      <c r="G2" s="4273" t="s">
        <v>4194</v>
      </c>
      <c r="H2" s="4273" t="s">
        <v>4195</v>
      </c>
      <c r="I2" s="4273" t="s">
        <v>4196</v>
      </c>
    </row>
    <row r="3" spans="1:9">
      <c r="A3" s="4277" t="s">
        <v>4197</v>
      </c>
      <c r="B3" s="4273">
        <v>49</v>
      </c>
      <c r="C3" s="4278">
        <v>1756</v>
      </c>
      <c r="D3" s="4278">
        <v>15996</v>
      </c>
      <c r="E3" s="4279">
        <v>2808.97</v>
      </c>
      <c r="F3" s="4273">
        <v>138</v>
      </c>
      <c r="G3" s="4278">
        <v>4192</v>
      </c>
      <c r="H3" s="4273" t="s">
        <v>627</v>
      </c>
      <c r="I3" s="4273" t="s">
        <v>627</v>
      </c>
    </row>
    <row r="4" spans="1:9">
      <c r="A4" s="4277">
        <v>46082</v>
      </c>
      <c r="B4" s="4273">
        <v>1</v>
      </c>
      <c r="C4" s="4273">
        <v>28</v>
      </c>
      <c r="D4" s="4278">
        <v>15954</v>
      </c>
      <c r="E4" s="4273">
        <v>44.3</v>
      </c>
      <c r="F4" s="4273" t="s">
        <v>627</v>
      </c>
      <c r="G4" s="4273" t="s">
        <v>627</v>
      </c>
      <c r="H4" s="4273" t="s">
        <v>627</v>
      </c>
      <c r="I4" s="4273" t="s">
        <v>627</v>
      </c>
    </row>
    <row r="5" spans="1:9">
      <c r="A5" s="4277">
        <v>46054</v>
      </c>
      <c r="B5" s="4273" t="s">
        <v>627</v>
      </c>
      <c r="C5" s="4273" t="s">
        <v>627</v>
      </c>
      <c r="D5" s="4273" t="s">
        <v>627</v>
      </c>
      <c r="E5" s="4273" t="s">
        <v>627</v>
      </c>
      <c r="F5" s="4273" t="s">
        <v>627</v>
      </c>
      <c r="G5" s="4273" t="s">
        <v>627</v>
      </c>
      <c r="H5" s="4273">
        <v>88</v>
      </c>
      <c r="I5" s="4278">
        <v>2379</v>
      </c>
    </row>
    <row r="6" spans="1:9">
      <c r="A6" s="4277">
        <v>46023</v>
      </c>
      <c r="B6" s="4273">
        <v>6</v>
      </c>
      <c r="C6" s="4273">
        <v>206</v>
      </c>
      <c r="D6" s="4278">
        <v>16006</v>
      </c>
      <c r="E6" s="4273">
        <v>329.6</v>
      </c>
      <c r="F6" s="4273" t="s">
        <v>627</v>
      </c>
      <c r="G6" s="4273" t="s">
        <v>627</v>
      </c>
      <c r="H6" s="4273">
        <v>88</v>
      </c>
      <c r="I6" s="4278">
        <v>2379</v>
      </c>
    </row>
    <row r="7" spans="1:9">
      <c r="A7" s="4277">
        <v>45992</v>
      </c>
      <c r="B7" s="4273">
        <v>4</v>
      </c>
      <c r="C7" s="4273">
        <v>139</v>
      </c>
      <c r="D7" s="4278">
        <v>15949</v>
      </c>
      <c r="E7" s="4273">
        <v>221.39</v>
      </c>
      <c r="F7" s="4273">
        <v>48</v>
      </c>
      <c r="G7" s="4278">
        <v>1329</v>
      </c>
      <c r="H7" s="4273" t="s">
        <v>627</v>
      </c>
      <c r="I7" s="4273" t="s">
        <v>627</v>
      </c>
    </row>
    <row r="8" spans="1:9">
      <c r="A8" s="4277">
        <v>45962</v>
      </c>
      <c r="B8" s="4273" t="s">
        <v>627</v>
      </c>
      <c r="C8" s="4273" t="s">
        <v>627</v>
      </c>
      <c r="D8" s="4273" t="s">
        <v>627</v>
      </c>
      <c r="E8" s="4273" t="s">
        <v>627</v>
      </c>
      <c r="F8" s="4273" t="s">
        <v>627</v>
      </c>
      <c r="G8" s="4273" t="s">
        <v>627</v>
      </c>
      <c r="H8" s="4273">
        <v>50</v>
      </c>
      <c r="I8" s="4278">
        <v>1395</v>
      </c>
    </row>
    <row r="9" spans="1:9">
      <c r="A9" s="4277">
        <v>45931</v>
      </c>
      <c r="B9" s="4273" t="s">
        <v>627</v>
      </c>
      <c r="C9" s="4273" t="s">
        <v>627</v>
      </c>
      <c r="D9" s="4273" t="s">
        <v>627</v>
      </c>
      <c r="E9" s="4273" t="s">
        <v>627</v>
      </c>
      <c r="F9" s="4273" t="s">
        <v>627</v>
      </c>
      <c r="G9" s="4273" t="s">
        <v>627</v>
      </c>
      <c r="H9" s="4273">
        <v>50</v>
      </c>
      <c r="I9" s="4278">
        <v>1395</v>
      </c>
    </row>
    <row r="10" spans="1:9">
      <c r="A10" s="4277">
        <v>45901</v>
      </c>
      <c r="B10" s="4273">
        <v>4</v>
      </c>
      <c r="C10" s="4273">
        <v>138</v>
      </c>
      <c r="D10" s="4278">
        <v>16000</v>
      </c>
      <c r="E10" s="4273">
        <v>220.38</v>
      </c>
      <c r="F10" s="4273" t="s">
        <v>627</v>
      </c>
      <c r="G10" s="4273" t="s">
        <v>627</v>
      </c>
      <c r="H10" s="4273">
        <v>50</v>
      </c>
      <c r="I10" s="4278">
        <v>1395</v>
      </c>
    </row>
    <row r="11" spans="1:9">
      <c r="A11" s="4277">
        <v>45870</v>
      </c>
      <c r="B11" s="4273">
        <v>2</v>
      </c>
      <c r="C11" s="4273">
        <v>67</v>
      </c>
      <c r="D11" s="4278">
        <v>16000</v>
      </c>
      <c r="E11" s="4273">
        <v>107.07</v>
      </c>
      <c r="F11" s="4273" t="s">
        <v>627</v>
      </c>
      <c r="G11" s="4273" t="s">
        <v>627</v>
      </c>
      <c r="H11" s="4273">
        <v>54</v>
      </c>
      <c r="I11" s="4278">
        <v>1533</v>
      </c>
    </row>
    <row r="12" spans="1:9">
      <c r="A12" s="4277">
        <v>45839</v>
      </c>
      <c r="B12" s="4273">
        <v>4</v>
      </c>
      <c r="C12" s="4273">
        <v>138</v>
      </c>
      <c r="D12" s="4278">
        <v>16000</v>
      </c>
      <c r="E12" s="4273">
        <v>221.04</v>
      </c>
      <c r="F12" s="4273" t="s">
        <v>627</v>
      </c>
      <c r="G12" s="4273" t="s">
        <v>627</v>
      </c>
      <c r="H12" s="4273">
        <v>56</v>
      </c>
      <c r="I12" s="4278">
        <v>1600</v>
      </c>
    </row>
    <row r="13" spans="1:9">
      <c r="A13" s="4277">
        <v>45809</v>
      </c>
      <c r="B13" s="4273">
        <v>10</v>
      </c>
      <c r="C13" s="4273">
        <v>357</v>
      </c>
      <c r="D13" s="4278">
        <v>16000</v>
      </c>
      <c r="E13" s="4273">
        <v>571.89</v>
      </c>
      <c r="F13" s="4273" t="s">
        <v>627</v>
      </c>
      <c r="G13" s="4273" t="s">
        <v>627</v>
      </c>
      <c r="H13" s="4273">
        <v>60</v>
      </c>
      <c r="I13" s="4278">
        <v>1738</v>
      </c>
    </row>
    <row r="14" spans="1:9">
      <c r="A14" s="4277">
        <v>45778</v>
      </c>
      <c r="B14" s="4273">
        <v>4</v>
      </c>
      <c r="C14" s="4273">
        <v>153</v>
      </c>
      <c r="D14" s="4278">
        <v>16000</v>
      </c>
      <c r="E14" s="4273">
        <v>245.47</v>
      </c>
      <c r="F14" s="4273" t="s">
        <v>627</v>
      </c>
      <c r="G14" s="4273" t="s">
        <v>627</v>
      </c>
      <c r="H14" s="4273">
        <v>70</v>
      </c>
      <c r="I14" s="4278">
        <v>2096</v>
      </c>
    </row>
    <row r="15" spans="1:9">
      <c r="A15" s="4277">
        <v>45748</v>
      </c>
      <c r="B15" s="4273">
        <v>2</v>
      </c>
      <c r="C15" s="4273">
        <v>68</v>
      </c>
      <c r="D15" s="4278">
        <v>16000</v>
      </c>
      <c r="E15" s="4273">
        <v>108.53</v>
      </c>
      <c r="F15" s="4273" t="s">
        <v>627</v>
      </c>
      <c r="G15" s="4273" t="s">
        <v>627</v>
      </c>
      <c r="H15" s="4273">
        <v>74</v>
      </c>
      <c r="I15" s="4278">
        <v>2249</v>
      </c>
    </row>
    <row r="16" spans="1:9">
      <c r="A16" s="4277">
        <v>45717</v>
      </c>
      <c r="B16" s="4273">
        <v>6</v>
      </c>
      <c r="C16" s="4273">
        <v>240</v>
      </c>
      <c r="D16" s="4278">
        <v>16000</v>
      </c>
      <c r="E16" s="4273">
        <v>384.27</v>
      </c>
      <c r="F16" s="4273" t="s">
        <v>627</v>
      </c>
      <c r="G16" s="4273" t="s">
        <v>627</v>
      </c>
      <c r="H16" s="4273">
        <v>76</v>
      </c>
      <c r="I16" s="4278">
        <v>2317</v>
      </c>
    </row>
    <row r="17" spans="1:9">
      <c r="A17" s="4277">
        <v>45689</v>
      </c>
      <c r="B17" s="4273" t="s">
        <v>627</v>
      </c>
      <c r="C17" s="4273" t="s">
        <v>627</v>
      </c>
      <c r="D17" s="4273" t="s">
        <v>627</v>
      </c>
      <c r="E17" s="4273" t="s">
        <v>627</v>
      </c>
      <c r="F17" s="4273" t="s">
        <v>627</v>
      </c>
      <c r="G17" s="4273" t="s">
        <v>627</v>
      </c>
      <c r="H17" s="4273">
        <v>82</v>
      </c>
      <c r="I17" s="4278">
        <v>2557</v>
      </c>
    </row>
    <row r="18" spans="1:9">
      <c r="A18" s="4277">
        <v>45658</v>
      </c>
      <c r="B18" s="4273">
        <v>6</v>
      </c>
      <c r="C18" s="4273">
        <v>222</v>
      </c>
      <c r="D18" s="4278">
        <v>16000</v>
      </c>
      <c r="E18" s="4273">
        <v>355.02</v>
      </c>
      <c r="F18" s="4273" t="s">
        <v>627</v>
      </c>
      <c r="G18" s="4273" t="s">
        <v>627</v>
      </c>
      <c r="H18" s="4273">
        <v>82</v>
      </c>
      <c r="I18" s="4278">
        <v>2557</v>
      </c>
    </row>
    <row r="19" spans="1:9">
      <c r="A19" s="4277">
        <v>45352</v>
      </c>
      <c r="B19" s="4273" t="s">
        <v>627</v>
      </c>
      <c r="C19" s="4273" t="s">
        <v>627</v>
      </c>
      <c r="D19" s="4273" t="s">
        <v>627</v>
      </c>
      <c r="E19" s="4273" t="s">
        <v>627</v>
      </c>
      <c r="F19" s="4273">
        <v>90</v>
      </c>
      <c r="G19" s="4278">
        <v>2864</v>
      </c>
      <c r="H19" s="4273" t="s">
        <v>627</v>
      </c>
      <c r="I19" s="4273" t="s">
        <v>627</v>
      </c>
    </row>
  </sheetData>
  <phoneticPr fontId="13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3515-C91A-4B48-B123-6213759469DE}">
  <dimension ref="A1"/>
  <sheetViews>
    <sheetView workbookViewId="0">
      <selection activeCell="F13" sqref="F13"/>
    </sheetView>
  </sheetViews>
  <sheetFormatPr defaultRowHeight="13.5"/>
  <cols>
    <col min="1" max="16384" width="9" style="4287"/>
  </cols>
  <sheetData/>
  <phoneticPr fontId="137"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2183-F412-4D53-AB6C-3A595869D9BC}">
  <dimension ref="A1:I31"/>
  <sheetViews>
    <sheetView workbookViewId="0">
      <selection activeCell="F25" sqref="F25"/>
    </sheetView>
  </sheetViews>
  <sheetFormatPr defaultRowHeight="13.5"/>
  <cols>
    <col min="1" max="1" width="10.5" style="4273" bestFit="1" customWidth="1"/>
    <col min="2" max="3" width="13.125" style="4273" bestFit="1" customWidth="1"/>
    <col min="4" max="4" width="16.375" style="4273" bestFit="1" customWidth="1"/>
    <col min="5" max="5" width="15.25" style="4273" bestFit="1" customWidth="1"/>
    <col min="6" max="7" width="17.375" style="4273" bestFit="1" customWidth="1"/>
    <col min="8" max="9" width="13.125" style="4273" bestFit="1" customWidth="1"/>
    <col min="10" max="16384" width="9" style="4273"/>
  </cols>
  <sheetData>
    <row r="1" spans="1:9">
      <c r="A1" s="4273" t="s">
        <v>4188</v>
      </c>
      <c r="B1" s="4273" t="s">
        <v>4189</v>
      </c>
      <c r="C1" s="4273" t="s">
        <v>4190</v>
      </c>
      <c r="D1" s="4273" t="s">
        <v>4191</v>
      </c>
      <c r="E1" s="4273" t="s">
        <v>4192</v>
      </c>
      <c r="F1" s="4273" t="s">
        <v>4193</v>
      </c>
      <c r="G1" s="4273" t="s">
        <v>4194</v>
      </c>
      <c r="H1" s="4273" t="s">
        <v>4195</v>
      </c>
      <c r="I1" s="4273" t="s">
        <v>4196</v>
      </c>
    </row>
    <row r="2" spans="1:9">
      <c r="A2" s="4276">
        <v>45992</v>
      </c>
      <c r="B2" s="4272">
        <v>23</v>
      </c>
      <c r="C2" s="4274">
        <v>2284</v>
      </c>
      <c r="D2" s="4274">
        <v>71216</v>
      </c>
      <c r="E2" s="4275">
        <v>16264.35</v>
      </c>
      <c r="F2" s="4274" t="s">
        <v>627</v>
      </c>
      <c r="G2" s="4274" t="s">
        <v>627</v>
      </c>
      <c r="H2" s="4272">
        <v>551</v>
      </c>
      <c r="I2" s="4274">
        <v>63956</v>
      </c>
    </row>
    <row r="3" spans="1:9">
      <c r="A3" s="4276">
        <v>45962</v>
      </c>
      <c r="B3" s="4272">
        <v>14</v>
      </c>
      <c r="C3" s="4274">
        <v>1347</v>
      </c>
      <c r="D3" s="4274">
        <v>71165</v>
      </c>
      <c r="E3" s="4275">
        <v>9586.84</v>
      </c>
      <c r="F3" s="4272" t="s">
        <v>627</v>
      </c>
      <c r="G3" s="4272" t="s">
        <v>627</v>
      </c>
      <c r="H3" s="4272">
        <v>574</v>
      </c>
      <c r="I3" s="4274">
        <v>66191</v>
      </c>
    </row>
    <row r="4" spans="1:9">
      <c r="A4" s="4276">
        <v>45931</v>
      </c>
      <c r="B4" s="4272">
        <v>11</v>
      </c>
      <c r="C4" s="4274">
        <v>1096</v>
      </c>
      <c r="D4" s="4274">
        <v>71431</v>
      </c>
      <c r="E4" s="4275">
        <v>7825.8</v>
      </c>
      <c r="F4" s="4272" t="s">
        <v>627</v>
      </c>
      <c r="G4" s="4272" t="s">
        <v>627</v>
      </c>
      <c r="H4" s="4272">
        <v>576</v>
      </c>
      <c r="I4" s="4274">
        <v>66379</v>
      </c>
    </row>
    <row r="5" spans="1:9">
      <c r="A5" s="4276">
        <v>45901</v>
      </c>
      <c r="B5" s="4272">
        <v>18</v>
      </c>
      <c r="C5" s="4274">
        <v>1596</v>
      </c>
      <c r="D5" s="4274">
        <v>72119</v>
      </c>
      <c r="E5" s="4275">
        <v>11509.87</v>
      </c>
      <c r="F5" s="4272" t="s">
        <v>627</v>
      </c>
      <c r="G5" s="4272" t="s">
        <v>627</v>
      </c>
      <c r="H5" s="4272">
        <v>593</v>
      </c>
      <c r="I5" s="4274">
        <v>68092</v>
      </c>
    </row>
    <row r="6" spans="1:9">
      <c r="A6" s="4276">
        <v>45870</v>
      </c>
      <c r="B6" s="4272">
        <v>13</v>
      </c>
      <c r="C6" s="4274">
        <v>1212</v>
      </c>
      <c r="D6" s="4274">
        <v>69763</v>
      </c>
      <c r="E6" s="4275">
        <v>8455.58</v>
      </c>
      <c r="F6" s="4272" t="s">
        <v>627</v>
      </c>
      <c r="G6" s="4272" t="s">
        <v>627</v>
      </c>
      <c r="H6" s="4272">
        <v>613</v>
      </c>
      <c r="I6" s="4274">
        <v>69826</v>
      </c>
    </row>
    <row r="7" spans="1:9">
      <c r="A7" s="4276">
        <v>45839</v>
      </c>
      <c r="B7" s="4272">
        <v>10</v>
      </c>
      <c r="C7" s="4274">
        <v>837</v>
      </c>
      <c r="D7" s="4274">
        <v>72723</v>
      </c>
      <c r="E7" s="4275">
        <v>6089.63</v>
      </c>
      <c r="F7" s="4272" t="s">
        <v>627</v>
      </c>
      <c r="G7" s="4272" t="s">
        <v>627</v>
      </c>
      <c r="H7" s="4272">
        <v>628</v>
      </c>
      <c r="I7" s="4274">
        <v>71167</v>
      </c>
    </row>
    <row r="8" spans="1:9">
      <c r="A8" s="4276">
        <v>45809</v>
      </c>
      <c r="B8" s="4272">
        <v>25</v>
      </c>
      <c r="C8" s="4274">
        <v>2495</v>
      </c>
      <c r="D8" s="4274">
        <v>71964</v>
      </c>
      <c r="E8" s="4275">
        <v>17954.3</v>
      </c>
      <c r="F8" s="4272" t="s">
        <v>627</v>
      </c>
      <c r="G8" s="4272" t="s">
        <v>627</v>
      </c>
      <c r="H8" s="4272">
        <v>638</v>
      </c>
      <c r="I8" s="4274">
        <v>72036</v>
      </c>
    </row>
    <row r="9" spans="1:9">
      <c r="A9" s="4276">
        <v>45778</v>
      </c>
      <c r="B9" s="4272">
        <v>22</v>
      </c>
      <c r="C9" s="4274">
        <v>2183</v>
      </c>
      <c r="D9" s="4274">
        <v>71929</v>
      </c>
      <c r="E9" s="4275">
        <v>15702.29</v>
      </c>
      <c r="F9" s="4272" t="s">
        <v>627</v>
      </c>
      <c r="G9" s="4272" t="s">
        <v>627</v>
      </c>
      <c r="H9" s="4272">
        <v>666</v>
      </c>
      <c r="I9" s="4274">
        <v>74875</v>
      </c>
    </row>
    <row r="10" spans="1:9">
      <c r="A10" s="4276">
        <v>45748</v>
      </c>
      <c r="B10" s="4272">
        <v>27</v>
      </c>
      <c r="C10" s="4274">
        <v>2656</v>
      </c>
      <c r="D10" s="4274">
        <v>71643</v>
      </c>
      <c r="E10" s="4275">
        <v>19024.82</v>
      </c>
      <c r="F10" s="4272" t="s">
        <v>627</v>
      </c>
      <c r="G10" s="4272" t="s">
        <v>627</v>
      </c>
      <c r="H10" s="4272">
        <v>693</v>
      </c>
      <c r="I10" s="4274">
        <v>77524</v>
      </c>
    </row>
    <row r="11" spans="1:9">
      <c r="A11" s="4276">
        <v>45717</v>
      </c>
      <c r="B11" s="4272">
        <v>41</v>
      </c>
      <c r="C11" s="4274">
        <v>4016</v>
      </c>
      <c r="D11" s="4274">
        <v>71549</v>
      </c>
      <c r="E11" s="4275">
        <v>28733.86</v>
      </c>
      <c r="F11" s="4272" t="s">
        <v>627</v>
      </c>
      <c r="G11" s="4272" t="s">
        <v>627</v>
      </c>
      <c r="H11" s="4272">
        <v>720</v>
      </c>
      <c r="I11" s="4274">
        <v>80179</v>
      </c>
    </row>
    <row r="12" spans="1:9">
      <c r="A12" s="4280"/>
      <c r="B12" s="4281"/>
      <c r="C12" s="4282">
        <f>SUM(C2:C11)</f>
        <v>19722</v>
      </c>
      <c r="D12" s="4282"/>
      <c r="E12" s="4283">
        <f>SUM(E2:E11)</f>
        <v>141147.34000000003</v>
      </c>
      <c r="F12" s="4281">
        <f>ROUND(E12/C12*10000,0)</f>
        <v>71568</v>
      </c>
      <c r="G12" s="4281"/>
      <c r="H12" s="4281"/>
      <c r="I12" s="4282"/>
    </row>
    <row r="13" spans="1:9">
      <c r="A13" s="4280"/>
      <c r="B13" s="4281"/>
      <c r="C13" s="4282"/>
      <c r="D13" s="4282"/>
      <c r="E13" s="4283"/>
      <c r="F13" s="4281"/>
      <c r="G13" s="4281"/>
      <c r="H13" s="4281"/>
      <c r="I13" s="4282"/>
    </row>
    <row r="14" spans="1:9">
      <c r="A14" s="4277">
        <v>45689</v>
      </c>
      <c r="B14" s="4273">
        <v>19</v>
      </c>
      <c r="C14" s="4278">
        <v>1830</v>
      </c>
      <c r="D14" s="4278">
        <v>71016</v>
      </c>
      <c r="E14" s="4279">
        <v>12994.77</v>
      </c>
      <c r="F14" s="4273" t="s">
        <v>627</v>
      </c>
      <c r="G14" s="4273" t="s">
        <v>627</v>
      </c>
      <c r="H14" s="4273">
        <v>761</v>
      </c>
      <c r="I14" s="4278">
        <v>84195</v>
      </c>
    </row>
    <row r="15" spans="1:9">
      <c r="A15" s="4277">
        <v>45658</v>
      </c>
      <c r="B15" s="4273">
        <v>16</v>
      </c>
      <c r="C15" s="4278">
        <v>1528</v>
      </c>
      <c r="D15" s="4278">
        <v>70615</v>
      </c>
      <c r="E15" s="4279">
        <v>10789.2</v>
      </c>
      <c r="F15" s="4273" t="s">
        <v>627</v>
      </c>
      <c r="G15" s="4273" t="s">
        <v>627</v>
      </c>
      <c r="H15" s="4273">
        <v>780</v>
      </c>
      <c r="I15" s="4278">
        <v>86025</v>
      </c>
    </row>
    <row r="16" spans="1:9">
      <c r="A16" s="4277">
        <v>45627</v>
      </c>
      <c r="B16" s="4273">
        <v>40</v>
      </c>
      <c r="C16" s="4278">
        <v>3822</v>
      </c>
      <c r="D16" s="4278">
        <v>71479</v>
      </c>
      <c r="E16" s="4279">
        <v>27319.06</v>
      </c>
      <c r="F16" s="4273" t="s">
        <v>627</v>
      </c>
      <c r="G16" s="4273" t="s">
        <v>627</v>
      </c>
      <c r="H16" s="4273">
        <v>795</v>
      </c>
      <c r="I16" s="4278">
        <v>87460</v>
      </c>
    </row>
    <row r="17" spans="1:9">
      <c r="A17" s="4277">
        <v>45597</v>
      </c>
      <c r="B17" s="4273">
        <v>49</v>
      </c>
      <c r="C17" s="4278">
        <v>4701</v>
      </c>
      <c r="D17" s="4278">
        <v>70753</v>
      </c>
      <c r="E17" s="4279">
        <v>33261.78</v>
      </c>
      <c r="F17" s="4273" t="s">
        <v>627</v>
      </c>
      <c r="G17" s="4273" t="s">
        <v>627</v>
      </c>
      <c r="H17" s="4273">
        <v>835</v>
      </c>
      <c r="I17" s="4278">
        <v>91282</v>
      </c>
    </row>
    <row r="18" spans="1:9">
      <c r="A18" s="4277">
        <v>45566</v>
      </c>
      <c r="B18" s="4273">
        <v>57</v>
      </c>
      <c r="C18" s="4278">
        <v>5449</v>
      </c>
      <c r="D18" s="4278">
        <v>70256</v>
      </c>
      <c r="E18" s="4279">
        <v>38283.11</v>
      </c>
      <c r="F18" s="4273" t="s">
        <v>627</v>
      </c>
      <c r="G18" s="4273" t="s">
        <v>627</v>
      </c>
      <c r="H18" s="4273">
        <v>884</v>
      </c>
      <c r="I18" s="4278">
        <v>95983</v>
      </c>
    </row>
    <row r="19" spans="1:9">
      <c r="A19" s="4277">
        <v>45536</v>
      </c>
      <c r="B19" s="4273">
        <v>12</v>
      </c>
      <c r="C19" s="4278">
        <v>1116</v>
      </c>
      <c r="D19" s="4278">
        <v>69293</v>
      </c>
      <c r="E19" s="4279">
        <v>7732.73</v>
      </c>
      <c r="F19" s="4273" t="s">
        <v>627</v>
      </c>
      <c r="G19" s="4273" t="s">
        <v>627</v>
      </c>
      <c r="H19" s="4273">
        <v>941</v>
      </c>
      <c r="I19" s="4278">
        <v>101432</v>
      </c>
    </row>
    <row r="20" spans="1:9">
      <c r="A20" s="4277">
        <v>45505</v>
      </c>
      <c r="B20" s="4273">
        <v>2</v>
      </c>
      <c r="C20" s="4273">
        <v>174</v>
      </c>
      <c r="D20" s="4278">
        <v>68346</v>
      </c>
      <c r="E20" s="4279">
        <v>1190.32</v>
      </c>
      <c r="F20" s="4273" t="s">
        <v>627</v>
      </c>
      <c r="G20" s="4273" t="s">
        <v>627</v>
      </c>
      <c r="H20" s="4273">
        <v>953</v>
      </c>
      <c r="I20" s="4278">
        <v>102548</v>
      </c>
    </row>
    <row r="21" spans="1:9">
      <c r="A21" s="4277">
        <v>45474</v>
      </c>
      <c r="B21" s="4273">
        <v>13</v>
      </c>
      <c r="C21" s="4278">
        <v>1247</v>
      </c>
      <c r="D21" s="4278">
        <v>74583</v>
      </c>
      <c r="E21" s="4279">
        <v>9301.2800000000007</v>
      </c>
      <c r="F21" s="4273" t="s">
        <v>627</v>
      </c>
      <c r="G21" s="4273" t="s">
        <v>627</v>
      </c>
      <c r="H21" s="4273">
        <v>955</v>
      </c>
      <c r="I21" s="4278">
        <v>102722</v>
      </c>
    </row>
    <row r="22" spans="1:9">
      <c r="A22" s="4277">
        <v>45444</v>
      </c>
      <c r="B22" s="4273">
        <v>20</v>
      </c>
      <c r="C22" s="4278">
        <v>1965</v>
      </c>
      <c r="D22" s="4278">
        <v>77137</v>
      </c>
      <c r="E22" s="4279">
        <v>15159.74</v>
      </c>
      <c r="F22" s="4273" t="s">
        <v>627</v>
      </c>
      <c r="G22" s="4273" t="s">
        <v>627</v>
      </c>
      <c r="H22" s="4273">
        <v>968</v>
      </c>
      <c r="I22" s="4278">
        <v>103969</v>
      </c>
    </row>
    <row r="23" spans="1:9">
      <c r="A23" s="4277">
        <v>45413</v>
      </c>
      <c r="B23" s="4273">
        <v>5</v>
      </c>
      <c r="C23" s="4273">
        <v>530</v>
      </c>
      <c r="D23" s="4278">
        <v>77217</v>
      </c>
      <c r="E23" s="4279">
        <v>4092.88</v>
      </c>
      <c r="F23" s="4273" t="s">
        <v>627</v>
      </c>
      <c r="G23" s="4273" t="s">
        <v>627</v>
      </c>
      <c r="H23" s="4273">
        <v>988</v>
      </c>
      <c r="I23" s="4278">
        <v>105934</v>
      </c>
    </row>
    <row r="24" spans="1:9">
      <c r="A24" s="4277">
        <v>45383</v>
      </c>
      <c r="B24" s="4273">
        <v>6</v>
      </c>
      <c r="C24" s="4273">
        <v>553</v>
      </c>
      <c r="D24" s="4278">
        <v>75800</v>
      </c>
      <c r="E24" s="4279">
        <v>4193.38</v>
      </c>
      <c r="F24" s="4273" t="s">
        <v>627</v>
      </c>
      <c r="G24" s="4273" t="s">
        <v>627</v>
      </c>
      <c r="H24" s="4273">
        <v>993</v>
      </c>
      <c r="I24" s="4278">
        <v>106464</v>
      </c>
    </row>
    <row r="25" spans="1:9">
      <c r="A25" s="4277">
        <v>45352</v>
      </c>
      <c r="B25" s="4273">
        <v>19</v>
      </c>
      <c r="C25" s="4278">
        <v>1856</v>
      </c>
      <c r="D25" s="4278">
        <v>76760</v>
      </c>
      <c r="E25" s="4279">
        <v>14247.89</v>
      </c>
      <c r="F25" s="4273" t="s">
        <v>627</v>
      </c>
      <c r="G25" s="4273" t="s">
        <v>627</v>
      </c>
      <c r="H25" s="4273">
        <v>999</v>
      </c>
      <c r="I25" s="4278">
        <v>107018</v>
      </c>
    </row>
    <row r="26" spans="1:9">
      <c r="A26" s="4277">
        <v>45323</v>
      </c>
      <c r="B26" s="4273">
        <v>4</v>
      </c>
      <c r="C26" s="4273">
        <v>433</v>
      </c>
      <c r="D26" s="4278">
        <v>78380</v>
      </c>
      <c r="E26" s="4279">
        <v>3394.73</v>
      </c>
      <c r="F26" s="4273" t="s">
        <v>627</v>
      </c>
      <c r="G26" s="4273" t="s">
        <v>627</v>
      </c>
      <c r="H26" s="4278">
        <v>1018</v>
      </c>
      <c r="I26" s="4278">
        <v>108874</v>
      </c>
    </row>
    <row r="27" spans="1:9">
      <c r="A27" s="4277">
        <v>45292</v>
      </c>
      <c r="B27" s="4273">
        <v>7</v>
      </c>
      <c r="C27" s="4273">
        <v>665</v>
      </c>
      <c r="D27" s="4278">
        <v>76548</v>
      </c>
      <c r="E27" s="4279">
        <v>5093.51</v>
      </c>
      <c r="F27" s="4273" t="s">
        <v>627</v>
      </c>
      <c r="G27" s="4273" t="s">
        <v>627</v>
      </c>
      <c r="H27" s="4278">
        <v>1022</v>
      </c>
      <c r="I27" s="4278">
        <v>109307</v>
      </c>
    </row>
    <row r="28" spans="1:9">
      <c r="A28" s="4277">
        <v>45261</v>
      </c>
      <c r="B28" s="4273">
        <v>65</v>
      </c>
      <c r="C28" s="4278">
        <v>6271</v>
      </c>
      <c r="D28" s="4278">
        <v>75880</v>
      </c>
      <c r="E28" s="4279">
        <v>47586.31</v>
      </c>
      <c r="F28" s="4273">
        <v>818</v>
      </c>
      <c r="G28" s="4278">
        <v>89977</v>
      </c>
      <c r="H28" s="4278">
        <v>1029</v>
      </c>
      <c r="I28" s="4278">
        <v>109972</v>
      </c>
    </row>
    <row r="29" spans="1:9">
      <c r="A29" s="4277">
        <v>45231</v>
      </c>
      <c r="B29" s="4273" t="s">
        <v>627</v>
      </c>
      <c r="C29" s="4273" t="s">
        <v>627</v>
      </c>
      <c r="D29" s="4273" t="s">
        <v>627</v>
      </c>
      <c r="E29" s="4273" t="s">
        <v>627</v>
      </c>
      <c r="F29" s="4273">
        <v>222</v>
      </c>
      <c r="G29" s="4278">
        <v>21243</v>
      </c>
      <c r="H29" s="4273">
        <v>276</v>
      </c>
      <c r="I29" s="4278">
        <v>26266</v>
      </c>
    </row>
    <row r="30" spans="1:9">
      <c r="A30" s="4277">
        <v>45200</v>
      </c>
      <c r="B30" s="4273" t="s">
        <v>627</v>
      </c>
      <c r="C30" s="4273" t="s">
        <v>627</v>
      </c>
      <c r="D30" s="4273" t="s">
        <v>627</v>
      </c>
      <c r="E30" s="4273" t="s">
        <v>627</v>
      </c>
      <c r="F30" s="4273" t="s">
        <v>627</v>
      </c>
      <c r="G30" s="4273" t="s">
        <v>627</v>
      </c>
      <c r="H30" s="4273">
        <v>54</v>
      </c>
      <c r="I30" s="4278">
        <v>5023</v>
      </c>
    </row>
    <row r="31" spans="1:9">
      <c r="A31" s="4277">
        <v>45170</v>
      </c>
      <c r="B31" s="4273" t="s">
        <v>627</v>
      </c>
      <c r="C31" s="4273" t="s">
        <v>627</v>
      </c>
      <c r="D31" s="4273" t="s">
        <v>627</v>
      </c>
      <c r="E31" s="4273" t="s">
        <v>627</v>
      </c>
      <c r="F31" s="4273">
        <v>54</v>
      </c>
      <c r="G31" s="4278">
        <v>5023</v>
      </c>
      <c r="H31" s="4273">
        <v>54</v>
      </c>
      <c r="I31" s="4278">
        <v>5023</v>
      </c>
    </row>
  </sheetData>
  <phoneticPr fontId="137"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D3F4-24F7-427A-A923-CF694D140C10}">
  <dimension ref="A1:I36"/>
  <sheetViews>
    <sheetView topLeftCell="A34" workbookViewId="0">
      <selection activeCell="F13" sqref="F13"/>
    </sheetView>
  </sheetViews>
  <sheetFormatPr defaultRowHeight="13.5"/>
  <cols>
    <col min="1" max="1" width="10.5" style="4273" bestFit="1" customWidth="1"/>
    <col min="2" max="16384" width="9" style="4273"/>
  </cols>
  <sheetData>
    <row r="1" spans="1:9">
      <c r="A1" s="4273" t="s">
        <v>4213</v>
      </c>
    </row>
    <row r="2" spans="1:9">
      <c r="A2" s="4273" t="s">
        <v>4214</v>
      </c>
    </row>
    <row r="3" spans="1:9">
      <c r="A3" s="4273" t="s">
        <v>4188</v>
      </c>
      <c r="B3" s="4273" t="s">
        <v>4189</v>
      </c>
      <c r="C3" s="4273" t="s">
        <v>4190</v>
      </c>
      <c r="D3" s="4273" t="s">
        <v>4191</v>
      </c>
      <c r="E3" s="4273" t="s">
        <v>4192</v>
      </c>
      <c r="F3" s="4273" t="s">
        <v>4193</v>
      </c>
      <c r="G3" s="4273" t="s">
        <v>4194</v>
      </c>
      <c r="H3" s="4273" t="s">
        <v>4195</v>
      </c>
      <c r="I3" s="4273" t="s">
        <v>4196</v>
      </c>
    </row>
    <row r="4" spans="1:9">
      <c r="A4" s="4277">
        <v>45748</v>
      </c>
      <c r="B4" s="4273" t="s">
        <v>627</v>
      </c>
      <c r="C4" s="4273" t="s">
        <v>627</v>
      </c>
      <c r="D4" s="4273" t="s">
        <v>627</v>
      </c>
      <c r="E4" s="4273" t="s">
        <v>627</v>
      </c>
      <c r="F4" s="4273" t="s">
        <v>627</v>
      </c>
      <c r="G4" s="4273" t="s">
        <v>627</v>
      </c>
      <c r="H4" s="4273">
        <v>592</v>
      </c>
      <c r="I4" s="4278">
        <v>20010</v>
      </c>
    </row>
    <row r="5" spans="1:9">
      <c r="A5" s="4277">
        <v>45717</v>
      </c>
      <c r="B5" s="4273">
        <v>1</v>
      </c>
      <c r="C5" s="4273">
        <v>66</v>
      </c>
      <c r="D5" s="4278">
        <v>5500</v>
      </c>
      <c r="E5" s="4273">
        <v>36.450000000000003</v>
      </c>
      <c r="F5" s="4273" t="s">
        <v>627</v>
      </c>
      <c r="G5" s="4273" t="s">
        <v>627</v>
      </c>
      <c r="H5" s="4273">
        <v>592</v>
      </c>
      <c r="I5" s="4278">
        <v>20010</v>
      </c>
    </row>
    <row r="6" spans="1:9">
      <c r="A6" s="4277">
        <v>45689</v>
      </c>
      <c r="B6" s="4273" t="s">
        <v>627</v>
      </c>
      <c r="C6" s="4273" t="s">
        <v>627</v>
      </c>
      <c r="D6" s="4273" t="s">
        <v>627</v>
      </c>
      <c r="E6" s="4273" t="s">
        <v>627</v>
      </c>
      <c r="F6" s="4273" t="s">
        <v>627</v>
      </c>
      <c r="G6" s="4273" t="s">
        <v>627</v>
      </c>
      <c r="H6" s="4273">
        <v>593</v>
      </c>
      <c r="I6" s="4278">
        <v>20077</v>
      </c>
    </row>
    <row r="7" spans="1:9">
      <c r="A7" s="4277">
        <v>45658</v>
      </c>
      <c r="B7" s="4273">
        <v>1</v>
      </c>
      <c r="C7" s="4273">
        <v>66</v>
      </c>
      <c r="D7" s="4278">
        <v>4365</v>
      </c>
      <c r="E7" s="4273">
        <v>28.93</v>
      </c>
      <c r="F7" s="4273" t="s">
        <v>627</v>
      </c>
      <c r="G7" s="4273" t="s">
        <v>627</v>
      </c>
      <c r="H7" s="4273">
        <v>593</v>
      </c>
      <c r="I7" s="4278">
        <v>20077</v>
      </c>
    </row>
    <row r="8" spans="1:9">
      <c r="A8" s="4277">
        <v>45627</v>
      </c>
      <c r="B8" s="4273">
        <v>1</v>
      </c>
      <c r="C8" s="4273">
        <v>33</v>
      </c>
      <c r="D8" s="4278">
        <v>8287</v>
      </c>
      <c r="E8" s="4273">
        <v>27.45</v>
      </c>
      <c r="F8" s="4273" t="s">
        <v>627</v>
      </c>
      <c r="G8" s="4273" t="s">
        <v>627</v>
      </c>
      <c r="H8" s="4273">
        <v>660</v>
      </c>
      <c r="I8" s="4278">
        <v>22468</v>
      </c>
    </row>
    <row r="9" spans="1:9">
      <c r="A9" s="4277">
        <v>45597</v>
      </c>
      <c r="B9" s="4273" t="s">
        <v>627</v>
      </c>
      <c r="C9" s="4273" t="s">
        <v>627</v>
      </c>
      <c r="D9" s="4273" t="s">
        <v>627</v>
      </c>
      <c r="E9" s="4273" t="s">
        <v>627</v>
      </c>
      <c r="F9" s="4273" t="s">
        <v>627</v>
      </c>
      <c r="G9" s="4273" t="s">
        <v>627</v>
      </c>
      <c r="H9" s="4273">
        <v>661</v>
      </c>
      <c r="I9" s="4278">
        <v>22502</v>
      </c>
    </row>
    <row r="10" spans="1:9">
      <c r="A10" s="4277">
        <v>45566</v>
      </c>
      <c r="B10" s="4273" t="s">
        <v>627</v>
      </c>
      <c r="C10" s="4273" t="s">
        <v>627</v>
      </c>
      <c r="D10" s="4273" t="s">
        <v>627</v>
      </c>
      <c r="E10" s="4273" t="s">
        <v>627</v>
      </c>
      <c r="F10" s="4273" t="s">
        <v>627</v>
      </c>
      <c r="G10" s="4273" t="s">
        <v>627</v>
      </c>
      <c r="H10" s="4273">
        <v>661</v>
      </c>
      <c r="I10" s="4278">
        <v>22502</v>
      </c>
    </row>
    <row r="11" spans="1:9">
      <c r="A11" s="4277">
        <v>45536</v>
      </c>
      <c r="B11" s="4273">
        <v>2</v>
      </c>
      <c r="C11" s="4273">
        <v>99</v>
      </c>
      <c r="D11" s="4278">
        <v>5739</v>
      </c>
      <c r="E11" s="4273">
        <v>57.05</v>
      </c>
      <c r="F11" s="4273" t="s">
        <v>627</v>
      </c>
      <c r="G11" s="4273" t="s">
        <v>627</v>
      </c>
      <c r="H11" s="4273">
        <v>661</v>
      </c>
      <c r="I11" s="4278">
        <v>22502</v>
      </c>
    </row>
    <row r="12" spans="1:9">
      <c r="A12" s="4277">
        <v>45505</v>
      </c>
      <c r="B12" s="4273">
        <v>1</v>
      </c>
      <c r="C12" s="4273">
        <v>67</v>
      </c>
      <c r="D12" s="4278">
        <v>3827</v>
      </c>
      <c r="E12" s="4273">
        <v>25.6</v>
      </c>
      <c r="F12" s="4273" t="s">
        <v>627</v>
      </c>
      <c r="G12" s="4273" t="s">
        <v>627</v>
      </c>
      <c r="H12" s="4273">
        <v>662</v>
      </c>
      <c r="I12" s="4278">
        <v>22571</v>
      </c>
    </row>
    <row r="13" spans="1:9">
      <c r="A13" s="4277">
        <v>45474</v>
      </c>
      <c r="B13" s="4273">
        <v>7</v>
      </c>
      <c r="C13" s="4273">
        <v>232</v>
      </c>
      <c r="D13" s="4278">
        <v>7921</v>
      </c>
      <c r="E13" s="4273">
        <v>183.92</v>
      </c>
      <c r="F13" s="4273" t="s">
        <v>627</v>
      </c>
      <c r="G13" s="4273" t="s">
        <v>627</v>
      </c>
      <c r="H13" s="4273">
        <v>663</v>
      </c>
      <c r="I13" s="4278">
        <v>22638</v>
      </c>
    </row>
    <row r="14" spans="1:9">
      <c r="A14" s="4277">
        <v>45444</v>
      </c>
      <c r="B14" s="4273">
        <v>7</v>
      </c>
      <c r="C14" s="4273">
        <v>233</v>
      </c>
      <c r="D14" s="4278">
        <v>5979</v>
      </c>
      <c r="E14" s="4273">
        <v>139.26</v>
      </c>
      <c r="F14" s="4273" t="s">
        <v>627</v>
      </c>
      <c r="G14" s="4273" t="s">
        <v>627</v>
      </c>
      <c r="H14" s="4273">
        <v>670</v>
      </c>
      <c r="I14" s="4278">
        <v>22870</v>
      </c>
    </row>
    <row r="15" spans="1:9">
      <c r="A15" s="4277">
        <v>45413</v>
      </c>
      <c r="B15" s="4273" t="s">
        <v>627</v>
      </c>
      <c r="C15" s="4273" t="s">
        <v>627</v>
      </c>
      <c r="D15" s="4273" t="s">
        <v>627</v>
      </c>
      <c r="E15" s="4273" t="s">
        <v>627</v>
      </c>
      <c r="F15" s="4273" t="s">
        <v>627</v>
      </c>
      <c r="G15" s="4273" t="s">
        <v>627</v>
      </c>
      <c r="H15" s="4273">
        <v>677</v>
      </c>
      <c r="I15" s="4278">
        <v>23103</v>
      </c>
    </row>
    <row r="16" spans="1:9">
      <c r="A16" s="4277">
        <v>45383</v>
      </c>
      <c r="B16" s="4273" t="s">
        <v>627</v>
      </c>
      <c r="C16" s="4273" t="s">
        <v>627</v>
      </c>
      <c r="D16" s="4273" t="s">
        <v>627</v>
      </c>
      <c r="E16" s="4273" t="s">
        <v>627</v>
      </c>
      <c r="F16" s="4273" t="s">
        <v>627</v>
      </c>
      <c r="G16" s="4273" t="s">
        <v>627</v>
      </c>
      <c r="H16" s="4273">
        <v>677</v>
      </c>
      <c r="I16" s="4278">
        <v>23103</v>
      </c>
    </row>
    <row r="17" spans="1:9">
      <c r="A17" s="4277">
        <v>45352</v>
      </c>
      <c r="B17" s="4273" t="s">
        <v>627</v>
      </c>
      <c r="C17" s="4273" t="s">
        <v>627</v>
      </c>
      <c r="D17" s="4273" t="s">
        <v>627</v>
      </c>
      <c r="E17" s="4273" t="s">
        <v>627</v>
      </c>
      <c r="F17" s="4273" t="s">
        <v>627</v>
      </c>
      <c r="G17" s="4273" t="s">
        <v>627</v>
      </c>
      <c r="H17" s="4273">
        <v>677</v>
      </c>
      <c r="I17" s="4278">
        <v>23103</v>
      </c>
    </row>
    <row r="18" spans="1:9">
      <c r="A18" s="4277">
        <v>45323</v>
      </c>
      <c r="B18" s="4273" t="s">
        <v>627</v>
      </c>
      <c r="C18" s="4273" t="s">
        <v>627</v>
      </c>
      <c r="D18" s="4273" t="s">
        <v>627</v>
      </c>
      <c r="E18" s="4273" t="s">
        <v>627</v>
      </c>
      <c r="F18" s="4273" t="s">
        <v>627</v>
      </c>
      <c r="G18" s="4273" t="s">
        <v>627</v>
      </c>
      <c r="H18" s="4273">
        <v>677</v>
      </c>
      <c r="I18" s="4278">
        <v>23103</v>
      </c>
    </row>
    <row r="19" spans="1:9">
      <c r="A19" s="4277">
        <v>45292</v>
      </c>
      <c r="B19" s="4273" t="s">
        <v>627</v>
      </c>
      <c r="C19" s="4273" t="s">
        <v>627</v>
      </c>
      <c r="D19" s="4273" t="s">
        <v>627</v>
      </c>
      <c r="E19" s="4273" t="s">
        <v>627</v>
      </c>
      <c r="F19" s="4273" t="s">
        <v>627</v>
      </c>
      <c r="G19" s="4273" t="s">
        <v>627</v>
      </c>
      <c r="H19" s="4273">
        <v>677</v>
      </c>
      <c r="I19" s="4278">
        <v>23103</v>
      </c>
    </row>
    <row r="20" spans="1:9">
      <c r="A20" s="4277">
        <v>45261</v>
      </c>
      <c r="B20" s="4273" t="s">
        <v>627</v>
      </c>
      <c r="C20" s="4273" t="s">
        <v>627</v>
      </c>
      <c r="D20" s="4273" t="s">
        <v>627</v>
      </c>
      <c r="E20" s="4273" t="s">
        <v>627</v>
      </c>
      <c r="F20" s="4273" t="s">
        <v>627</v>
      </c>
      <c r="G20" s="4273" t="s">
        <v>627</v>
      </c>
      <c r="H20" s="4273">
        <v>677</v>
      </c>
      <c r="I20" s="4278">
        <v>23103</v>
      </c>
    </row>
    <row r="21" spans="1:9">
      <c r="A21" s="4277">
        <v>45231</v>
      </c>
      <c r="B21" s="4273" t="s">
        <v>627</v>
      </c>
      <c r="C21" s="4273" t="s">
        <v>627</v>
      </c>
      <c r="D21" s="4273" t="s">
        <v>627</v>
      </c>
      <c r="E21" s="4273" t="s">
        <v>627</v>
      </c>
      <c r="F21" s="4273" t="s">
        <v>627</v>
      </c>
      <c r="G21" s="4273" t="s">
        <v>627</v>
      </c>
      <c r="H21" s="4273">
        <v>677</v>
      </c>
      <c r="I21" s="4278">
        <v>23103</v>
      </c>
    </row>
    <row r="22" spans="1:9">
      <c r="A22" s="4277">
        <v>45200</v>
      </c>
      <c r="B22" s="4273" t="s">
        <v>627</v>
      </c>
      <c r="C22" s="4273" t="s">
        <v>627</v>
      </c>
      <c r="D22" s="4273" t="s">
        <v>627</v>
      </c>
      <c r="E22" s="4273" t="s">
        <v>627</v>
      </c>
      <c r="F22" s="4273" t="s">
        <v>627</v>
      </c>
      <c r="G22" s="4273" t="s">
        <v>627</v>
      </c>
      <c r="H22" s="4273">
        <v>677</v>
      </c>
      <c r="I22" s="4278">
        <v>23103</v>
      </c>
    </row>
    <row r="23" spans="1:9">
      <c r="A23" s="4277">
        <v>45170</v>
      </c>
      <c r="B23" s="4273" t="s">
        <v>627</v>
      </c>
      <c r="C23" s="4273" t="s">
        <v>627</v>
      </c>
      <c r="D23" s="4273" t="s">
        <v>627</v>
      </c>
      <c r="E23" s="4273" t="s">
        <v>627</v>
      </c>
      <c r="F23" s="4273" t="s">
        <v>627</v>
      </c>
      <c r="G23" s="4273" t="s">
        <v>627</v>
      </c>
      <c r="H23" s="4273">
        <v>677</v>
      </c>
      <c r="I23" s="4278">
        <v>23103</v>
      </c>
    </row>
    <row r="24" spans="1:9">
      <c r="A24" s="4277">
        <v>45139</v>
      </c>
      <c r="B24" s="4273">
        <v>4</v>
      </c>
      <c r="C24" s="4273">
        <v>128</v>
      </c>
      <c r="D24" s="4278">
        <v>6111</v>
      </c>
      <c r="E24" s="4273">
        <v>78.47</v>
      </c>
      <c r="F24" s="4273" t="s">
        <v>627</v>
      </c>
      <c r="G24" s="4273" t="s">
        <v>627</v>
      </c>
      <c r="H24" s="4273">
        <v>677</v>
      </c>
      <c r="I24" s="4278">
        <v>23103</v>
      </c>
    </row>
    <row r="25" spans="1:9">
      <c r="A25" s="4277">
        <v>45108</v>
      </c>
      <c r="B25" s="4273">
        <v>1</v>
      </c>
      <c r="C25" s="4273">
        <v>33</v>
      </c>
      <c r="D25" s="4278">
        <v>6404</v>
      </c>
      <c r="E25" s="4273">
        <v>21.43</v>
      </c>
      <c r="F25" s="4273" t="s">
        <v>627</v>
      </c>
      <c r="G25" s="4273" t="s">
        <v>627</v>
      </c>
      <c r="H25" s="4273">
        <v>681</v>
      </c>
      <c r="I25" s="4278">
        <v>23231</v>
      </c>
    </row>
    <row r="26" spans="1:9">
      <c r="A26" s="4277">
        <v>45078</v>
      </c>
      <c r="B26" s="4273" t="s">
        <v>627</v>
      </c>
      <c r="C26" s="4273" t="s">
        <v>627</v>
      </c>
      <c r="D26" s="4273" t="s">
        <v>627</v>
      </c>
      <c r="E26" s="4273" t="s">
        <v>627</v>
      </c>
      <c r="F26" s="4273" t="s">
        <v>627</v>
      </c>
      <c r="G26" s="4273" t="s">
        <v>627</v>
      </c>
      <c r="H26" s="4273">
        <v>682</v>
      </c>
      <c r="I26" s="4278">
        <v>23265</v>
      </c>
    </row>
    <row r="27" spans="1:9">
      <c r="A27" s="4277">
        <v>45047</v>
      </c>
      <c r="B27" s="4273" t="s">
        <v>627</v>
      </c>
      <c r="C27" s="4273" t="s">
        <v>627</v>
      </c>
      <c r="D27" s="4273" t="s">
        <v>627</v>
      </c>
      <c r="E27" s="4273" t="s">
        <v>627</v>
      </c>
      <c r="F27" s="4273" t="s">
        <v>627</v>
      </c>
      <c r="G27" s="4273" t="s">
        <v>627</v>
      </c>
      <c r="H27" s="4273">
        <v>682</v>
      </c>
      <c r="I27" s="4278">
        <v>23265</v>
      </c>
    </row>
    <row r="28" spans="1:9">
      <c r="A28" s="4277">
        <v>45017</v>
      </c>
      <c r="B28" s="4273" t="s">
        <v>627</v>
      </c>
      <c r="C28" s="4273" t="s">
        <v>627</v>
      </c>
      <c r="D28" s="4273" t="s">
        <v>627</v>
      </c>
      <c r="E28" s="4273" t="s">
        <v>627</v>
      </c>
      <c r="F28" s="4273" t="s">
        <v>627</v>
      </c>
      <c r="G28" s="4273" t="s">
        <v>627</v>
      </c>
      <c r="H28" s="4273">
        <v>682</v>
      </c>
      <c r="I28" s="4278">
        <v>23265</v>
      </c>
    </row>
    <row r="29" spans="1:9">
      <c r="A29" s="4277">
        <v>44986</v>
      </c>
      <c r="B29" s="4273">
        <v>2</v>
      </c>
      <c r="C29" s="4273">
        <v>66</v>
      </c>
      <c r="D29" s="4278">
        <v>6498</v>
      </c>
      <c r="E29" s="4273">
        <v>42.6</v>
      </c>
      <c r="F29" s="4273" t="s">
        <v>627</v>
      </c>
      <c r="G29" s="4273" t="s">
        <v>627</v>
      </c>
      <c r="H29" s="4273">
        <v>682</v>
      </c>
      <c r="I29" s="4278">
        <v>23265</v>
      </c>
    </row>
    <row r="30" spans="1:9">
      <c r="A30" s="4277">
        <v>44958</v>
      </c>
      <c r="B30" s="4273">
        <v>2</v>
      </c>
      <c r="C30" s="4273">
        <v>100</v>
      </c>
      <c r="D30" s="4278">
        <v>5460</v>
      </c>
      <c r="E30" s="4273">
        <v>54.45</v>
      </c>
      <c r="F30" s="4273" t="s">
        <v>627</v>
      </c>
      <c r="G30" s="4273" t="s">
        <v>627</v>
      </c>
      <c r="H30" s="4273">
        <v>697</v>
      </c>
      <c r="I30" s="4278">
        <v>23814</v>
      </c>
    </row>
    <row r="31" spans="1:9">
      <c r="A31" s="4277">
        <v>44927</v>
      </c>
      <c r="B31" s="4273">
        <v>5</v>
      </c>
      <c r="C31" s="4273">
        <v>178</v>
      </c>
      <c r="D31" s="4278">
        <v>5406</v>
      </c>
      <c r="E31" s="4273">
        <v>96.38</v>
      </c>
      <c r="F31" s="4273" t="s">
        <v>627</v>
      </c>
      <c r="G31" s="4273" t="s">
        <v>627</v>
      </c>
      <c r="H31" s="4273">
        <v>697</v>
      </c>
      <c r="I31" s="4278">
        <v>23814</v>
      </c>
    </row>
    <row r="32" spans="1:9">
      <c r="A32" s="4277">
        <v>44896</v>
      </c>
      <c r="B32" s="4273">
        <v>1</v>
      </c>
      <c r="C32" s="4273">
        <v>32</v>
      </c>
      <c r="D32" s="4278">
        <v>7780</v>
      </c>
      <c r="E32" s="4273">
        <v>25.25</v>
      </c>
      <c r="F32" s="4273" t="s">
        <v>627</v>
      </c>
      <c r="G32" s="4273" t="s">
        <v>627</v>
      </c>
      <c r="H32" s="4273">
        <v>697</v>
      </c>
      <c r="I32" s="4278">
        <v>23814</v>
      </c>
    </row>
    <row r="33" spans="1:9">
      <c r="A33" s="4277">
        <v>44866</v>
      </c>
      <c r="B33" s="4273">
        <v>5</v>
      </c>
      <c r="C33" s="4273">
        <v>173</v>
      </c>
      <c r="D33" s="4278">
        <v>6454</v>
      </c>
      <c r="E33" s="4273">
        <v>111.55</v>
      </c>
      <c r="F33" s="4273" t="s">
        <v>627</v>
      </c>
      <c r="G33" s="4273" t="s">
        <v>627</v>
      </c>
      <c r="H33" s="4273">
        <v>697</v>
      </c>
      <c r="I33" s="4278">
        <v>23814</v>
      </c>
    </row>
    <row r="34" spans="1:9">
      <c r="A34" s="4273" t="s">
        <v>4215</v>
      </c>
    </row>
    <row r="35" spans="1:9">
      <c r="A35" s="4273" t="s">
        <v>4203</v>
      </c>
    </row>
    <row r="36" spans="1:9">
      <c r="A36" s="4273" t="s">
        <v>4204</v>
      </c>
    </row>
  </sheetData>
  <phoneticPr fontId="137"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3620</v>
      </c>
      <c r="B4" s="3388" t="e">
        <f>IF(B43="单位面积地价",C45,ROUND(B2*10000/'数据-汇总表'!D3,0))</f>
        <v>#DIV/0!</v>
      </c>
      <c r="C4" s="1336" t="s">
        <v>3622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90" t="s">
        <v>1677</v>
      </c>
      <c r="D6" s="4591"/>
      <c r="E6" s="4592" t="s">
        <v>1678</v>
      </c>
      <c r="F6" s="4593"/>
      <c r="G6" s="4590" t="s">
        <v>1679</v>
      </c>
      <c r="H6" s="4591"/>
      <c r="I6" s="4590" t="s">
        <v>1680</v>
      </c>
      <c r="J6" s="4591"/>
      <c r="K6" s="393" t="s">
        <v>1681</v>
      </c>
      <c r="L6" s="1974"/>
      <c r="M6" s="1975"/>
      <c r="N6" s="1975"/>
      <c r="O6" s="1975"/>
      <c r="P6" s="4594" t="s">
        <v>1682</v>
      </c>
      <c r="Q6" s="4595"/>
      <c r="R6" s="4600" t="s">
        <v>1678</v>
      </c>
      <c r="S6" s="4601"/>
      <c r="T6" s="4600" t="s">
        <v>1679</v>
      </c>
      <c r="U6" s="4601"/>
      <c r="V6" s="4606" t="s">
        <v>1680</v>
      </c>
      <c r="W6" s="4606"/>
      <c r="X6" s="909"/>
      <c r="Y6" s="4615" t="s">
        <v>1682</v>
      </c>
      <c r="Z6" s="4616"/>
      <c r="AA6" s="4587" t="s">
        <v>1678</v>
      </c>
      <c r="AB6" s="4588" t="s">
        <v>1679</v>
      </c>
      <c r="AC6" s="4587" t="s">
        <v>1680</v>
      </c>
    </row>
    <row r="7" spans="1:29" ht="15">
      <c r="A7" s="3097"/>
      <c r="B7" s="3162"/>
      <c r="C7" s="4609" t="s">
        <v>1580</v>
      </c>
      <c r="D7" s="4610"/>
      <c r="E7" s="4624" t="s">
        <v>1581</v>
      </c>
      <c r="F7" s="4625"/>
      <c r="G7" s="4609" t="s">
        <v>1582</v>
      </c>
      <c r="H7" s="4610"/>
      <c r="I7" s="4609" t="s">
        <v>1583</v>
      </c>
      <c r="J7" s="4610"/>
      <c r="K7" s="393"/>
      <c r="L7" s="1974"/>
      <c r="M7" s="1975"/>
      <c r="N7" s="1975"/>
      <c r="O7" s="1975"/>
      <c r="P7" s="4596"/>
      <c r="Q7" s="4597"/>
      <c r="R7" s="4602"/>
      <c r="S7" s="4603"/>
      <c r="T7" s="4602"/>
      <c r="U7" s="4603"/>
      <c r="V7" s="4606"/>
      <c r="W7" s="4606"/>
      <c r="X7" s="909"/>
      <c r="Y7" s="4617"/>
      <c r="Z7" s="4618"/>
      <c r="AA7" s="4588"/>
      <c r="AB7" s="4588"/>
      <c r="AC7" s="4588"/>
    </row>
    <row r="8" spans="1:29" ht="15.75" thickBot="1">
      <c r="A8" s="3163"/>
      <c r="B8" s="3164"/>
      <c r="C8" s="4685" t="s">
        <v>1826</v>
      </c>
      <c r="D8" s="4686"/>
      <c r="E8" s="4687" t="s">
        <v>1826</v>
      </c>
      <c r="F8" s="4688"/>
      <c r="G8" s="4685" t="s">
        <v>1826</v>
      </c>
      <c r="H8" s="4686"/>
      <c r="I8" s="4685" t="s">
        <v>1826</v>
      </c>
      <c r="J8" s="4686"/>
      <c r="K8" s="393" t="s">
        <v>1585</v>
      </c>
      <c r="L8" s="1974"/>
      <c r="M8" s="1975"/>
      <c r="N8" s="1975"/>
      <c r="O8" s="1975"/>
      <c r="P8" s="4598"/>
      <c r="Q8" s="4599"/>
      <c r="R8" s="4602"/>
      <c r="S8" s="4603"/>
      <c r="T8" s="4604"/>
      <c r="U8" s="4605"/>
      <c r="V8" s="4606"/>
      <c r="W8" s="4606"/>
      <c r="X8" s="909"/>
      <c r="Y8" s="4619"/>
      <c r="Z8" s="4620"/>
      <c r="AA8" s="4589"/>
      <c r="AB8" s="4589"/>
      <c r="AC8" s="4589"/>
    </row>
    <row r="9" spans="1:29" s="46" customFormat="1" ht="15.75" thickBot="1">
      <c r="A9" s="3089" t="s">
        <v>1586</v>
      </c>
      <c r="B9" s="3090"/>
      <c r="C9" s="2811">
        <f>'数据-取费表'!B2</f>
        <v>46091</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611" t="s">
        <v>1587</v>
      </c>
      <c r="Q9" s="4621"/>
      <c r="R9" s="3759" t="s">
        <v>13</v>
      </c>
      <c r="S9" s="3542">
        <f t="shared" ref="S9:S17" si="0">F9</f>
        <v>0</v>
      </c>
      <c r="T9" s="3759" t="s">
        <v>13</v>
      </c>
      <c r="U9" s="3542">
        <f t="shared" ref="U9:U17" si="1">H9</f>
        <v>0</v>
      </c>
      <c r="V9" s="3759" t="s">
        <v>13</v>
      </c>
      <c r="W9" s="3542">
        <f t="shared" ref="W9:W17" si="2">J9</f>
        <v>0</v>
      </c>
      <c r="X9" s="482"/>
      <c r="Y9" s="4613" t="s">
        <v>1587</v>
      </c>
      <c r="Z9" s="4614"/>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611" t="s">
        <v>1590</v>
      </c>
      <c r="Q10" s="4612"/>
      <c r="R10" s="3759" t="s">
        <v>13</v>
      </c>
      <c r="S10" s="3542">
        <f t="shared" si="0"/>
        <v>0</v>
      </c>
      <c r="T10" s="3759" t="s">
        <v>13</v>
      </c>
      <c r="U10" s="3542">
        <f t="shared" si="1"/>
        <v>0</v>
      </c>
      <c r="V10" s="3759" t="s">
        <v>13</v>
      </c>
      <c r="W10" s="3542">
        <f t="shared" si="2"/>
        <v>0</v>
      </c>
      <c r="X10" s="482"/>
      <c r="Y10" s="4613" t="s">
        <v>1590</v>
      </c>
      <c r="Z10" s="4614"/>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78" t="s">
        <v>1593</v>
      </c>
      <c r="Q11" s="1698" t="str">
        <f t="shared" ref="Q11:Q17" si="6">B11</f>
        <v>用途</v>
      </c>
      <c r="R11" s="3759" t="s">
        <v>13</v>
      </c>
      <c r="S11" s="3542">
        <f t="shared" si="0"/>
        <v>100</v>
      </c>
      <c r="T11" s="3759" t="s">
        <v>13</v>
      </c>
      <c r="U11" s="3542">
        <f t="shared" si="1"/>
        <v>100</v>
      </c>
      <c r="V11" s="3759" t="s">
        <v>13</v>
      </c>
      <c r="W11" s="3542">
        <f t="shared" si="2"/>
        <v>100</v>
      </c>
      <c r="X11" s="482"/>
      <c r="Y11" s="458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100</v>
      </c>
      <c r="G12" s="2816"/>
      <c r="H12" s="3731">
        <f>ROUND(100/'数据-取费表'!G16,1)</f>
        <v>100</v>
      </c>
      <c r="I12" s="2816"/>
      <c r="J12" s="3731">
        <f>ROUND(100/'数据-取费表'!G16,1)</f>
        <v>100</v>
      </c>
      <c r="K12" s="434"/>
      <c r="L12" s="1977"/>
      <c r="M12" s="1978"/>
      <c r="N12" s="1978"/>
      <c r="O12" s="2029"/>
      <c r="P12" s="4578"/>
      <c r="Q12" s="1698" t="str">
        <f t="shared" si="6"/>
        <v>土地使用年限（年）</v>
      </c>
      <c r="R12" s="3759" t="s">
        <v>13</v>
      </c>
      <c r="S12" s="3542">
        <f t="shared" si="0"/>
        <v>100</v>
      </c>
      <c r="T12" s="3759" t="s">
        <v>13</v>
      </c>
      <c r="U12" s="3542">
        <f t="shared" si="1"/>
        <v>100</v>
      </c>
      <c r="V12" s="3759" t="s">
        <v>13</v>
      </c>
      <c r="W12" s="3542">
        <f t="shared" si="2"/>
        <v>100</v>
      </c>
      <c r="X12" s="482"/>
      <c r="Y12" s="4586"/>
      <c r="Z12" s="28" t="str">
        <f t="shared" si="7"/>
        <v>土地使用年限（年）</v>
      </c>
      <c r="AA12" s="28">
        <f t="shared" si="3"/>
        <v>1</v>
      </c>
      <c r="AB12" s="28">
        <f t="shared" si="4"/>
        <v>1</v>
      </c>
      <c r="AC12" s="28">
        <f t="shared" si="5"/>
        <v>1</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78"/>
      <c r="Q13" s="1698" t="str">
        <f t="shared" si="6"/>
        <v>容积率</v>
      </c>
      <c r="R13" s="3759" t="s">
        <v>13</v>
      </c>
      <c r="S13" s="3542" t="e">
        <f t="shared" si="0"/>
        <v>#N/A</v>
      </c>
      <c r="T13" s="3759" t="s">
        <v>13</v>
      </c>
      <c r="U13" s="3542" t="e">
        <f t="shared" si="1"/>
        <v>#N/A</v>
      </c>
      <c r="V13" s="3759" t="s">
        <v>13</v>
      </c>
      <c r="W13" s="3542" t="e">
        <f t="shared" si="2"/>
        <v>#N/A</v>
      </c>
      <c r="X13" s="482"/>
      <c r="Y13" s="4586"/>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78"/>
      <c r="Q14" s="1698">
        <f t="shared" si="6"/>
        <v>111</v>
      </c>
      <c r="R14" s="3759" t="s">
        <v>13</v>
      </c>
      <c r="S14" s="3542">
        <f t="shared" si="0"/>
        <v>100</v>
      </c>
      <c r="T14" s="3759" t="s">
        <v>13</v>
      </c>
      <c r="U14" s="3542">
        <f t="shared" si="1"/>
        <v>100</v>
      </c>
      <c r="V14" s="3759" t="s">
        <v>13</v>
      </c>
      <c r="W14" s="3542">
        <f t="shared" si="2"/>
        <v>100</v>
      </c>
      <c r="X14" s="482"/>
      <c r="Y14" s="4586"/>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78"/>
      <c r="Q15" s="1698">
        <f t="shared" si="6"/>
        <v>111</v>
      </c>
      <c r="R15" s="3759" t="s">
        <v>13</v>
      </c>
      <c r="S15" s="3542">
        <f t="shared" si="0"/>
        <v>100</v>
      </c>
      <c r="T15" s="3759" t="s">
        <v>13</v>
      </c>
      <c r="U15" s="3542">
        <f t="shared" si="1"/>
        <v>100</v>
      </c>
      <c r="V15" s="3759" t="s">
        <v>13</v>
      </c>
      <c r="W15" s="3542">
        <f t="shared" si="2"/>
        <v>100</v>
      </c>
      <c r="X15" s="482"/>
      <c r="Y15" s="4586"/>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78"/>
      <c r="Q16" s="1698">
        <f t="shared" si="6"/>
        <v>111</v>
      </c>
      <c r="R16" s="3759" t="s">
        <v>13</v>
      </c>
      <c r="S16" s="3542">
        <f t="shared" si="0"/>
        <v>100</v>
      </c>
      <c r="T16" s="3759" t="s">
        <v>13</v>
      </c>
      <c r="U16" s="3542">
        <f t="shared" si="1"/>
        <v>100</v>
      </c>
      <c r="V16" s="3759" t="s">
        <v>13</v>
      </c>
      <c r="W16" s="3542">
        <f t="shared" si="2"/>
        <v>100</v>
      </c>
      <c r="X16" s="482"/>
      <c r="Y16" s="4586"/>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579" t="s">
        <v>1598</v>
      </c>
      <c r="Q17" s="1507" t="str">
        <f t="shared" si="6"/>
        <v>产业集聚程度</v>
      </c>
      <c r="R17" s="3760" t="s">
        <v>13</v>
      </c>
      <c r="S17" s="3762">
        <f t="shared" si="0"/>
        <v>100</v>
      </c>
      <c r="T17" s="3760" t="s">
        <v>13</v>
      </c>
      <c r="U17" s="3762">
        <f t="shared" si="1"/>
        <v>100</v>
      </c>
      <c r="V17" s="3760" t="s">
        <v>13</v>
      </c>
      <c r="W17" s="3762">
        <f t="shared" si="2"/>
        <v>100</v>
      </c>
      <c r="X17" s="909"/>
      <c r="Y17" s="4581"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580"/>
      <c r="Q18" s="1507"/>
      <c r="R18" s="3760"/>
      <c r="S18" s="3762"/>
      <c r="T18" s="3760"/>
      <c r="U18" s="3762"/>
      <c r="V18" s="3760"/>
      <c r="W18" s="3762"/>
      <c r="X18" s="909"/>
      <c r="Y18" s="4582"/>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580"/>
      <c r="Q19" s="1507" t="str">
        <f>B19</f>
        <v>交通便捷度</v>
      </c>
      <c r="R19" s="3760" t="s">
        <v>13</v>
      </c>
      <c r="S19" s="3762">
        <f>F19</f>
        <v>100</v>
      </c>
      <c r="T19" s="3760" t="s">
        <v>13</v>
      </c>
      <c r="U19" s="3762">
        <f>H19</f>
        <v>100</v>
      </c>
      <c r="V19" s="3760" t="s">
        <v>13</v>
      </c>
      <c r="W19" s="3762">
        <f>J19</f>
        <v>100</v>
      </c>
      <c r="X19" s="909"/>
      <c r="Y19" s="4582"/>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580"/>
      <c r="Q20" s="1507"/>
      <c r="R20" s="3760"/>
      <c r="S20" s="3762"/>
      <c r="T20" s="3760"/>
      <c r="U20" s="3762"/>
      <c r="V20" s="3760"/>
      <c r="W20" s="3762"/>
      <c r="X20" s="909"/>
      <c r="Y20" s="4582"/>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580"/>
      <c r="Q21" s="1507" t="str">
        <f t="shared" ref="Q21:Q35" si="8">B21</f>
        <v>区域土地利用方向</v>
      </c>
      <c r="R21" s="3760" t="s">
        <v>13</v>
      </c>
      <c r="S21" s="3762">
        <f>F21</f>
        <v>100</v>
      </c>
      <c r="T21" s="3760" t="s">
        <v>13</v>
      </c>
      <c r="U21" s="3762">
        <f>H21</f>
        <v>100</v>
      </c>
      <c r="V21" s="3760" t="s">
        <v>13</v>
      </c>
      <c r="W21" s="3762">
        <f>J21</f>
        <v>100</v>
      </c>
      <c r="X21" s="909"/>
      <c r="Y21" s="4582"/>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580"/>
      <c r="Q22" s="1507"/>
      <c r="R22" s="3760"/>
      <c r="S22" s="3762"/>
      <c r="T22" s="3760"/>
      <c r="U22" s="3762"/>
      <c r="V22" s="3760"/>
      <c r="W22" s="3762"/>
      <c r="X22" s="909"/>
      <c r="Y22" s="4582"/>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580"/>
      <c r="Q23" s="1507" t="str">
        <f t="shared" si="8"/>
        <v>环境状况</v>
      </c>
      <c r="R23" s="3760" t="s">
        <v>13</v>
      </c>
      <c r="S23" s="3762">
        <f>F23</f>
        <v>100</v>
      </c>
      <c r="T23" s="3760" t="s">
        <v>13</v>
      </c>
      <c r="U23" s="3762">
        <f>H23</f>
        <v>100</v>
      </c>
      <c r="V23" s="3760" t="s">
        <v>13</v>
      </c>
      <c r="W23" s="3762">
        <f>J23</f>
        <v>100</v>
      </c>
      <c r="X23" s="909"/>
      <c r="Y23" s="4582"/>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580"/>
      <c r="Q24" s="1507"/>
      <c r="R24" s="3760"/>
      <c r="S24" s="3762"/>
      <c r="T24" s="3760"/>
      <c r="U24" s="3762"/>
      <c r="V24" s="3760"/>
      <c r="W24" s="3762"/>
      <c r="X24" s="909"/>
      <c r="Y24" s="4582"/>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580"/>
      <c r="Q25" s="1698" t="str">
        <f t="shared" si="8"/>
        <v>公共配套设施</v>
      </c>
      <c r="R25" s="3759" t="s">
        <v>13</v>
      </c>
      <c r="S25" s="3542">
        <f>F25</f>
        <v>100</v>
      </c>
      <c r="T25" s="3759" t="s">
        <v>13</v>
      </c>
      <c r="U25" s="3542">
        <f>H25</f>
        <v>100</v>
      </c>
      <c r="V25" s="3759" t="s">
        <v>13</v>
      </c>
      <c r="W25" s="3542">
        <f>J25</f>
        <v>100</v>
      </c>
      <c r="X25" s="482"/>
      <c r="Y25" s="4582"/>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580"/>
      <c r="Q26" s="1698"/>
      <c r="R26" s="3759"/>
      <c r="S26" s="3542"/>
      <c r="T26" s="3759"/>
      <c r="U26" s="3542"/>
      <c r="V26" s="3759"/>
      <c r="W26" s="3542"/>
      <c r="X26" s="482"/>
      <c r="Y26" s="4582"/>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580"/>
      <c r="Q27" s="1698" t="str">
        <f t="shared" ref="Q27" si="9">B27</f>
        <v>基础设施水平</v>
      </c>
      <c r="R27" s="3759" t="s">
        <v>13</v>
      </c>
      <c r="S27" s="3542">
        <f>F27</f>
        <v>100</v>
      </c>
      <c r="T27" s="3759" t="s">
        <v>13</v>
      </c>
      <c r="U27" s="3542">
        <f>H27</f>
        <v>100</v>
      </c>
      <c r="V27" s="3759" t="s">
        <v>13</v>
      </c>
      <c r="W27" s="3542">
        <f>J27</f>
        <v>100</v>
      </c>
      <c r="X27" s="482"/>
      <c r="Y27" s="4582"/>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580"/>
      <c r="Q28" s="1698"/>
      <c r="R28" s="3759"/>
      <c r="S28" s="3542"/>
      <c r="T28" s="3759"/>
      <c r="U28" s="3542"/>
      <c r="V28" s="3759"/>
      <c r="W28" s="3542"/>
      <c r="X28" s="482"/>
      <c r="Y28" s="4582"/>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580"/>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82"/>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580"/>
      <c r="Q30" s="1507" t="str">
        <f t="shared" si="8"/>
        <v>毗邻道路的类型与等级</v>
      </c>
      <c r="R30" s="3760" t="s">
        <v>13</v>
      </c>
      <c r="S30" s="3762">
        <f t="shared" si="10"/>
        <v>100</v>
      </c>
      <c r="T30" s="3760" t="s">
        <v>13</v>
      </c>
      <c r="U30" s="3762">
        <f t="shared" si="11"/>
        <v>100</v>
      </c>
      <c r="V30" s="3760" t="s">
        <v>13</v>
      </c>
      <c r="W30" s="3762">
        <f t="shared" si="12"/>
        <v>100</v>
      </c>
      <c r="X30" s="909"/>
      <c r="Y30" s="4582"/>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580"/>
      <c r="Q31" s="1507"/>
      <c r="R31" s="3760"/>
      <c r="S31" s="3762"/>
      <c r="T31" s="3760"/>
      <c r="U31" s="3762"/>
      <c r="V31" s="3760"/>
      <c r="W31" s="3762"/>
      <c r="X31" s="909"/>
      <c r="Y31" s="4582"/>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580"/>
      <c r="Q32" s="1507" t="str">
        <f t="shared" si="8"/>
        <v>土地级别</v>
      </c>
      <c r="R32" s="3760" t="s">
        <v>13</v>
      </c>
      <c r="S32" s="3762">
        <f t="shared" si="10"/>
        <v>100</v>
      </c>
      <c r="T32" s="3760" t="s">
        <v>13</v>
      </c>
      <c r="U32" s="3762">
        <f t="shared" si="11"/>
        <v>100</v>
      </c>
      <c r="V32" s="3760" t="s">
        <v>13</v>
      </c>
      <c r="W32" s="3762">
        <f t="shared" si="12"/>
        <v>100</v>
      </c>
      <c r="X32" s="909"/>
      <c r="Y32" s="4582"/>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580"/>
      <c r="Q33" s="1507">
        <f t="shared" si="8"/>
        <v>111</v>
      </c>
      <c r="R33" s="3760" t="s">
        <v>13</v>
      </c>
      <c r="S33" s="3762">
        <f t="shared" si="10"/>
        <v>100</v>
      </c>
      <c r="T33" s="3760" t="s">
        <v>13</v>
      </c>
      <c r="U33" s="3762">
        <f t="shared" si="11"/>
        <v>100</v>
      </c>
      <c r="V33" s="3760" t="s">
        <v>13</v>
      </c>
      <c r="W33" s="3762">
        <f t="shared" si="12"/>
        <v>100</v>
      </c>
      <c r="X33" s="909"/>
      <c r="Y33" s="4582"/>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583" t="s">
        <v>1603</v>
      </c>
      <c r="Q34" s="1507">
        <f t="shared" si="8"/>
        <v>111</v>
      </c>
      <c r="R34" s="3760" t="s">
        <v>13</v>
      </c>
      <c r="S34" s="3762">
        <f t="shared" si="10"/>
        <v>100</v>
      </c>
      <c r="T34" s="3760" t="s">
        <v>13</v>
      </c>
      <c r="U34" s="3762">
        <f t="shared" si="11"/>
        <v>100</v>
      </c>
      <c r="V34" s="3760" t="s">
        <v>13</v>
      </c>
      <c r="W34" s="3762">
        <f t="shared" si="12"/>
        <v>100</v>
      </c>
      <c r="X34" s="909"/>
      <c r="Y34" s="4585"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584"/>
      <c r="Q35" s="1507">
        <f t="shared" si="8"/>
        <v>111</v>
      </c>
      <c r="R35" s="3761" t="s">
        <v>13</v>
      </c>
      <c r="S35" s="3763">
        <f t="shared" si="10"/>
        <v>100</v>
      </c>
      <c r="T35" s="3761" t="s">
        <v>13</v>
      </c>
      <c r="U35" s="3763">
        <f t="shared" si="11"/>
        <v>100</v>
      </c>
      <c r="V35" s="3761" t="s">
        <v>13</v>
      </c>
      <c r="W35" s="3763">
        <f t="shared" si="12"/>
        <v>100</v>
      </c>
      <c r="X35" s="484"/>
      <c r="Y35" s="4585"/>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584"/>
      <c r="Q36" s="1507" t="str">
        <f>B36</f>
        <v>宗地面积</v>
      </c>
      <c r="R36" s="3760" t="s">
        <v>13</v>
      </c>
      <c r="S36" s="3762" t="e">
        <f t="shared" si="10"/>
        <v>#N/A</v>
      </c>
      <c r="T36" s="3760" t="s">
        <v>13</v>
      </c>
      <c r="U36" s="3762" t="e">
        <f t="shared" si="11"/>
        <v>#N/A</v>
      </c>
      <c r="V36" s="3760" t="s">
        <v>13</v>
      </c>
      <c r="W36" s="3762" t="e">
        <f t="shared" si="12"/>
        <v>#N/A</v>
      </c>
      <c r="X36" s="909"/>
      <c r="Y36" s="4585"/>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584"/>
      <c r="Q37" s="1507" t="str">
        <f t="shared" ref="Q37:Q42" si="14">B37</f>
        <v>宗地形状</v>
      </c>
      <c r="R37" s="3760" t="s">
        <v>13</v>
      </c>
      <c r="S37" s="3762">
        <f t="shared" si="10"/>
        <v>100</v>
      </c>
      <c r="T37" s="3760" t="s">
        <v>13</v>
      </c>
      <c r="U37" s="3762">
        <f t="shared" si="11"/>
        <v>100</v>
      </c>
      <c r="V37" s="3760" t="s">
        <v>13</v>
      </c>
      <c r="W37" s="3762">
        <f t="shared" si="12"/>
        <v>100</v>
      </c>
      <c r="X37" s="909"/>
      <c r="Y37" s="4585"/>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584"/>
      <c r="Q38" s="1507" t="str">
        <f t="shared" si="14"/>
        <v>宗地开发程度</v>
      </c>
      <c r="R38" s="3759" t="s">
        <v>13</v>
      </c>
      <c r="S38" s="3542">
        <f t="shared" si="10"/>
        <v>100</v>
      </c>
      <c r="T38" s="3759" t="s">
        <v>13</v>
      </c>
      <c r="U38" s="3542">
        <f t="shared" si="11"/>
        <v>100</v>
      </c>
      <c r="V38" s="3759" t="s">
        <v>13</v>
      </c>
      <c r="W38" s="3542">
        <f t="shared" si="12"/>
        <v>100</v>
      </c>
      <c r="X38" s="482"/>
      <c r="Y38" s="4585"/>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584" t="s">
        <v>1603</v>
      </c>
      <c r="Q39" s="1507" t="str">
        <f t="shared" si="14"/>
        <v>工程地质条件</v>
      </c>
      <c r="R39" s="3760" t="s">
        <v>13</v>
      </c>
      <c r="S39" s="3762">
        <f t="shared" si="10"/>
        <v>100</v>
      </c>
      <c r="T39" s="3760" t="s">
        <v>13</v>
      </c>
      <c r="U39" s="3762">
        <f t="shared" si="11"/>
        <v>100</v>
      </c>
      <c r="V39" s="3760" t="s">
        <v>13</v>
      </c>
      <c r="W39" s="3762">
        <f t="shared" si="12"/>
        <v>100</v>
      </c>
      <c r="X39" s="909"/>
      <c r="Y39" s="4585"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584"/>
      <c r="Q40" s="1507">
        <f t="shared" si="14"/>
        <v>111</v>
      </c>
      <c r="R40" s="3760" t="s">
        <v>13</v>
      </c>
      <c r="S40" s="3762">
        <f t="shared" si="10"/>
        <v>100</v>
      </c>
      <c r="T40" s="3760" t="s">
        <v>13</v>
      </c>
      <c r="U40" s="3762">
        <f t="shared" si="11"/>
        <v>100</v>
      </c>
      <c r="V40" s="3760" t="s">
        <v>13</v>
      </c>
      <c r="W40" s="3762">
        <f t="shared" si="12"/>
        <v>100</v>
      </c>
      <c r="X40" s="909"/>
      <c r="Y40" s="4585"/>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584"/>
      <c r="Q41" s="1507">
        <f t="shared" si="14"/>
        <v>111</v>
      </c>
      <c r="R41" s="3760" t="s">
        <v>13</v>
      </c>
      <c r="S41" s="3762">
        <f t="shared" si="10"/>
        <v>100</v>
      </c>
      <c r="T41" s="3760" t="s">
        <v>13</v>
      </c>
      <c r="U41" s="3762">
        <f t="shared" si="11"/>
        <v>100</v>
      </c>
      <c r="V41" s="3760" t="s">
        <v>13</v>
      </c>
      <c r="W41" s="3762">
        <f t="shared" si="12"/>
        <v>100</v>
      </c>
      <c r="X41" s="909"/>
      <c r="Y41" s="4585"/>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584"/>
      <c r="Q42" s="1507">
        <f t="shared" si="14"/>
        <v>111</v>
      </c>
      <c r="R42" s="3761" t="s">
        <v>13</v>
      </c>
      <c r="S42" s="3763">
        <f t="shared" si="10"/>
        <v>100</v>
      </c>
      <c r="T42" s="3761" t="s">
        <v>13</v>
      </c>
      <c r="U42" s="3763">
        <f t="shared" si="11"/>
        <v>100</v>
      </c>
      <c r="V42" s="3761" t="s">
        <v>13</v>
      </c>
      <c r="W42" s="3763">
        <f t="shared" si="12"/>
        <v>100</v>
      </c>
      <c r="X42" s="484"/>
      <c r="Y42" s="4585"/>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78" t="str">
        <f>A43</f>
        <v>成交单价</v>
      </c>
      <c r="Q43" s="4578"/>
      <c r="R43" s="4570">
        <f>E43</f>
        <v>0</v>
      </c>
      <c r="S43" s="4570"/>
      <c r="T43" s="4570">
        <f>G43</f>
        <v>0</v>
      </c>
      <c r="U43" s="4570"/>
      <c r="V43" s="4570">
        <f>I43</f>
        <v>0</v>
      </c>
      <c r="W43" s="4570"/>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578" t="str">
        <f>A44</f>
        <v>比较价值（元/平方米）</v>
      </c>
      <c r="Q44" s="4578"/>
      <c r="R44" s="4570" t="e">
        <f>ROUND(PRODUCT(R43,AA9:AA42),0)</f>
        <v>#DIV/0!</v>
      </c>
      <c r="S44" s="4570"/>
      <c r="T44" s="4570" t="e">
        <f>ROUND(PRODUCT(T43,AB9:AB42),0)</f>
        <v>#DIV/0!</v>
      </c>
      <c r="U44" s="4570"/>
      <c r="V44" s="4570" t="e">
        <f>ROUND(PRODUCT(V43,AC9:AC42),0)</f>
        <v>#DIV/0!</v>
      </c>
      <c r="W44" s="4570"/>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71" t="str">
        <f>A45</f>
        <v>估价对象XX用房的比较价值（楼面单价，元/平方米）</v>
      </c>
      <c r="Q45" s="4572"/>
      <c r="R45" s="4573" t="e">
        <f>ROUND(IF(D44="简单平均",AVERAGE(R44:W44),R44*F44+T44*H44+V44*J44),0)</f>
        <v>#DIV/0!</v>
      </c>
      <c r="S45" s="4573"/>
      <c r="T45" s="4573"/>
      <c r="U45" s="4573"/>
      <c r="V45" s="4573"/>
      <c r="W45" s="457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74" t="s">
        <v>1794</v>
      </c>
      <c r="H52" s="4575"/>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58465.54</v>
      </c>
      <c r="F53" s="3067" t="e">
        <f t="shared" ref="F53:F62" si="15">ROUND(B53*E53/10000,0)</f>
        <v>#DIV/0!</v>
      </c>
      <c r="G53" s="4576"/>
      <c r="H53" s="4577"/>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2024</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0.15</v>
      </c>
      <c r="D60" s="3066">
        <v>0.25</v>
      </c>
      <c r="E60" s="3069">
        <f>'数据-汇总表'!E13</f>
        <v>14766.66</v>
      </c>
      <c r="F60" s="3067" t="e">
        <f t="shared" si="15"/>
        <v>#DIV/0!</v>
      </c>
      <c r="G60" s="3079" t="s">
        <v>1807</v>
      </c>
      <c r="H60" s="3072" t="str">
        <f>IF(G60="商业",项目基本情况!B37,IF(G60="办公",项目基本情况!C37,IF(G60="住宅",项目基本情况!D37,项目基本情况!E37)))</f>
        <v>四级</v>
      </c>
      <c r="I60" s="2731">
        <f>SUMIF(修正!A59:A70,H60,修正!G59:G70)</f>
        <v>0.15</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21825.93</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5"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2.5</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4" t="s">
        <v>3623</v>
      </c>
      <c r="B4" s="3393" t="e">
        <f>ROUND(B2*10000/F1,0)</f>
        <v>#DIV/0!</v>
      </c>
      <c r="C4" s="3392" t="s">
        <v>3624</v>
      </c>
      <c r="D4" s="3393" t="e">
        <f>ROUND(B2/(F1/666.67),0)</f>
        <v>#DIV/0!</v>
      </c>
      <c r="E4" s="3392" t="s">
        <v>3625</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2.5</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93" t="s">
        <v>1867</v>
      </c>
      <c r="X8" s="469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95"/>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95"/>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96" t="s">
        <v>3134</v>
      </c>
      <c r="B20" s="66" t="s">
        <v>1901</v>
      </c>
      <c r="C20" s="4144" t="e">
        <f>ROUND(IF(F21="与级别开发程度一致",0,(G21-E21)/C21),0)</f>
        <v>#DIV/0!</v>
      </c>
      <c r="D20" s="2426" t="s">
        <v>1905</v>
      </c>
      <c r="E20" s="2427"/>
      <c r="F20" s="4702" t="s">
        <v>1902</v>
      </c>
      <c r="G20" s="4703"/>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97"/>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46091</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0</v>
      </c>
      <c r="E26" s="4160">
        <f>ROUNDDOWN(G3,1)</f>
        <v>2.5</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2.5</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3781</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3.1899999999999998E-2</v>
      </c>
      <c r="M36" s="2928">
        <f ca="1">ROUND($L$36*(1+M31),3)</f>
        <v>0.04</v>
      </c>
      <c r="N36" s="2928">
        <f ca="1">ROUND($L$36*(1+N31),3)</f>
        <v>3.7999999999999999E-2</v>
      </c>
      <c r="O36" s="2928">
        <f ca="1">ROUND($L$36*(1+O31),3)</f>
        <v>3.6999999999999998E-2</v>
      </c>
      <c r="P36" s="2928">
        <f ca="1">ROUND($L$36*(1+P31),3)</f>
        <v>3.5000000000000003E-2</v>
      </c>
      <c r="Q36" s="2928">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700"/>
      <c r="B37" s="4182" t="s">
        <v>1943</v>
      </c>
      <c r="C37" s="4152" t="e">
        <f>ROUND(D5*C22*C23*C24*C28*F37,0)</f>
        <v>#DIV/0!</v>
      </c>
      <c r="D37" s="4154"/>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3.6899999999999995E-2</v>
      </c>
      <c r="M37" s="2928">
        <f ca="1">ROUND($L$37*(1+M31),3)</f>
        <v>4.5999999999999999E-2</v>
      </c>
      <c r="N37" s="2928">
        <f t="shared" ref="N37:Q37" ca="1" si="3">ROUND($L$37*(1+N31),3)</f>
        <v>4.3999999999999997E-2</v>
      </c>
      <c r="O37" s="2928">
        <f t="shared" ca="1" si="3"/>
        <v>4.2000000000000003E-2</v>
      </c>
      <c r="P37" s="2928">
        <f t="shared" ca="1" si="3"/>
        <v>4.1000000000000002E-2</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701"/>
      <c r="B38" s="3539" t="s">
        <v>1944</v>
      </c>
      <c r="C38" s="4152" t="e">
        <f>ROUND(D5*C22*C23*C24*C28*F38,0)</f>
        <v>#DIV/0!</v>
      </c>
      <c r="D38" s="4154"/>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701"/>
      <c r="B39" s="3539" t="s">
        <v>3137</v>
      </c>
      <c r="C39" s="4152" t="e">
        <f>ROUND(D5*C22*C23*C24*C28*F39,0)</f>
        <v>#DIV/0!</v>
      </c>
      <c r="D39" s="4154"/>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4"/>
      <c r="E40" s="3088" t="e">
        <f t="shared" si="4"/>
        <v>#DIV/0!</v>
      </c>
      <c r="F40" s="4157">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4"/>
      <c r="E41" s="3088" t="e">
        <f t="shared" si="4"/>
        <v>#DIV/0!</v>
      </c>
      <c r="F41" s="4157">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4">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4">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4">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14.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3148</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4">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4">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15"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14.25">
      <c r="A94" s="2453" t="s">
        <v>3151</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3147</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3152</v>
      </c>
      <c r="B96" s="2456" t="s">
        <v>3163</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3153</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3154</v>
      </c>
      <c r="B98" s="2457" t="s">
        <v>3164</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4">
      <c r="A99" s="2453" t="s">
        <v>3155</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4">
      <c r="A100" s="2453" t="s">
        <v>3156</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4.75" thickBot="1">
      <c r="A101" s="2454" t="s">
        <v>3157</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98" t="s">
        <v>3172</v>
      </c>
      <c r="B103" s="4698"/>
      <c r="C103" s="4698"/>
      <c r="D103" s="4698"/>
      <c r="E103" s="4698"/>
      <c r="F103" s="4698"/>
      <c r="G103" s="4698"/>
      <c r="H103" s="4698"/>
      <c r="I103" s="4698"/>
      <c r="J103" s="4698"/>
      <c r="K103" s="1293"/>
      <c r="L103" s="1293"/>
      <c r="M103" s="1293"/>
      <c r="N103" s="1293"/>
    </row>
    <row r="104" spans="1:14">
      <c r="A104" s="4699" t="s">
        <v>3173</v>
      </c>
      <c r="B104" s="4699" t="s">
        <v>3174</v>
      </c>
      <c r="C104" s="4215" t="s">
        <v>3175</v>
      </c>
      <c r="D104" s="1534"/>
      <c r="E104" s="1534"/>
      <c r="F104" s="1534"/>
      <c r="G104" s="1534"/>
      <c r="H104" s="1534"/>
      <c r="I104" s="1534"/>
      <c r="J104" s="1534"/>
      <c r="K104" s="1534"/>
      <c r="L104" s="1534"/>
      <c r="M104" s="1534"/>
      <c r="N104" s="4216"/>
    </row>
    <row r="105" spans="1:14">
      <c r="A105" s="4699"/>
      <c r="B105" s="4699"/>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89"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90"/>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90"/>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90"/>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90"/>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90"/>
      <c r="B111" s="2460" t="s">
        <v>3146</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91"/>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92" t="s">
        <v>3189</v>
      </c>
      <c r="B113" s="4692"/>
      <c r="C113" s="4692"/>
      <c r="D113" s="4692"/>
      <c r="E113" s="4692"/>
      <c r="F113" s="4692"/>
      <c r="G113" s="4692"/>
      <c r="H113" s="4692"/>
      <c r="I113" s="4692"/>
      <c r="J113" s="4692"/>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2.5</v>
      </c>
      <c r="C116" s="4210" t="s">
        <v>3191</v>
      </c>
      <c r="D116" s="4214">
        <f>SUMPRODUCT((A118:A122=F116)*(B117:M117=H116)*B118:M122)</f>
        <v>0</v>
      </c>
      <c r="E116" s="4210" t="s">
        <v>3192</v>
      </c>
      <c r="F116" s="4211">
        <f>E2</f>
        <v>0</v>
      </c>
      <c r="G116" s="4210" t="s">
        <v>3193</v>
      </c>
      <c r="H116" s="4211">
        <f>G2</f>
        <v>0</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0.96930000000000005</v>
      </c>
      <c r="C118" s="4202">
        <f>B118</f>
        <v>0.96930000000000005</v>
      </c>
      <c r="D118" s="4202">
        <f>ROUND(0.949-0.014*B116,4)</f>
        <v>0.91400000000000003</v>
      </c>
      <c r="E118" s="4202">
        <f>D118</f>
        <v>0.91400000000000003</v>
      </c>
      <c r="F118" s="4202">
        <f>E118</f>
        <v>0.91400000000000003</v>
      </c>
      <c r="G118" s="4202">
        <f>F118</f>
        <v>0.91400000000000003</v>
      </c>
      <c r="H118" s="4202">
        <f>G118</f>
        <v>0.91400000000000003</v>
      </c>
      <c r="I118" s="4202">
        <f>ROUND(0.8486-0.018*B116,4)</f>
        <v>0.80359999999999998</v>
      </c>
      <c r="J118" s="4202">
        <f t="shared" ref="J118:M122" si="35">I118</f>
        <v>0.80359999999999998</v>
      </c>
      <c r="K118" s="4202">
        <f t="shared" si="35"/>
        <v>0.80359999999999998</v>
      </c>
      <c r="L118" s="4202">
        <f t="shared" si="35"/>
        <v>0.80359999999999998</v>
      </c>
      <c r="M118" s="4203">
        <f t="shared" si="35"/>
        <v>0.80359999999999998</v>
      </c>
      <c r="N118" s="2462"/>
    </row>
    <row r="119" spans="1:14">
      <c r="A119" s="2436" t="s">
        <v>3207</v>
      </c>
      <c r="B119" s="4202">
        <f>ROUND(0.993-0.0112*B116,4)</f>
        <v>0.96499999999999997</v>
      </c>
      <c r="C119" s="4202">
        <f>B119</f>
        <v>0.96499999999999997</v>
      </c>
      <c r="D119" s="4202">
        <f>ROUND(0.9415-0.0142*B116,4)</f>
        <v>0.90600000000000003</v>
      </c>
      <c r="E119" s="4202">
        <f t="shared" ref="E119:H120" si="36">D119</f>
        <v>0.90600000000000003</v>
      </c>
      <c r="F119" s="4202">
        <f t="shared" si="36"/>
        <v>0.90600000000000003</v>
      </c>
      <c r="G119" s="4202">
        <f t="shared" si="36"/>
        <v>0.90600000000000003</v>
      </c>
      <c r="H119" s="4202">
        <f t="shared" si="36"/>
        <v>0.90600000000000003</v>
      </c>
      <c r="I119" s="4202">
        <f>ROUND(0.838-0.0182*B116,4)</f>
        <v>0.79249999999999998</v>
      </c>
      <c r="J119" s="4202">
        <f t="shared" si="35"/>
        <v>0.79249999999999998</v>
      </c>
      <c r="K119" s="4202">
        <f t="shared" si="35"/>
        <v>0.79249999999999998</v>
      </c>
      <c r="L119" s="4202">
        <f t="shared" si="35"/>
        <v>0.79249999999999998</v>
      </c>
      <c r="M119" s="4203">
        <f t="shared" si="35"/>
        <v>0.79249999999999998</v>
      </c>
      <c r="N119" s="2462"/>
    </row>
    <row r="120" spans="1:14">
      <c r="A120" s="2436" t="s">
        <v>3208</v>
      </c>
      <c r="B120" s="4202">
        <f>ROUND(0.9448-0.0115*B116,4)</f>
        <v>0.91610000000000003</v>
      </c>
      <c r="C120" s="4202">
        <f>B120</f>
        <v>0.91610000000000003</v>
      </c>
      <c r="D120" s="4202">
        <f>ROUND(0.937-0.0145*B116,4)</f>
        <v>0.90080000000000005</v>
      </c>
      <c r="E120" s="4202">
        <f t="shared" si="36"/>
        <v>0.90080000000000005</v>
      </c>
      <c r="F120" s="4202">
        <f t="shared" si="36"/>
        <v>0.90080000000000005</v>
      </c>
      <c r="G120" s="4202">
        <f t="shared" si="36"/>
        <v>0.90080000000000005</v>
      </c>
      <c r="H120" s="4202">
        <f t="shared" si="36"/>
        <v>0.90080000000000005</v>
      </c>
      <c r="I120" s="4202">
        <f>ROUND(0.7965-0.0185*B116,4)</f>
        <v>0.75029999999999997</v>
      </c>
      <c r="J120" s="4202">
        <f t="shared" si="35"/>
        <v>0.75029999999999997</v>
      </c>
      <c r="K120" s="4202">
        <f t="shared" si="35"/>
        <v>0.75029999999999997</v>
      </c>
      <c r="L120" s="4202">
        <f t="shared" si="35"/>
        <v>0.75029999999999997</v>
      </c>
      <c r="M120" s="4203">
        <f t="shared" si="35"/>
        <v>0.75029999999999997</v>
      </c>
      <c r="N120" s="2462"/>
    </row>
    <row r="121" spans="1:14">
      <c r="A121" s="2436" t="s">
        <v>3209</v>
      </c>
      <c r="B121" s="4202">
        <f>ROUND(0.7836-0.012*B116,4)</f>
        <v>0.75360000000000005</v>
      </c>
      <c r="C121" s="4202">
        <f>B121</f>
        <v>0.75360000000000005</v>
      </c>
      <c r="D121" s="4202">
        <f>ROUND(0.753-0.015*B116,4)</f>
        <v>0.71550000000000002</v>
      </c>
      <c r="E121" s="4202">
        <f>D121</f>
        <v>0.71550000000000002</v>
      </c>
      <c r="F121" s="4202">
        <f>E121</f>
        <v>0.71550000000000002</v>
      </c>
      <c r="G121" s="4202">
        <f>ROUND(0.6612-0.018*B116,4)</f>
        <v>0.61619999999999997</v>
      </c>
      <c r="H121" s="4202">
        <f>G121</f>
        <v>0.61619999999999997</v>
      </c>
      <c r="I121" s="4202">
        <f>ROUND(0.5905-0.019*B116,4)</f>
        <v>0.54300000000000004</v>
      </c>
      <c r="J121" s="4202">
        <f t="shared" si="35"/>
        <v>0.54300000000000004</v>
      </c>
      <c r="K121" s="4202">
        <f t="shared" si="35"/>
        <v>0.54300000000000004</v>
      </c>
      <c r="L121" s="4202">
        <f t="shared" si="35"/>
        <v>0.54300000000000004</v>
      </c>
      <c r="M121" s="4203">
        <f t="shared" si="35"/>
        <v>0.54300000000000004</v>
      </c>
      <c r="N121" s="2462"/>
    </row>
    <row r="122" spans="1:14" ht="13.5" thickBot="1">
      <c r="A122" s="4208" t="s">
        <v>2492</v>
      </c>
      <c r="B122" s="4204">
        <f>ROUND(0.9404-0.0106*B116,4)</f>
        <v>0.91390000000000005</v>
      </c>
      <c r="C122" s="4204">
        <f>B122</f>
        <v>0.91390000000000005</v>
      </c>
      <c r="D122" s="4204">
        <f>ROUND(0.8955-0.0135*B116,4)</f>
        <v>0.86180000000000001</v>
      </c>
      <c r="E122" s="4204">
        <f t="shared" ref="E122:H122" si="37">D122</f>
        <v>0.86180000000000001</v>
      </c>
      <c r="F122" s="4204">
        <f t="shared" si="37"/>
        <v>0.86180000000000001</v>
      </c>
      <c r="G122" s="4204">
        <f t="shared" si="37"/>
        <v>0.86180000000000001</v>
      </c>
      <c r="H122" s="4204">
        <f t="shared" si="37"/>
        <v>0.86180000000000001</v>
      </c>
      <c r="I122" s="4204">
        <f>ROUND(0.7632-0.0166*B116,4)</f>
        <v>0.72170000000000001</v>
      </c>
      <c r="J122" s="4204">
        <f t="shared" si="35"/>
        <v>0.72170000000000001</v>
      </c>
      <c r="K122" s="4204">
        <f t="shared" si="35"/>
        <v>0.72170000000000001</v>
      </c>
      <c r="L122" s="4204">
        <f t="shared" si="35"/>
        <v>0.72170000000000001</v>
      </c>
      <c r="M122" s="4205">
        <f t="shared" si="35"/>
        <v>0.72170000000000001</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3505</v>
      </c>
      <c r="B1" s="47"/>
      <c r="C1" s="785"/>
      <c r="D1" s="784"/>
      <c r="E1" s="2045"/>
      <c r="F1" s="2045"/>
      <c r="G1" s="1938"/>
      <c r="H1" s="2045"/>
      <c r="I1" s="2045"/>
      <c r="J1" s="2045"/>
      <c r="K1" s="2046">
        <f>MATCH(C1,'数据-取费表'!A6:A16,0)+5</f>
        <v>9</v>
      </c>
    </row>
    <row r="2" spans="1:33" ht="18" customHeight="1">
      <c r="A2" s="96" t="s">
        <v>1431</v>
      </c>
      <c r="B2" s="2523">
        <f ca="1">C34</f>
        <v>-74291</v>
      </c>
      <c r="C2" s="171" t="s">
        <v>1531</v>
      </c>
      <c r="D2" s="171"/>
      <c r="E2" s="2045"/>
      <c r="F2" s="2045"/>
      <c r="G2" s="2045"/>
      <c r="H2" s="2045"/>
      <c r="I2" s="2045"/>
      <c r="J2" s="2045"/>
      <c r="K2" s="2045"/>
    </row>
    <row r="3" spans="1:33" ht="18" customHeight="1">
      <c r="A3" s="98" t="s">
        <v>1433</v>
      </c>
      <c r="B3" s="2523">
        <f ca="1">ROUND(B2*10000/IF(C1="",'数据-汇总表'!E3,INDIRECT("'数据-取费表'!K"&amp;$K$1)),0)</f>
        <v>-9019</v>
      </c>
      <c r="C3" s="171" t="s">
        <v>1532</v>
      </c>
      <c r="D3" s="171"/>
      <c r="E3" s="2045"/>
      <c r="F3" s="2045"/>
      <c r="G3" s="2045"/>
      <c r="H3" s="2045"/>
      <c r="I3" s="2045"/>
      <c r="J3" s="2045"/>
      <c r="K3" s="2045"/>
    </row>
    <row r="4" spans="1:33" ht="18" customHeight="1">
      <c r="A4" s="3386" t="s">
        <v>3620</v>
      </c>
      <c r="B4" s="2522">
        <f ca="1">ROUND(B2*10000/IF(C1="",'数据-汇总表'!D3,INDIRECT("'数据-取费表'!R"&amp;$K$1)),0)</f>
        <v>-34038</v>
      </c>
      <c r="C4" s="1336" t="s">
        <v>3622</v>
      </c>
      <c r="D4" s="171"/>
      <c r="E4" s="2045"/>
      <c r="F4" s="2045"/>
      <c r="G4" s="2045"/>
      <c r="H4" s="2045"/>
      <c r="I4" s="2045"/>
      <c r="J4" s="2045"/>
      <c r="K4" s="2045"/>
    </row>
    <row r="5" spans="1:33" ht="18" customHeight="1" thickBot="1">
      <c r="A5" s="94"/>
      <c r="B5" s="3395">
        <f ca="1">ROUND(B2/(IF(C1="",'数据-汇总表'!D3,INDIRECT("'数据-取费表'!R"&amp;$K$1))/666.67),0)</f>
        <v>-2269</v>
      </c>
      <c r="C5" s="3389" t="s">
        <v>3621</v>
      </c>
      <c r="D5" s="171"/>
      <c r="E5" s="2045"/>
      <c r="F5" s="2045"/>
      <c r="G5" s="2045"/>
      <c r="H5" s="2045"/>
      <c r="I5" s="2045"/>
      <c r="J5" s="2045"/>
      <c r="K5" s="2045"/>
    </row>
    <row r="6" spans="1:33" s="515" customFormat="1" ht="16.5" customHeight="1">
      <c r="A6" s="2653" t="s">
        <v>3509</v>
      </c>
      <c r="B6" s="2652"/>
      <c r="C6" s="4626" t="s">
        <v>3366</v>
      </c>
      <c r="D6" s="4626"/>
      <c r="E6" s="4626"/>
      <c r="F6" s="4626"/>
      <c r="G6" s="4626"/>
      <c r="H6" s="4626"/>
      <c r="I6" s="4626"/>
      <c r="J6" s="4626"/>
      <c r="K6" s="4627"/>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3945</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3946</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3944</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704" t="s">
        <v>3510</v>
      </c>
      <c r="B11" s="4705"/>
      <c r="C11" s="4705"/>
      <c r="D11" s="4705"/>
      <c r="E11" s="4705"/>
      <c r="F11" s="4705"/>
      <c r="G11" s="4705"/>
      <c r="H11" s="4705"/>
      <c r="I11" s="4705"/>
      <c r="J11" s="4705"/>
      <c r="K11" s="4706"/>
    </row>
    <row r="12" spans="1:33" s="4071" customFormat="1" ht="13.5" customHeight="1">
      <c r="A12" s="3211" t="s">
        <v>3499</v>
      </c>
      <c r="B12" s="4068" t="s">
        <v>1537</v>
      </c>
      <c r="C12" s="4072" t="s">
        <v>3944</v>
      </c>
      <c r="D12" s="4068" t="s">
        <v>1539</v>
      </c>
      <c r="E12" s="4068" t="s">
        <v>1540</v>
      </c>
      <c r="F12" s="4068" t="s">
        <v>1541</v>
      </c>
      <c r="G12" s="4080" t="s">
        <v>3390</v>
      </c>
      <c r="H12" s="4081"/>
      <c r="I12" s="4081"/>
      <c r="J12" s="4081"/>
      <c r="K12" s="4082"/>
    </row>
    <row r="13" spans="1:33" s="521" customFormat="1" ht="13.5" customHeight="1">
      <c r="A13" s="2493">
        <v>1</v>
      </c>
      <c r="B13" s="2677" t="s">
        <v>3511</v>
      </c>
      <c r="C13" s="2662">
        <f>SUM(C10:K10)</f>
        <v>0</v>
      </c>
      <c r="D13" s="520"/>
      <c r="E13" s="520"/>
      <c r="F13" s="3225"/>
      <c r="G13" s="3350"/>
      <c r="H13" s="3349"/>
      <c r="I13" s="3349"/>
      <c r="J13" s="3349"/>
      <c r="K13" s="3361"/>
    </row>
    <row r="14" spans="1:33" s="521" customFormat="1" ht="13.5" customHeight="1">
      <c r="A14" s="2493">
        <v>2</v>
      </c>
      <c r="B14" s="2678" t="s">
        <v>3614</v>
      </c>
      <c r="C14" s="2662">
        <v>0</v>
      </c>
      <c r="D14" s="2678"/>
      <c r="E14" s="2678"/>
      <c r="F14" s="2596">
        <v>0</v>
      </c>
      <c r="G14" s="3529" t="s">
        <v>3664</v>
      </c>
      <c r="H14" s="3349"/>
      <c r="I14" s="3349"/>
      <c r="J14" s="3349"/>
      <c r="K14" s="3361"/>
    </row>
    <row r="15" spans="1:33" s="523" customFormat="1" ht="13.5" customHeight="1">
      <c r="A15" s="2493">
        <v>3</v>
      </c>
      <c r="B15" s="530" t="s">
        <v>3584</v>
      </c>
      <c r="C15" s="2534">
        <f ca="1">C32-C33</f>
        <v>74291</v>
      </c>
      <c r="D15" s="530"/>
      <c r="E15" s="173"/>
      <c r="F15" s="3226"/>
      <c r="G15" s="3351" t="s">
        <v>3529</v>
      </c>
      <c r="H15" s="526"/>
      <c r="I15" s="526"/>
      <c r="J15" s="526"/>
      <c r="K15" s="527"/>
    </row>
    <row r="16" spans="1:33" s="523" customFormat="1" ht="13.5" customHeight="1">
      <c r="A16" s="3362" t="s">
        <v>3579</v>
      </c>
      <c r="B16" s="3230" t="s">
        <v>3512</v>
      </c>
      <c r="C16" s="3231">
        <f ca="1">SUM(C17:C22)</f>
        <v>55875</v>
      </c>
      <c r="D16" s="3230"/>
      <c r="E16" s="3230"/>
      <c r="F16" s="3232"/>
      <c r="G16" s="2632"/>
      <c r="H16" s="3349"/>
      <c r="I16" s="3349"/>
      <c r="J16" s="3349"/>
      <c r="K16" s="3361"/>
    </row>
    <row r="17" spans="1:33" s="523" customFormat="1" ht="13.5" customHeight="1">
      <c r="A17" s="3363" t="s">
        <v>3530</v>
      </c>
      <c r="B17" s="3217" t="s">
        <v>3517</v>
      </c>
      <c r="C17" s="2501">
        <f ca="1">IF(C1="",'数据-取费表'!M16,INDIRECT("'数据-取费表'!M"&amp;$K$1)+INDIRECT("'数据-取费表'!ap"&amp;$K$1))</f>
        <v>45378</v>
      </c>
      <c r="D17" s="3233"/>
      <c r="E17" s="3234"/>
      <c r="F17" s="3246"/>
      <c r="G17" s="3352"/>
      <c r="H17" s="3349"/>
      <c r="I17" s="3349"/>
      <c r="J17" s="3349"/>
      <c r="K17" s="3361"/>
    </row>
    <row r="18" spans="1:33" s="523" customFormat="1" ht="13.5" customHeight="1">
      <c r="A18" s="3363" t="s">
        <v>3518</v>
      </c>
      <c r="B18" s="3218" t="s">
        <v>3519</v>
      </c>
      <c r="C18" s="2501">
        <f ca="1">ROUND(C17*F18,0)</f>
        <v>908</v>
      </c>
      <c r="D18" s="3230"/>
      <c r="E18" s="3230"/>
      <c r="F18" s="3247">
        <f>'数据-取费表'!B33</f>
        <v>0.02</v>
      </c>
      <c r="G18" s="2632"/>
      <c r="H18" s="3349"/>
      <c r="I18" s="3349"/>
      <c r="J18" s="3349"/>
      <c r="K18" s="3361"/>
    </row>
    <row r="19" spans="1:33" s="523" customFormat="1" ht="13.5" customHeight="1">
      <c r="A19" s="3363" t="s">
        <v>3531</v>
      </c>
      <c r="B19" s="3219" t="s">
        <v>3487</v>
      </c>
      <c r="C19" s="2501">
        <f ca="1">ROUND(IF(C1="",SUMIF('数据-取费表'!C:C,"住宅",'数据-取费表'!M:M)*F19,IF(INDIRECT("'数据-取费表'!c"&amp;$K$1)="住宅",INDIRECT("'数据-取费表'!M"&amp;$K$1)*F19,0)),0)</f>
        <v>5262</v>
      </c>
      <c r="D19" s="3235"/>
      <c r="E19" s="3235"/>
      <c r="F19" s="3247">
        <f>'数据-取费表'!B34</f>
        <v>0.15</v>
      </c>
      <c r="G19" s="2497"/>
      <c r="H19" s="3349"/>
      <c r="I19" s="3349"/>
      <c r="J19" s="3349"/>
      <c r="K19" s="3361"/>
    </row>
    <row r="20" spans="1:33" s="523" customFormat="1" ht="13.5" customHeight="1">
      <c r="A20" s="3363" t="s">
        <v>3532</v>
      </c>
      <c r="B20" s="3219" t="s">
        <v>3540</v>
      </c>
      <c r="C20" s="2501">
        <f ca="1">ROUND(D20*E20/10000,0)</f>
        <v>2965</v>
      </c>
      <c r="D20" s="3228">
        <f ca="1">IF(C1="",'数据-汇总表'!E3,INDIRECT("'数据-取费表'!K"&amp;$K$1)+INDIRECT("'数据-取费表'!S"&amp;$K$1))</f>
        <v>82371.62</v>
      </c>
      <c r="E20" s="3229">
        <f>'数据-取费表'!B35</f>
        <v>360</v>
      </c>
      <c r="F20" s="3228"/>
      <c r="G20" s="2497"/>
      <c r="H20" s="3349"/>
      <c r="I20" s="3349"/>
      <c r="J20" s="526"/>
      <c r="K20" s="527"/>
    </row>
    <row r="21" spans="1:33" s="523" customFormat="1" ht="13.5" customHeight="1">
      <c r="A21" s="3363" t="s">
        <v>3533</v>
      </c>
      <c r="B21" s="3220" t="s">
        <v>3490</v>
      </c>
      <c r="C21" s="2501">
        <f ca="1">ROUND(C17*F21,0)</f>
        <v>681</v>
      </c>
      <c r="D21" s="3235"/>
      <c r="E21" s="3235"/>
      <c r="F21" s="3247">
        <f>'数据-取费表'!B36</f>
        <v>1.4999999999999999E-2</v>
      </c>
      <c r="G21" s="2497"/>
      <c r="H21" s="528"/>
      <c r="I21" s="528"/>
      <c r="J21" s="528"/>
      <c r="K21" s="3364"/>
    </row>
    <row r="22" spans="1:33" s="523" customFormat="1" ht="13.5" customHeight="1">
      <c r="A22" s="3363" t="s">
        <v>3534</v>
      </c>
      <c r="B22" s="3220" t="s">
        <v>3541</v>
      </c>
      <c r="C22" s="2501">
        <f ca="1">ROUND(C17*F22,0)</f>
        <v>681</v>
      </c>
      <c r="D22" s="3235"/>
      <c r="E22" s="3235"/>
      <c r="F22" s="3247">
        <f>'数据-取费表'!B37</f>
        <v>1.4999999999999999E-2</v>
      </c>
      <c r="G22" s="2497"/>
      <c r="H22" s="528"/>
      <c r="I22" s="528"/>
      <c r="J22" s="528"/>
      <c r="K22" s="3364"/>
    </row>
    <row r="23" spans="1:33" s="524" customFormat="1" ht="13.5" customHeight="1">
      <c r="A23" s="3362" t="s">
        <v>3580</v>
      </c>
      <c r="B23" s="3230" t="s">
        <v>3476</v>
      </c>
      <c r="C23" s="2506">
        <f ca="1">ROUND(C16*F23,0)</f>
        <v>1118</v>
      </c>
      <c r="D23" s="3236"/>
      <c r="E23" s="3236"/>
      <c r="F23" s="3248">
        <f>'数据-取费表'!B38</f>
        <v>0.02</v>
      </c>
      <c r="G23" s="2509" t="s">
        <v>3513</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3581</v>
      </c>
      <c r="B24" s="3230" t="s">
        <v>3520</v>
      </c>
      <c r="C24" s="2506" t="str">
        <f>F24&amp;"V建"</f>
        <v>0.06V建</v>
      </c>
      <c r="D24" s="3236"/>
      <c r="E24" s="3236"/>
      <c r="F24" s="3248">
        <f>'数据-取费表'!B39</f>
        <v>0.06</v>
      </c>
      <c r="G24" s="2509" t="s">
        <v>3514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3582</v>
      </c>
      <c r="B25" s="3230" t="s">
        <v>3407</v>
      </c>
      <c r="C25" s="3237" t="str">
        <f ca="1">C26&amp;"+"&amp;C27&amp;"V建"</f>
        <v>2282+0.0015V建</v>
      </c>
      <c r="D25" s="3238"/>
      <c r="E25" s="3238"/>
      <c r="F25" s="3247">
        <f ca="1">'数据-取费表'!B41</f>
        <v>3.1899999999999998E-2</v>
      </c>
      <c r="G25" s="3353" t="s">
        <v>3521</v>
      </c>
      <c r="H25" s="3354"/>
      <c r="I25" s="3354"/>
      <c r="J25" s="3354"/>
      <c r="K25" s="3365"/>
    </row>
    <row r="26" spans="1:33" s="524" customFormat="1" ht="13.5" customHeight="1">
      <c r="A26" s="3363" t="s">
        <v>3522</v>
      </c>
      <c r="B26" s="3220" t="s">
        <v>3545</v>
      </c>
      <c r="C26" s="3237">
        <f ca="1">ROUND(IF('数据-取费表'!B20&lt;=1,(C16+C23)*F25*'数据-取费表'!B20/2,(C23+C16)*(POWER((1+F25),'数据-取费表'!B20/2)-1)),0)</f>
        <v>2282</v>
      </c>
      <c r="D26" s="3238"/>
      <c r="E26" s="3238"/>
      <c r="F26" s="3228"/>
      <c r="G26" s="3353" t="s">
        <v>3523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3524</v>
      </c>
      <c r="B27" s="3220" t="s">
        <v>3546</v>
      </c>
      <c r="C27" s="3239">
        <f>ROUND(IF('数据-取费表'!B20&lt;=1,F24*F25*'数据-取费表'!B20/2,F24*(POWER((1+F23),'数据-取费表'!B20/2)-1)),4)</f>
        <v>1.5E-3</v>
      </c>
      <c r="D27" s="3030"/>
      <c r="E27" s="3030"/>
      <c r="F27" s="3246"/>
      <c r="G27" s="3355"/>
      <c r="H27" s="3349"/>
      <c r="I27" s="3349"/>
      <c r="J27" s="3349"/>
      <c r="K27" s="3361"/>
    </row>
    <row r="28" spans="1:33" s="523" customFormat="1" ht="13.5" customHeight="1">
      <c r="A28" s="3362" t="s">
        <v>3525</v>
      </c>
      <c r="B28" s="3230" t="s">
        <v>3542</v>
      </c>
      <c r="C28" s="2650" t="str">
        <f ca="1">C29&amp;"+"&amp;C30&amp;"V建"</f>
        <v>9689+0.0102V建</v>
      </c>
      <c r="D28" s="1011"/>
      <c r="E28" s="1011"/>
      <c r="F28" s="3249">
        <f ca="1">IF(C1="",'数据-取费表'!Q16,INDIRECT("'数据-取费表'!q"&amp;$K$1))</f>
        <v>0.17</v>
      </c>
      <c r="G28" s="4707" t="s">
        <v>3526</v>
      </c>
      <c r="H28" s="3349"/>
      <c r="I28" s="3349"/>
      <c r="J28" s="3349"/>
      <c r="K28" s="3361"/>
    </row>
    <row r="29" spans="1:33" s="523" customFormat="1" ht="13.5" customHeight="1">
      <c r="A29" s="3363" t="s">
        <v>3538</v>
      </c>
      <c r="B29" s="3220" t="s">
        <v>3543</v>
      </c>
      <c r="C29" s="2651">
        <f ca="1">ROUND((C16+C23)*F28,0)</f>
        <v>9689</v>
      </c>
      <c r="D29" s="1011"/>
      <c r="E29" s="1011"/>
      <c r="F29" s="2720"/>
      <c r="G29" s="4707"/>
      <c r="H29" s="3356"/>
      <c r="I29" s="3356"/>
      <c r="J29" s="3356"/>
      <c r="K29" s="3366"/>
    </row>
    <row r="30" spans="1:33" s="531" customFormat="1" ht="13.5" customHeight="1">
      <c r="A30" s="3363" t="s">
        <v>3539</v>
      </c>
      <c r="B30" s="3220" t="s">
        <v>3544</v>
      </c>
      <c r="C30" s="2501">
        <f ca="1">ROUND(F24*F28,4)</f>
        <v>1.0200000000000001E-2</v>
      </c>
      <c r="D30" s="3240"/>
      <c r="E30" s="3238"/>
      <c r="F30" s="3228"/>
      <c r="G30" s="3357"/>
      <c r="H30" s="526"/>
      <c r="I30" s="526"/>
      <c r="J30" s="526"/>
      <c r="K30" s="527"/>
    </row>
    <row r="31" spans="1:33" s="531" customFormat="1" ht="13.5" customHeight="1">
      <c r="A31" s="3362" t="s">
        <v>3535</v>
      </c>
      <c r="B31" s="3230" t="s">
        <v>3547</v>
      </c>
      <c r="C31" s="2501">
        <v>0</v>
      </c>
      <c r="D31" s="3241"/>
      <c r="E31" s="3242"/>
      <c r="F31" s="3228"/>
      <c r="G31" s="3358" t="s">
        <v>3515</v>
      </c>
      <c r="H31" s="526"/>
      <c r="I31" s="526"/>
      <c r="J31" s="526"/>
      <c r="K31" s="527"/>
    </row>
    <row r="32" spans="1:33" s="523" customFormat="1" ht="13.5" customHeight="1">
      <c r="A32" s="3362" t="s">
        <v>3536</v>
      </c>
      <c r="B32" s="3230" t="s">
        <v>3583</v>
      </c>
      <c r="C32" s="3231">
        <f ca="1">ROUND((C16+C23+C26+C29)/(1-F24-C27-C30),0)</f>
        <v>74291</v>
      </c>
      <c r="D32" s="3241"/>
      <c r="E32" s="3242"/>
      <c r="F32" s="3228"/>
      <c r="G32" s="3359" t="s">
        <v>3516</v>
      </c>
      <c r="H32" s="3360"/>
      <c r="I32" s="3360"/>
      <c r="J32" s="3360"/>
      <c r="K32" s="3367"/>
    </row>
    <row r="33" spans="1:11" s="176" customFormat="1" ht="13.5" customHeight="1">
      <c r="A33" s="3362" t="s">
        <v>3537</v>
      </c>
      <c r="B33" s="3243" t="s">
        <v>3527</v>
      </c>
      <c r="C33" s="3244">
        <f ca="1">ROUND(C32*(1-F33),0)</f>
        <v>0</v>
      </c>
      <c r="D33" s="3245"/>
      <c r="E33" s="3030"/>
      <c r="F33" s="3248">
        <f>IF('数据-取费表'!B24=0,'数据-取费表'!N16,1)</f>
        <v>1</v>
      </c>
      <c r="G33" s="3351" t="s">
        <v>3528</v>
      </c>
      <c r="H33" s="3356"/>
      <c r="I33" s="3356"/>
      <c r="J33" s="3356"/>
      <c r="K33" s="3366"/>
    </row>
    <row r="34" spans="1:11" s="521" customFormat="1" ht="15.75" thickBot="1">
      <c r="A34" s="3368">
        <v>4</v>
      </c>
      <c r="B34" s="3369" t="s">
        <v>3585</v>
      </c>
      <c r="C34" s="3370">
        <f ca="1">C13-C15</f>
        <v>-74291</v>
      </c>
      <c r="D34" s="3369"/>
      <c r="E34" s="3369"/>
      <c r="F34" s="3371"/>
      <c r="G34" s="3372" t="s">
        <v>3613</v>
      </c>
      <c r="H34" s="3373"/>
      <c r="I34" s="3373"/>
      <c r="J34" s="3373"/>
      <c r="K34" s="3374"/>
    </row>
    <row r="35" spans="1:11" ht="12.75" customHeight="1"/>
  </sheetData>
  <sheetProtection password="CEE9" sheet="1" objects="1" scenarios="1"/>
  <mergeCells count="3">
    <mergeCell ref="C6:K6"/>
    <mergeCell ref="A11:K11"/>
    <mergeCell ref="G28:G29"/>
  </mergeCells>
  <phoneticPr fontId="6"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3506</v>
      </c>
      <c r="B1" s="3224"/>
      <c r="C1" s="2828"/>
      <c r="D1" s="93"/>
      <c r="E1" s="93"/>
      <c r="F1" s="93"/>
      <c r="G1" s="756">
        <f>MATCH(C1,'数据-取费表'!A6:A16,0)+5</f>
        <v>9</v>
      </c>
    </row>
    <row r="2" spans="1:7" s="95" customFormat="1" ht="15.75">
      <c r="A2" s="96" t="s">
        <v>1431</v>
      </c>
      <c r="B2" s="2522">
        <f ca="1">C34</f>
        <v>5574</v>
      </c>
      <c r="C2" s="94" t="s">
        <v>1432</v>
      </c>
      <c r="D2" s="94"/>
      <c r="E2" s="2510"/>
      <c r="F2" s="94"/>
      <c r="G2" s="94"/>
    </row>
    <row r="3" spans="1:7" s="95" customFormat="1" ht="15.75">
      <c r="A3" s="98" t="s">
        <v>1433</v>
      </c>
      <c r="B3" s="2523">
        <f ca="1">ROUND(B2*10000/(IF(C1="",'数据-汇总表'!E3,INDIRECT("'数据-取费表'!k"&amp;$G$1))),0)</f>
        <v>677</v>
      </c>
      <c r="C3" s="94" t="s">
        <v>1434</v>
      </c>
      <c r="D3" s="94"/>
      <c r="E3" s="2510"/>
      <c r="F3" s="94"/>
      <c r="G3" s="94"/>
    </row>
    <row r="4" spans="1:7" s="95" customFormat="1" ht="15.75">
      <c r="A4" s="3386" t="s">
        <v>3620</v>
      </c>
      <c r="B4" s="2522">
        <f ca="1">ROUND(B2*10000/'数据-汇总表'!D3,0)</f>
        <v>2554</v>
      </c>
      <c r="C4" s="96" t="s">
        <v>3622</v>
      </c>
      <c r="D4" s="94"/>
      <c r="E4" s="2510"/>
      <c r="F4" s="94"/>
      <c r="G4" s="94"/>
    </row>
    <row r="5" spans="1:7" s="95" customFormat="1" ht="16.5" thickBot="1">
      <c r="A5" s="94"/>
      <c r="B5" s="3395">
        <f ca="1">ROUND(B2/('数据-汇总表'!D3/666.67),0)</f>
        <v>170</v>
      </c>
      <c r="C5" s="3380" t="s">
        <v>3621</v>
      </c>
      <c r="D5" s="94"/>
      <c r="E5" s="2510"/>
      <c r="F5" s="94"/>
      <c r="G5" s="94"/>
    </row>
    <row r="6" spans="1:7" s="95" customFormat="1" ht="15.75">
      <c r="A6" s="3268" t="s">
        <v>3319</v>
      </c>
      <c r="B6" s="3269" t="s">
        <v>3320</v>
      </c>
      <c r="C6" s="3270" t="s">
        <v>3941</v>
      </c>
      <c r="D6" s="3271" t="s">
        <v>3325</v>
      </c>
      <c r="E6" s="3272" t="s">
        <v>3326</v>
      </c>
      <c r="F6" s="3272" t="s">
        <v>3327</v>
      </c>
      <c r="G6" s="3273" t="s">
        <v>3321</v>
      </c>
    </row>
    <row r="7" spans="1:7" s="103" customFormat="1" ht="15.75">
      <c r="A7" s="3274" t="s">
        <v>3318</v>
      </c>
      <c r="B7" s="2503" t="s">
        <v>3565</v>
      </c>
      <c r="C7" s="2525">
        <f>IF(G7="征收国有地",C8,IF(G7="征收集体地",C11,C17))</f>
        <v>0</v>
      </c>
      <c r="D7" s="3256"/>
      <c r="E7" s="3256"/>
      <c r="F7" s="3256"/>
      <c r="G7" s="3331"/>
    </row>
    <row r="8" spans="1:7" s="109" customFormat="1">
      <c r="A8" s="3275" t="s">
        <v>3589</v>
      </c>
      <c r="B8" s="3263" t="s">
        <v>3560</v>
      </c>
      <c r="C8" s="2562">
        <f>C9+C10</f>
        <v>0</v>
      </c>
      <c r="D8" s="3222"/>
      <c r="E8" s="3222"/>
      <c r="F8" s="3222"/>
      <c r="G8" s="3254"/>
    </row>
    <row r="9" spans="1:7" s="109" customFormat="1">
      <c r="A9" s="2581" t="s">
        <v>1451</v>
      </c>
      <c r="B9" s="124" t="s">
        <v>3548</v>
      </c>
      <c r="C9" s="3407">
        <f>ROUND(D9*E9/10000,0)</f>
        <v>0</v>
      </c>
      <c r="D9" s="3252"/>
      <c r="E9" s="3252"/>
      <c r="F9" s="3222"/>
      <c r="G9" s="3276"/>
    </row>
    <row r="10" spans="1:7" s="109" customFormat="1">
      <c r="A10" s="2581" t="s">
        <v>1453</v>
      </c>
      <c r="B10" s="124" t="s">
        <v>3549</v>
      </c>
      <c r="C10" s="3407">
        <f>ROUND(D10*E10/10000,0)</f>
        <v>0</v>
      </c>
      <c r="D10" s="3252"/>
      <c r="E10" s="3252"/>
      <c r="F10" s="3222"/>
      <c r="G10" s="3276"/>
    </row>
    <row r="11" spans="1:7" s="109" customFormat="1" ht="13.5">
      <c r="A11" s="3223" t="s">
        <v>3571</v>
      </c>
      <c r="B11" s="3326" t="s">
        <v>3561</v>
      </c>
      <c r="C11" s="136">
        <f>C12+C15+C16</f>
        <v>0</v>
      </c>
      <c r="D11" s="3222"/>
      <c r="E11" s="3222"/>
      <c r="F11" s="3222"/>
      <c r="G11" s="3276"/>
    </row>
    <row r="12" spans="1:7" s="109" customFormat="1">
      <c r="A12" s="2581" t="s">
        <v>1451</v>
      </c>
      <c r="B12" s="124" t="s">
        <v>3550</v>
      </c>
      <c r="C12" s="124">
        <f>C13+C14</f>
        <v>0</v>
      </c>
      <c r="D12" s="994"/>
      <c r="E12" s="994"/>
      <c r="F12" s="3222"/>
      <c r="G12" s="3277" t="s">
        <v>3551</v>
      </c>
    </row>
    <row r="13" spans="1:7" s="109" customFormat="1">
      <c r="A13" s="3327" t="s">
        <v>3573</v>
      </c>
      <c r="B13" s="3328" t="s">
        <v>3572</v>
      </c>
      <c r="C13" s="3407">
        <f>ROUND(D13*E13/10000,0)</f>
        <v>0</v>
      </c>
      <c r="D13" s="3252"/>
      <c r="E13" s="3252"/>
      <c r="F13" s="3222"/>
      <c r="G13" s="3278" t="s">
        <v>3653</v>
      </c>
    </row>
    <row r="14" spans="1:7" s="109" customFormat="1">
      <c r="A14" s="3327" t="s">
        <v>3575</v>
      </c>
      <c r="B14" s="3328" t="s">
        <v>3574</v>
      </c>
      <c r="C14" s="3252">
        <v>0</v>
      </c>
      <c r="D14" s="994"/>
      <c r="E14" s="994"/>
      <c r="F14" s="3222"/>
      <c r="G14" s="3278"/>
    </row>
    <row r="15" spans="1:7" s="109" customFormat="1">
      <c r="A15" s="2581" t="s">
        <v>1453</v>
      </c>
      <c r="B15" s="124" t="s">
        <v>3552</v>
      </c>
      <c r="C15" s="3407">
        <f t="shared" ref="C15" si="0">ROUND(D15*E15/10000,0)</f>
        <v>0</v>
      </c>
      <c r="D15" s="3252"/>
      <c r="E15" s="3252"/>
      <c r="F15" s="3222"/>
      <c r="G15" s="3278" t="s">
        <v>3553</v>
      </c>
    </row>
    <row r="16" spans="1:7" s="109" customFormat="1">
      <c r="A16" s="2581" t="s">
        <v>3564</v>
      </c>
      <c r="B16" s="3264" t="s">
        <v>3554</v>
      </c>
      <c r="C16" s="3407">
        <f>C13*F16</f>
        <v>0</v>
      </c>
      <c r="D16" s="3252"/>
      <c r="E16" s="3252"/>
      <c r="F16" s="3408">
        <v>0.25</v>
      </c>
      <c r="G16" s="3341" t="s">
        <v>3555</v>
      </c>
    </row>
    <row r="17" spans="1:9" s="109" customFormat="1" ht="13.5">
      <c r="A17" s="3223" t="s">
        <v>337</v>
      </c>
      <c r="B17" s="3263" t="s">
        <v>3562</v>
      </c>
      <c r="C17" s="2521">
        <f>C18+C19</f>
        <v>0</v>
      </c>
      <c r="D17" s="3333"/>
      <c r="E17" s="3334"/>
      <c r="F17" s="2553"/>
      <c r="G17" s="3342"/>
    </row>
    <row r="18" spans="1:9" s="109" customFormat="1">
      <c r="A18" s="3221" t="s">
        <v>347</v>
      </c>
      <c r="B18" s="3264" t="s">
        <v>1442</v>
      </c>
      <c r="C18" s="3020"/>
      <c r="D18" s="3335"/>
      <c r="E18" s="3334"/>
      <c r="F18" s="2552"/>
      <c r="G18" s="3409" t="s">
        <v>3654</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3590</v>
      </c>
      <c r="B20" s="2503" t="s">
        <v>3563</v>
      </c>
      <c r="C20" s="2534">
        <f ca="1">C21+C24+C25</f>
        <v>4612</v>
      </c>
      <c r="D20" s="3336"/>
      <c r="E20" s="3337"/>
      <c r="F20" s="2557"/>
      <c r="G20" s="3343"/>
    </row>
    <row r="21" spans="1:9" s="118" customFormat="1" ht="15">
      <c r="A21" s="3279" t="s">
        <v>3586</v>
      </c>
      <c r="B21" s="3257" t="s">
        <v>3311</v>
      </c>
      <c r="C21" s="2562">
        <f>IF(G21="已包含在土地购买价格中","0",IF(C1="",'数据-取费表'!B29,IF(G22="全部缴纳",C22+C23,H22)))</f>
        <v>0</v>
      </c>
      <c r="D21" s="3338"/>
      <c r="E21" s="3339"/>
      <c r="F21" s="3253"/>
      <c r="G21" s="1338"/>
    </row>
    <row r="22" spans="1:9" s="109" customFormat="1">
      <c r="A22" s="2505" t="s">
        <v>3569</v>
      </c>
      <c r="B22" s="3258" t="s">
        <v>1447</v>
      </c>
      <c r="C22" s="2561">
        <f ca="1">ROUND(D22*E22/10000,0)</f>
        <v>935</v>
      </c>
      <c r="D22" s="3250">
        <f ca="1">IF(C1="",'数据-汇总表'!E5,IF(INDIRECT("'数据-取费表'!c"&amp;$G$1)="住宅",INDIRECT("'数据-取费表'!k"&amp;$G$1),0))</f>
        <v>58465.54</v>
      </c>
      <c r="E22" s="3250">
        <f>'数据-取费表'!B27</f>
        <v>160</v>
      </c>
      <c r="F22" s="2553"/>
      <c r="G22" s="1339"/>
      <c r="H22" s="762"/>
      <c r="I22" s="1340" t="s">
        <v>1448</v>
      </c>
    </row>
    <row r="23" spans="1:9" s="109" customFormat="1">
      <c r="A23" s="2505" t="s">
        <v>3570</v>
      </c>
      <c r="B23" s="3258" t="s">
        <v>1449</v>
      </c>
      <c r="C23" s="2561">
        <f ca="1">ROUND(D23*E23/10000,0)</f>
        <v>478</v>
      </c>
      <c r="D23" s="3250">
        <f ca="1">IF(C1="",'数据-汇总表'!E6,IF(INDIRECT("'数据-取费表'!c"&amp;$G$1)="住宅",INDIRECT("'数据-取费表'!s"&amp;$G$1),INDIRECT("'数据-取费表'!k"&amp;$G$1)+INDIRECT("'数据-取费表'!s"&amp;$G$1)))</f>
        <v>23906.079999999994</v>
      </c>
      <c r="E23" s="3250">
        <f>'数据-取费表'!B28</f>
        <v>200</v>
      </c>
      <c r="F23" s="2553"/>
      <c r="G23" s="3344"/>
    </row>
    <row r="24" spans="1:9" s="109" customFormat="1" ht="13.5">
      <c r="A24" s="3223" t="s">
        <v>3571</v>
      </c>
      <c r="B24" s="3259" t="s">
        <v>3587</v>
      </c>
      <c r="C24" s="2562">
        <f ca="1">IF(G24="已包含在土地取得成本中","0",ROUND(D24*E24/10000,0))</f>
        <v>1647</v>
      </c>
      <c r="D24" s="3251">
        <f ca="1">D22+D23</f>
        <v>82371.62</v>
      </c>
      <c r="E24" s="3251">
        <f>'数据-取费表'!B31</f>
        <v>200</v>
      </c>
      <c r="F24" s="3260"/>
      <c r="G24" s="1338"/>
    </row>
    <row r="25" spans="1:9" s="109" customFormat="1" ht="13.5">
      <c r="A25" s="3223" t="s">
        <v>337</v>
      </c>
      <c r="B25" s="3259" t="s">
        <v>3588</v>
      </c>
      <c r="C25" s="2562">
        <f ca="1">ROUND(E25*D25/10000,0)</f>
        <v>2965</v>
      </c>
      <c r="D25" s="3251">
        <f ca="1">D24</f>
        <v>82371.62</v>
      </c>
      <c r="E25" s="3251">
        <f>'数据-取费表'!B35</f>
        <v>360</v>
      </c>
      <c r="F25" s="3253"/>
      <c r="G25" s="3345"/>
    </row>
    <row r="26" spans="1:9" s="103" customFormat="1" ht="15.75">
      <c r="A26" s="3274" t="s">
        <v>3591</v>
      </c>
      <c r="B26" s="2503" t="s">
        <v>3592</v>
      </c>
      <c r="C26" s="2522">
        <f>C27+C28</f>
        <v>0</v>
      </c>
      <c r="D26" s="3340"/>
      <c r="E26" s="3340"/>
      <c r="F26" s="3253"/>
      <c r="G26" s="3346"/>
    </row>
    <row r="27" spans="1:9" s="109" customFormat="1">
      <c r="A27" s="3275" t="s">
        <v>3589</v>
      </c>
      <c r="B27" s="3261" t="s">
        <v>3556</v>
      </c>
      <c r="C27" s="2562">
        <f>ROUND(E27*D27/10000,0)</f>
        <v>0</v>
      </c>
      <c r="D27" s="3262"/>
      <c r="E27" s="3284">
        <v>25</v>
      </c>
      <c r="F27" s="3253"/>
      <c r="G27" s="3341" t="s">
        <v>3557</v>
      </c>
    </row>
    <row r="28" spans="1:9" s="109" customFormat="1">
      <c r="A28" s="3280" t="s">
        <v>3571</v>
      </c>
      <c r="B28" s="3261" t="s">
        <v>3558</v>
      </c>
      <c r="C28" s="2562">
        <f>ROUND(E28*D28/10000,0)</f>
        <v>0</v>
      </c>
      <c r="D28" s="3262"/>
      <c r="E28" s="3284">
        <v>60.1</v>
      </c>
      <c r="F28" s="3253"/>
      <c r="G28" s="3341" t="s">
        <v>3559</v>
      </c>
    </row>
    <row r="29" spans="1:9" s="2533" customFormat="1" ht="15.75">
      <c r="A29" s="3274" t="s">
        <v>3593</v>
      </c>
      <c r="B29" s="2503" t="s">
        <v>3594</v>
      </c>
      <c r="C29" s="2513">
        <f ca="1">ROUND(IF('数据-取费表'!B19&lt;=1,((C7+C26)*'数据-取费表'!B19+C20*'数据-取费表'!B19/2)*F29,((C7+C26)*(POWER((1+F29),'数据-取费表'!B19)-1)+C20*(POWER((1+F29),'数据-取费表'!B19/2)-1))),0)</f>
        <v>0</v>
      </c>
      <c r="D29" s="2538"/>
      <c r="E29" s="296"/>
      <c r="F29" s="3255">
        <f ca="1">'数据-取费表'!B41</f>
        <v>3.1899999999999998E-2</v>
      </c>
      <c r="G29" s="3347" t="str">
        <f>IF('数据-取费表'!B19&lt;=1,"单利计息","复利计息")</f>
        <v>单利计息</v>
      </c>
    </row>
    <row r="30" spans="1:9" s="2533" customFormat="1" ht="15.75">
      <c r="A30" s="3274" t="s">
        <v>3595</v>
      </c>
      <c r="B30" s="2503" t="s">
        <v>3596</v>
      </c>
      <c r="C30" s="2540">
        <f ca="1">ROUND((C7+C20+C26)*F30,0)</f>
        <v>784</v>
      </c>
      <c r="D30" s="2538"/>
      <c r="E30" s="296"/>
      <c r="F30" s="3265">
        <f ca="1">IF(C1="",'数据-取费表'!Q16,INDIRECT("'数据-取费表'!q"&amp;$G$1))</f>
        <v>0.17</v>
      </c>
      <c r="G30" s="3347"/>
    </row>
    <row r="31" spans="1:9" s="109" customFormat="1" ht="15.75">
      <c r="A31" s="2504" t="s">
        <v>3576</v>
      </c>
      <c r="B31" s="2503" t="s">
        <v>3568</v>
      </c>
      <c r="C31" s="2525">
        <f ca="1">C7+C20+C29+C30</f>
        <v>5396</v>
      </c>
      <c r="D31" s="2516"/>
      <c r="E31" s="2516"/>
      <c r="F31" s="2515"/>
      <c r="G31" s="2517" t="s">
        <v>3599</v>
      </c>
    </row>
    <row r="32" spans="1:9" s="109" customFormat="1" ht="15.75">
      <c r="A32" s="2504" t="s">
        <v>3567</v>
      </c>
      <c r="B32" s="2503" t="s">
        <v>3566</v>
      </c>
      <c r="C32" s="3330">
        <f ca="1">ROUND(C31*F32,0)</f>
        <v>540</v>
      </c>
      <c r="D32" s="130"/>
      <c r="E32" s="131"/>
      <c r="F32" s="3266">
        <v>0.1</v>
      </c>
      <c r="G32" s="3348"/>
    </row>
    <row r="33" spans="1:14" s="109" customFormat="1" ht="15.75">
      <c r="A33" s="3329">
        <v>8</v>
      </c>
      <c r="B33" s="2503" t="s">
        <v>3578</v>
      </c>
      <c r="C33" s="2525">
        <f ca="1">C31+C32</f>
        <v>5936</v>
      </c>
      <c r="D33" s="2516"/>
      <c r="E33" s="2516"/>
      <c r="F33" s="3267"/>
      <c r="G33" s="2517" t="s">
        <v>3598</v>
      </c>
    </row>
    <row r="34" spans="1:14" s="118" customFormat="1" ht="16.5" thickBot="1">
      <c r="A34" s="3281">
        <v>9</v>
      </c>
      <c r="B34" s="3282" t="s">
        <v>3577</v>
      </c>
      <c r="C34" s="2525">
        <f ca="1">ROUND(C33*F34,0)</f>
        <v>5574</v>
      </c>
      <c r="D34" s="3283"/>
      <c r="E34" s="3283"/>
      <c r="F34" s="3332">
        <f>'数据-取费表'!AS16</f>
        <v>0.93899999999999995</v>
      </c>
      <c r="G34" s="2517" t="s">
        <v>3600</v>
      </c>
    </row>
    <row r="35" spans="1:14" s="109" customFormat="1"/>
    <row r="36" spans="1:14" s="109" customFormat="1"/>
    <row r="41" spans="1:14">
      <c r="J41" s="4231" t="s">
        <v>4051</v>
      </c>
    </row>
    <row r="42" spans="1:14">
      <c r="J42" s="4231" t="s">
        <v>4048</v>
      </c>
    </row>
    <row r="43" spans="1:14">
      <c r="J43" s="4232" t="s">
        <v>3987</v>
      </c>
      <c r="K43" s="4232"/>
      <c r="L43" s="4233"/>
      <c r="M43" s="4233"/>
      <c r="N43" s="4233"/>
    </row>
    <row r="44" spans="1:14" ht="25.5">
      <c r="J44" s="4711" t="s">
        <v>3988</v>
      </c>
      <c r="K44" s="4712"/>
      <c r="L44" s="4713"/>
      <c r="M44" s="4234" t="s">
        <v>3989</v>
      </c>
      <c r="N44" s="4234" t="s">
        <v>3990</v>
      </c>
    </row>
    <row r="45" spans="1:14">
      <c r="J45" s="4711" t="s">
        <v>3991</v>
      </c>
      <c r="K45" s="4712"/>
      <c r="L45" s="4713"/>
      <c r="M45" s="4234" t="s">
        <v>3992</v>
      </c>
      <c r="N45" s="4708" t="s">
        <v>3993</v>
      </c>
    </row>
    <row r="46" spans="1:14">
      <c r="J46" s="4711" t="s">
        <v>3994</v>
      </c>
      <c r="K46" s="4712"/>
      <c r="L46" s="4713"/>
      <c r="M46" s="4714" t="s">
        <v>3995</v>
      </c>
      <c r="N46" s="4709"/>
    </row>
    <row r="47" spans="1:14">
      <c r="J47" s="4711" t="s">
        <v>3996</v>
      </c>
      <c r="K47" s="4712"/>
      <c r="L47" s="4713"/>
      <c r="M47" s="4715"/>
      <c r="N47" s="4709"/>
    </row>
    <row r="48" spans="1:14">
      <c r="J48" s="4708" t="s">
        <v>4007</v>
      </c>
      <c r="K48" s="4714"/>
      <c r="L48" s="4234" t="s">
        <v>3997</v>
      </c>
      <c r="M48" s="4714" t="s">
        <v>3998</v>
      </c>
      <c r="N48" s="4709"/>
    </row>
    <row r="49" spans="10:15">
      <c r="J49" s="4709"/>
      <c r="K49" s="4716"/>
      <c r="L49" s="4234" t="s">
        <v>3999</v>
      </c>
      <c r="M49" s="4716"/>
      <c r="N49" s="4709"/>
    </row>
    <row r="50" spans="10:15">
      <c r="J50" s="4709"/>
      <c r="K50" s="4715"/>
      <c r="L50" s="4234" t="s">
        <v>4000</v>
      </c>
      <c r="M50" s="4716"/>
      <c r="N50" s="4709"/>
    </row>
    <row r="51" spans="10:15">
      <c r="J51" s="4709"/>
      <c r="K51" s="4708" t="s">
        <v>4008</v>
      </c>
      <c r="L51" s="4234" t="s">
        <v>4001</v>
      </c>
      <c r="M51" s="4716"/>
      <c r="N51" s="4709"/>
    </row>
    <row r="52" spans="10:15">
      <c r="J52" s="4710"/>
      <c r="K52" s="4709"/>
      <c r="L52" s="4234" t="s">
        <v>4009</v>
      </c>
      <c r="M52" s="4716"/>
      <c r="N52" s="4709"/>
    </row>
    <row r="53" spans="10:15">
      <c r="J53" s="4714"/>
      <c r="K53" s="4709"/>
      <c r="L53" s="4234" t="s">
        <v>4010</v>
      </c>
      <c r="M53" s="4716"/>
      <c r="N53" s="4709"/>
    </row>
    <row r="54" spans="10:15">
      <c r="J54" s="4716"/>
      <c r="K54" s="4709"/>
      <c r="L54" s="4234" t="s">
        <v>4002</v>
      </c>
      <c r="M54" s="4716"/>
      <c r="N54" s="4709"/>
    </row>
    <row r="55" spans="10:15">
      <c r="J55" s="4716"/>
      <c r="K55" s="4709"/>
      <c r="L55" s="4234" t="s">
        <v>4003</v>
      </c>
      <c r="M55" s="4716"/>
      <c r="N55" s="4709"/>
    </row>
    <row r="56" spans="10:15">
      <c r="J56" s="4716"/>
      <c r="K56" s="4709"/>
      <c r="L56" s="4234" t="s">
        <v>4004</v>
      </c>
      <c r="M56" s="4715"/>
      <c r="N56" s="4709"/>
    </row>
    <row r="57" spans="10:15">
      <c r="J57" s="4715"/>
      <c r="K57" s="4710"/>
      <c r="L57" s="4234" t="s">
        <v>4005</v>
      </c>
      <c r="M57" s="4235" t="s">
        <v>4006</v>
      </c>
      <c r="N57" s="4710"/>
    </row>
    <row r="60" spans="10:15">
      <c r="J60" s="4233" t="s">
        <v>4011</v>
      </c>
      <c r="K60" s="4233"/>
      <c r="L60" s="4233"/>
      <c r="M60" s="4233"/>
      <c r="N60" s="4233"/>
      <c r="O60" s="4233"/>
    </row>
    <row r="61" spans="10:15">
      <c r="J61" s="4232" t="s">
        <v>4012</v>
      </c>
      <c r="K61" s="4232" t="s">
        <v>4013</v>
      </c>
      <c r="L61" s="4232" t="s">
        <v>4014</v>
      </c>
      <c r="M61" s="4232" t="s">
        <v>4015</v>
      </c>
      <c r="N61" s="4232" t="s">
        <v>4016</v>
      </c>
      <c r="O61" s="4232" t="s">
        <v>4008</v>
      </c>
    </row>
    <row r="62" spans="10:15">
      <c r="J62" s="4232" t="s">
        <v>4017</v>
      </c>
      <c r="K62" s="4236" t="s">
        <v>4050</v>
      </c>
      <c r="L62" s="4232" t="s">
        <v>4018</v>
      </c>
      <c r="M62" s="4232" t="s">
        <v>4018</v>
      </c>
      <c r="N62" s="4232" t="s">
        <v>4019</v>
      </c>
      <c r="O62" s="4232" t="s">
        <v>4019</v>
      </c>
    </row>
    <row r="63" spans="10:15">
      <c r="J63" s="4232" t="s">
        <v>4020</v>
      </c>
      <c r="K63" s="4232" t="s">
        <v>4021</v>
      </c>
      <c r="L63" s="4232" t="s">
        <v>4022</v>
      </c>
      <c r="M63" s="4232" t="s">
        <v>4022</v>
      </c>
      <c r="N63" s="4232" t="s">
        <v>4023</v>
      </c>
      <c r="O63" s="4232" t="s">
        <v>4023</v>
      </c>
    </row>
    <row r="67" spans="10:15">
      <c r="J67" s="4233" t="s">
        <v>4024</v>
      </c>
      <c r="K67" s="4233"/>
      <c r="L67" s="4233"/>
      <c r="M67" s="4233"/>
      <c r="N67" s="4233"/>
      <c r="O67" s="4233"/>
    </row>
    <row r="68" spans="10:15">
      <c r="J68" s="4232" t="s">
        <v>4012</v>
      </c>
      <c r="K68" s="4232" t="s">
        <v>4025</v>
      </c>
      <c r="L68" s="4718" t="s">
        <v>4026</v>
      </c>
      <c r="M68" s="4718"/>
      <c r="N68" s="4718"/>
      <c r="O68" s="4232" t="s">
        <v>3990</v>
      </c>
    </row>
    <row r="69" spans="10:15" ht="25.5">
      <c r="J69" s="4232" t="s">
        <v>4027</v>
      </c>
      <c r="K69" s="4237" t="s">
        <v>4028</v>
      </c>
      <c r="L69" s="4717" t="s">
        <v>4029</v>
      </c>
      <c r="M69" s="4717"/>
      <c r="N69" s="4717"/>
      <c r="O69" s="4232"/>
    </row>
    <row r="70" spans="10:15" ht="25.5">
      <c r="J70" s="4232" t="s">
        <v>4030</v>
      </c>
      <c r="K70" s="4237" t="s">
        <v>4031</v>
      </c>
      <c r="L70" s="4717" t="s">
        <v>4032</v>
      </c>
      <c r="M70" s="4717"/>
      <c r="N70" s="4717"/>
      <c r="O70" s="4232"/>
    </row>
    <row r="71" spans="10:15" ht="25.5">
      <c r="J71" s="4232" t="s">
        <v>4033</v>
      </c>
      <c r="K71" s="4237" t="s">
        <v>4034</v>
      </c>
      <c r="L71" s="4717" t="s">
        <v>4035</v>
      </c>
      <c r="M71" s="4717"/>
      <c r="N71" s="4717"/>
      <c r="O71" s="4232"/>
    </row>
    <row r="72" spans="10:15" ht="27" customHeight="1">
      <c r="J72" s="4232" t="s">
        <v>4036</v>
      </c>
      <c r="K72" s="4237" t="s">
        <v>4037</v>
      </c>
      <c r="L72" s="4717" t="s">
        <v>4049</v>
      </c>
      <c r="M72" s="4717"/>
      <c r="N72" s="4717"/>
      <c r="O72" s="4232"/>
    </row>
    <row r="73" spans="10:15" ht="30" customHeight="1">
      <c r="J73" s="4232" t="s">
        <v>4038</v>
      </c>
      <c r="K73" s="4237" t="s">
        <v>4039</v>
      </c>
      <c r="L73" s="4717" t="s">
        <v>4040</v>
      </c>
      <c r="M73" s="4717"/>
      <c r="N73" s="4717"/>
      <c r="O73" s="4232" t="s">
        <v>2195</v>
      </c>
    </row>
    <row r="74" spans="10:15" ht="57.75" customHeight="1">
      <c r="J74" s="4232" t="s">
        <v>4041</v>
      </c>
      <c r="K74" s="4237" t="s">
        <v>4042</v>
      </c>
      <c r="L74" s="4717" t="s">
        <v>4043</v>
      </c>
      <c r="M74" s="4717"/>
      <c r="N74" s="4717"/>
      <c r="O74" s="4232" t="s">
        <v>4044</v>
      </c>
    </row>
    <row r="75" spans="10:15" ht="32.25" customHeight="1">
      <c r="J75" s="4232" t="s">
        <v>4045</v>
      </c>
      <c r="K75" s="4237" t="s">
        <v>4046</v>
      </c>
      <c r="L75" s="4717" t="s">
        <v>4047</v>
      </c>
      <c r="M75" s="4717"/>
      <c r="N75" s="4717"/>
      <c r="O75" s="423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6"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33" t="s">
        <v>933</v>
      </c>
      <c r="B1" s="4333"/>
      <c r="C1" s="4333"/>
      <c r="D1" s="4333"/>
    </row>
    <row r="2" spans="1:4" ht="18">
      <c r="A2" s="4334" t="s">
        <v>917</v>
      </c>
      <c r="B2" s="4334"/>
      <c r="C2" s="4334"/>
      <c r="D2" s="4334"/>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34" t="s">
        <v>923</v>
      </c>
      <c r="B6" s="4334"/>
      <c r="C6" s="4334"/>
      <c r="D6" s="4334"/>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35" t="s">
        <v>926</v>
      </c>
      <c r="B11" s="4327"/>
      <c r="C11" s="4327"/>
      <c r="D11" s="4327"/>
    </row>
    <row r="12" spans="1:4" ht="15.75">
      <c r="A12" s="4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32"/>
      <c r="C12" s="4332"/>
      <c r="D12" s="4332"/>
    </row>
    <row r="13" spans="1:4" ht="30" customHeight="1">
      <c r="A13" s="43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32"/>
      <c r="C13" s="4332"/>
      <c r="D13" s="4332"/>
    </row>
    <row r="14" spans="1:4" ht="15.75" customHeight="1">
      <c r="A14" s="4327" t="str">
        <f>IF(项目基本情况!B8="抵押","4.本次评估估价师所知悉的法定优先受偿款情况说明如下：","——")</f>
        <v>4.本次评估估价师所知悉的法定优先受偿款情况说明如下：</v>
      </c>
      <c r="B14" s="4332"/>
      <c r="C14" s="4332"/>
      <c r="D14" s="4332"/>
    </row>
    <row r="15" spans="1:4" ht="42" customHeight="1">
      <c r="A15" s="43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7"/>
      <c r="C15" s="4327"/>
      <c r="D15" s="4327"/>
    </row>
    <row r="16" spans="1:4" ht="30" customHeight="1">
      <c r="A16" s="4329" t="s">
        <v>927</v>
      </c>
      <c r="B16" s="4329"/>
      <c r="C16" s="4329"/>
      <c r="D16" s="4329"/>
    </row>
    <row r="17" spans="1:4" ht="144" customHeight="1">
      <c r="A17" s="4329" t="s">
        <v>928</v>
      </c>
      <c r="B17" s="4329"/>
      <c r="C17" s="4329"/>
      <c r="D17" s="4329"/>
    </row>
    <row r="18" spans="1:4" ht="15.75" customHeight="1">
      <c r="A18" s="4327" t="str">
        <f>IF(项目基本情况!B8="抵押",结果表!K120,"——")</f>
        <v>故，本次评估估价师知悉的法定优先受偿款为人民币2945万元整。</v>
      </c>
      <c r="B18" s="4327"/>
      <c r="C18" s="4327"/>
      <c r="D18" s="4327"/>
    </row>
    <row r="19" spans="1:4" ht="46.5" customHeight="1">
      <c r="A19" s="4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7"/>
      <c r="C19" s="4327"/>
      <c r="D19" s="4327"/>
    </row>
    <row r="20" spans="1:4" ht="57.75" customHeight="1">
      <c r="A20" s="4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7"/>
      <c r="C20" s="4327"/>
      <c r="D20" s="4327"/>
    </row>
    <row r="21" spans="1:4" ht="57.75" customHeight="1">
      <c r="A21" s="43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30"/>
      <c r="C21" s="4330"/>
      <c r="D21" s="4330"/>
    </row>
    <row r="22" spans="1:4" ht="18.75" customHeight="1">
      <c r="A22" s="4331" t="s">
        <v>929</v>
      </c>
      <c r="B22" s="4331"/>
      <c r="C22" s="4331"/>
      <c r="D22" s="4331"/>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28">
        <v>42551</v>
      </c>
      <c r="D31" s="432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730" t="s">
        <v>2487</v>
      </c>
      <c r="B20" s="4723" t="s">
        <v>2508</v>
      </c>
      <c r="C20" s="2492" t="s">
        <v>2319</v>
      </c>
      <c r="D20" s="2492"/>
      <c r="E20" s="3055">
        <v>1</v>
      </c>
      <c r="F20" s="2246" t="s">
        <v>2320</v>
      </c>
      <c r="G20" s="2246"/>
    </row>
    <row r="21" spans="1:13" ht="19.5" customHeight="1">
      <c r="A21" s="4731"/>
      <c r="B21" s="4719"/>
      <c r="C21" s="2255" t="s">
        <v>2321</v>
      </c>
      <c r="D21" s="2255"/>
      <c r="E21" s="3056">
        <v>1</v>
      </c>
      <c r="F21" s="2246" t="s">
        <v>2322</v>
      </c>
      <c r="G21" s="2246"/>
    </row>
    <row r="22" spans="1:13" ht="19.5" customHeight="1">
      <c r="A22" s="4731"/>
      <c r="B22" s="4719"/>
      <c r="C22" s="2255" t="s">
        <v>2323</v>
      </c>
      <c r="D22" s="2255"/>
      <c r="E22" s="3056">
        <v>0.9</v>
      </c>
      <c r="F22" s="2246" t="s">
        <v>2324</v>
      </c>
      <c r="G22" s="2246"/>
    </row>
    <row r="23" spans="1:13" ht="19.5" customHeight="1">
      <c r="A23" s="4731"/>
      <c r="B23" s="4719"/>
      <c r="C23" s="2255" t="s">
        <v>2325</v>
      </c>
      <c r="D23" s="2255"/>
      <c r="E23" s="3056">
        <v>0.9</v>
      </c>
      <c r="F23" s="2246" t="s">
        <v>2326</v>
      </c>
      <c r="G23" s="2246"/>
    </row>
    <row r="24" spans="1:13" ht="19.5" customHeight="1">
      <c r="A24" s="4731"/>
      <c r="B24" s="4719"/>
      <c r="C24" s="2255" t="s">
        <v>2327</v>
      </c>
      <c r="D24" s="2255"/>
      <c r="E24" s="3056">
        <v>0.8</v>
      </c>
      <c r="F24" s="2246" t="s">
        <v>2328</v>
      </c>
      <c r="G24" s="2246"/>
    </row>
    <row r="25" spans="1:13" ht="19.5" customHeight="1">
      <c r="A25" s="4731"/>
      <c r="B25" s="4719"/>
      <c r="C25" s="2255" t="s">
        <v>2329</v>
      </c>
      <c r="D25" s="2255"/>
      <c r="E25" s="3056">
        <v>0.8</v>
      </c>
      <c r="F25" s="2246"/>
      <c r="G25" s="2246"/>
    </row>
    <row r="26" spans="1:13" ht="19.5" customHeight="1">
      <c r="A26" s="4731"/>
      <c r="B26" s="4719"/>
      <c r="C26" s="2255" t="s">
        <v>3267</v>
      </c>
      <c r="D26" s="2255"/>
      <c r="E26" s="3056">
        <v>0.43</v>
      </c>
      <c r="F26" s="2246"/>
      <c r="G26" s="2246"/>
    </row>
    <row r="27" spans="1:13" ht="19.5" customHeight="1" thickBot="1">
      <c r="A27" s="4732"/>
      <c r="B27" s="4724"/>
      <c r="C27" s="2489" t="s">
        <v>3268</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725" t="s">
        <v>2511</v>
      </c>
      <c r="B29" s="4728" t="s">
        <v>2492</v>
      </c>
      <c r="C29" s="2244" t="s">
        <v>2332</v>
      </c>
      <c r="D29" s="2245"/>
      <c r="E29" s="3055">
        <v>1</v>
      </c>
      <c r="F29" s="2246" t="s">
        <v>2333</v>
      </c>
      <c r="G29" s="2246"/>
    </row>
    <row r="30" spans="1:13" ht="19.5" customHeight="1">
      <c r="A30" s="4726"/>
      <c r="B30" s="4722"/>
      <c r="C30" s="2247" t="s">
        <v>2334</v>
      </c>
      <c r="D30" s="2248"/>
      <c r="E30" s="3056">
        <v>1</v>
      </c>
      <c r="F30" s="2246" t="s">
        <v>2335</v>
      </c>
      <c r="G30" s="2246"/>
    </row>
    <row r="31" spans="1:13" ht="19.5" customHeight="1">
      <c r="A31" s="4726"/>
      <c r="B31" s="4722"/>
      <c r="C31" s="2247" t="s">
        <v>2336</v>
      </c>
      <c r="D31" s="2248"/>
      <c r="E31" s="3056">
        <v>0.8</v>
      </c>
      <c r="F31" s="2246" t="s">
        <v>2337</v>
      </c>
      <c r="G31" s="2246"/>
    </row>
    <row r="32" spans="1:13" ht="19.5" customHeight="1">
      <c r="A32" s="4726"/>
      <c r="B32" s="4722"/>
      <c r="C32" s="2247" t="s">
        <v>2338</v>
      </c>
      <c r="D32" s="2248"/>
      <c r="E32" s="3056">
        <v>0.8</v>
      </c>
      <c r="F32" s="2246" t="s">
        <v>2339</v>
      </c>
      <c r="G32" s="2246"/>
    </row>
    <row r="33" spans="1:7" ht="19.5" customHeight="1">
      <c r="A33" s="4726"/>
      <c r="B33" s="4722"/>
      <c r="C33" s="2247" t="s">
        <v>2340</v>
      </c>
      <c r="D33" s="2248"/>
      <c r="E33" s="3056">
        <v>0.8</v>
      </c>
      <c r="F33" s="2246" t="s">
        <v>2341</v>
      </c>
      <c r="G33" s="2246"/>
    </row>
    <row r="34" spans="1:7" ht="19.5" customHeight="1">
      <c r="A34" s="4726"/>
      <c r="B34" s="4722"/>
      <c r="C34" s="2247" t="s">
        <v>2342</v>
      </c>
      <c r="D34" s="2248"/>
      <c r="E34" s="3056">
        <v>0.7</v>
      </c>
      <c r="F34" s="2246" t="s">
        <v>2343</v>
      </c>
      <c r="G34" s="2246"/>
    </row>
    <row r="35" spans="1:7" ht="19.5" customHeight="1">
      <c r="A35" s="4726"/>
      <c r="B35" s="4722"/>
      <c r="C35" s="2247" t="s">
        <v>2344</v>
      </c>
      <c r="D35" s="2248"/>
      <c r="E35" s="3056">
        <v>0.8</v>
      </c>
      <c r="F35" s="2246" t="s">
        <v>2345</v>
      </c>
      <c r="G35" s="2246"/>
    </row>
    <row r="36" spans="1:7" ht="19.5" customHeight="1">
      <c r="A36" s="4726"/>
      <c r="B36" s="4722"/>
      <c r="C36" s="2247" t="s">
        <v>2346</v>
      </c>
      <c r="D36" s="2248"/>
      <c r="E36" s="3056">
        <v>0.6</v>
      </c>
      <c r="F36" s="2246" t="s">
        <v>2347</v>
      </c>
      <c r="G36" s="2246"/>
    </row>
    <row r="37" spans="1:7" ht="19.5" customHeight="1">
      <c r="A37" s="4726"/>
      <c r="B37" s="4722"/>
      <c r="C37" s="2247" t="s">
        <v>2348</v>
      </c>
      <c r="D37" s="2248"/>
      <c r="E37" s="3056">
        <v>0.2</v>
      </c>
      <c r="F37" s="2246" t="s">
        <v>2349</v>
      </c>
      <c r="G37" s="2246"/>
    </row>
    <row r="38" spans="1:7" ht="19.5" customHeight="1">
      <c r="A38" s="4726"/>
      <c r="B38" s="4722"/>
      <c r="C38" s="2247" t="s">
        <v>2350</v>
      </c>
      <c r="D38" s="2248"/>
      <c r="E38" s="3056">
        <v>0.2</v>
      </c>
      <c r="F38" s="2246" t="s">
        <v>2351</v>
      </c>
      <c r="G38" s="2246"/>
    </row>
    <row r="39" spans="1:7" ht="19.5" customHeight="1">
      <c r="A39" s="4726"/>
      <c r="B39" s="4720" t="s">
        <v>2512</v>
      </c>
      <c r="C39" s="2247" t="s">
        <v>2352</v>
      </c>
      <c r="D39" s="2248"/>
      <c r="E39" s="3056">
        <v>0.6</v>
      </c>
      <c r="F39" s="2246" t="s">
        <v>2353</v>
      </c>
      <c r="G39" s="2246"/>
    </row>
    <row r="40" spans="1:7" ht="19.5" customHeight="1">
      <c r="A40" s="4726"/>
      <c r="B40" s="4722"/>
      <c r="C40" s="2247" t="s">
        <v>2354</v>
      </c>
      <c r="D40" s="2248"/>
      <c r="E40" s="3056">
        <v>0.6</v>
      </c>
      <c r="F40" s="2246" t="s">
        <v>2355</v>
      </c>
      <c r="G40" s="2246"/>
    </row>
    <row r="41" spans="1:7" ht="19.5" customHeight="1" thickBot="1">
      <c r="A41" s="4727"/>
      <c r="B41" s="4729"/>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730" t="s">
        <v>2490</v>
      </c>
      <c r="B43" s="4728" t="s">
        <v>2514</v>
      </c>
      <c r="C43" s="2244" t="s">
        <v>2359</v>
      </c>
      <c r="D43" s="2245"/>
      <c r="E43" s="3055">
        <v>1</v>
      </c>
      <c r="F43" s="2246" t="s">
        <v>2360</v>
      </c>
      <c r="G43" s="2246"/>
    </row>
    <row r="44" spans="1:7" ht="19.5" customHeight="1">
      <c r="A44" s="4731"/>
      <c r="B44" s="4722"/>
      <c r="C44" s="2247" t="s">
        <v>2361</v>
      </c>
      <c r="D44" s="2248"/>
      <c r="E44" s="3056">
        <v>1</v>
      </c>
      <c r="F44" s="2246" t="s">
        <v>2362</v>
      </c>
      <c r="G44" s="2246"/>
    </row>
    <row r="45" spans="1:7" ht="19.5" customHeight="1">
      <c r="A45" s="4731"/>
      <c r="B45" s="4721"/>
      <c r="C45" s="2247" t="s">
        <v>2363</v>
      </c>
      <c r="D45" s="2248"/>
      <c r="E45" s="3056">
        <v>1.5</v>
      </c>
      <c r="F45" s="2246" t="s">
        <v>2364</v>
      </c>
      <c r="G45" s="2246"/>
    </row>
    <row r="46" spans="1:7" ht="19.5" customHeight="1">
      <c r="A46" s="4731"/>
      <c r="B46" s="2255" t="s">
        <v>2515</v>
      </c>
      <c r="C46" s="2247" t="s">
        <v>2516</v>
      </c>
      <c r="D46" s="2248"/>
      <c r="E46" s="3056">
        <v>2</v>
      </c>
      <c r="F46" s="2246" t="s">
        <v>2365</v>
      </c>
      <c r="G46" s="2246"/>
    </row>
    <row r="47" spans="1:7" ht="19.5" customHeight="1">
      <c r="A47" s="4731"/>
      <c r="B47" s="4720" t="s">
        <v>2517</v>
      </c>
      <c r="C47" s="2247" t="s">
        <v>2366</v>
      </c>
      <c r="D47" s="2248"/>
      <c r="E47" s="3056">
        <v>1</v>
      </c>
      <c r="F47" s="2246" t="s">
        <v>2367</v>
      </c>
      <c r="G47" s="2246"/>
    </row>
    <row r="48" spans="1:7" ht="19.5" customHeight="1">
      <c r="A48" s="4731"/>
      <c r="B48" s="4722"/>
      <c r="C48" s="2247" t="s">
        <v>2368</v>
      </c>
      <c r="D48" s="2248"/>
      <c r="E48" s="3056">
        <v>1</v>
      </c>
      <c r="F48" s="2246" t="s">
        <v>2369</v>
      </c>
      <c r="G48" s="2246"/>
    </row>
    <row r="49" spans="1:7" ht="19.5" customHeight="1">
      <c r="A49" s="4731"/>
      <c r="B49" s="4722"/>
      <c r="C49" s="2247" t="s">
        <v>2370</v>
      </c>
      <c r="D49" s="2248"/>
      <c r="E49" s="3056">
        <v>1</v>
      </c>
      <c r="F49" s="2246" t="s">
        <v>2371</v>
      </c>
      <c r="G49" s="2246"/>
    </row>
    <row r="50" spans="1:7" ht="19.5" customHeight="1">
      <c r="A50" s="4731"/>
      <c r="B50" s="4722"/>
      <c r="C50" s="2247" t="s">
        <v>2372</v>
      </c>
      <c r="D50" s="2248"/>
      <c r="E50" s="3056">
        <v>1</v>
      </c>
      <c r="F50" s="2246" t="s">
        <v>2373</v>
      </c>
      <c r="G50" s="2246"/>
    </row>
    <row r="51" spans="1:7" ht="19.5" customHeight="1">
      <c r="A51" s="4731"/>
      <c r="B51" s="4722"/>
      <c r="C51" s="2247" t="s">
        <v>2374</v>
      </c>
      <c r="D51" s="2248"/>
      <c r="E51" s="3056">
        <v>1</v>
      </c>
      <c r="F51" s="2246" t="s">
        <v>2375</v>
      </c>
      <c r="G51" s="2246"/>
    </row>
    <row r="52" spans="1:7" ht="19.5" customHeight="1">
      <c r="A52" s="4731"/>
      <c r="B52" s="4722"/>
      <c r="C52" s="2247" t="s">
        <v>2376</v>
      </c>
      <c r="D52" s="2248"/>
      <c r="E52" s="3056">
        <v>1</v>
      </c>
      <c r="F52" s="2246" t="s">
        <v>2377</v>
      </c>
      <c r="G52" s="2246"/>
    </row>
    <row r="53" spans="1:7" ht="19.5" customHeight="1" thickBot="1">
      <c r="A53" s="4732"/>
      <c r="B53" s="4729"/>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720" t="s">
        <v>2531</v>
      </c>
      <c r="C75" s="2235" t="s">
        <v>2532</v>
      </c>
      <c r="D75" s="2235" t="s">
        <v>2533</v>
      </c>
      <c r="E75" s="3061">
        <v>0.2</v>
      </c>
      <c r="F75" s="3062">
        <v>25</v>
      </c>
    </row>
    <row r="76" spans="1:7" ht="24">
      <c r="A76" s="2255">
        <v>2</v>
      </c>
      <c r="B76" s="4722"/>
      <c r="C76" s="2235" t="s">
        <v>2534</v>
      </c>
      <c r="D76" s="2235" t="s">
        <v>2535</v>
      </c>
      <c r="E76" s="3061">
        <v>0.2</v>
      </c>
      <c r="F76" s="3062">
        <v>25</v>
      </c>
    </row>
    <row r="77" spans="1:7" ht="24">
      <c r="A77" s="2255">
        <v>3</v>
      </c>
      <c r="B77" s="4722"/>
      <c r="C77" s="2235" t="s">
        <v>2536</v>
      </c>
      <c r="D77" s="2235" t="s">
        <v>2537</v>
      </c>
      <c r="E77" s="3061">
        <v>0.2</v>
      </c>
      <c r="F77" s="3062">
        <v>25</v>
      </c>
    </row>
    <row r="78" spans="1:7" ht="13.5">
      <c r="A78" s="2255">
        <v>4</v>
      </c>
      <c r="B78" s="4722"/>
      <c r="C78" s="2235" t="s">
        <v>2538</v>
      </c>
      <c r="D78" s="2235" t="s">
        <v>2539</v>
      </c>
      <c r="E78" s="3061">
        <v>0.15</v>
      </c>
      <c r="F78" s="3062">
        <v>20</v>
      </c>
    </row>
    <row r="79" spans="1:7" ht="24">
      <c r="A79" s="2255">
        <v>5</v>
      </c>
      <c r="B79" s="4722"/>
      <c r="C79" s="2235" t="s">
        <v>2540</v>
      </c>
      <c r="D79" s="2235" t="s">
        <v>2541</v>
      </c>
      <c r="E79" s="3061">
        <v>0.15</v>
      </c>
      <c r="F79" s="3062">
        <v>20</v>
      </c>
    </row>
    <row r="80" spans="1:7" ht="24">
      <c r="A80" s="2255">
        <v>6</v>
      </c>
      <c r="B80" s="4722"/>
      <c r="C80" s="2235" t="s">
        <v>2542</v>
      </c>
      <c r="D80" s="2235" t="s">
        <v>2543</v>
      </c>
      <c r="E80" s="3061">
        <v>0.15</v>
      </c>
      <c r="F80" s="3062">
        <v>20</v>
      </c>
    </row>
    <row r="81" spans="1:6" ht="24">
      <c r="A81" s="2255">
        <v>7</v>
      </c>
      <c r="B81" s="4722"/>
      <c r="C81" s="2235" t="s">
        <v>2544</v>
      </c>
      <c r="D81" s="2235" t="s">
        <v>2545</v>
      </c>
      <c r="E81" s="3061">
        <v>0.15</v>
      </c>
      <c r="F81" s="3062">
        <v>20</v>
      </c>
    </row>
    <row r="82" spans="1:6" ht="24">
      <c r="A82" s="2255">
        <v>8</v>
      </c>
      <c r="B82" s="4722"/>
      <c r="C82" s="2235" t="s">
        <v>2546</v>
      </c>
      <c r="D82" s="2235" t="s">
        <v>2547</v>
      </c>
      <c r="E82" s="3061">
        <v>0.1</v>
      </c>
      <c r="F82" s="3062">
        <v>15</v>
      </c>
    </row>
    <row r="83" spans="1:6" ht="24">
      <c r="A83" s="2255">
        <v>9</v>
      </c>
      <c r="B83" s="4722"/>
      <c r="C83" s="2235" t="s">
        <v>2548</v>
      </c>
      <c r="D83" s="2235" t="s">
        <v>2549</v>
      </c>
      <c r="E83" s="3061">
        <v>0.1</v>
      </c>
      <c r="F83" s="3062">
        <v>15</v>
      </c>
    </row>
    <row r="84" spans="1:6" ht="24">
      <c r="A84" s="2255">
        <v>10</v>
      </c>
      <c r="B84" s="4722"/>
      <c r="C84" s="2235" t="s">
        <v>2550</v>
      </c>
      <c r="D84" s="2235" t="s">
        <v>2551</v>
      </c>
      <c r="E84" s="3061">
        <v>0.1</v>
      </c>
      <c r="F84" s="3062">
        <v>15</v>
      </c>
    </row>
    <row r="85" spans="1:6" ht="24">
      <c r="A85" s="2255">
        <v>11</v>
      </c>
      <c r="B85" s="4722"/>
      <c r="C85" s="2235" t="s">
        <v>2552</v>
      </c>
      <c r="D85" s="2235" t="s">
        <v>2553</v>
      </c>
      <c r="E85" s="3061">
        <v>0.1</v>
      </c>
      <c r="F85" s="3062">
        <v>15</v>
      </c>
    </row>
    <row r="86" spans="1:6" ht="24">
      <c r="A86" s="2255">
        <v>12</v>
      </c>
      <c r="B86" s="4722"/>
      <c r="C86" s="2235" t="s">
        <v>2554</v>
      </c>
      <c r="D86" s="2235" t="s">
        <v>2555</v>
      </c>
      <c r="E86" s="3061">
        <v>0.1</v>
      </c>
      <c r="F86" s="3062">
        <v>15</v>
      </c>
    </row>
    <row r="87" spans="1:6" ht="13.5">
      <c r="A87" s="2255">
        <v>13</v>
      </c>
      <c r="B87" s="4722"/>
      <c r="C87" s="2235" t="s">
        <v>2556</v>
      </c>
      <c r="D87" s="2235" t="s">
        <v>2557</v>
      </c>
      <c r="E87" s="3061">
        <v>0.1</v>
      </c>
      <c r="F87" s="3062">
        <v>15</v>
      </c>
    </row>
    <row r="88" spans="1:6" ht="13.5">
      <c r="A88" s="2255">
        <v>14</v>
      </c>
      <c r="B88" s="4722"/>
      <c r="C88" s="2235" t="s">
        <v>2558</v>
      </c>
      <c r="D88" s="2235" t="s">
        <v>2559</v>
      </c>
      <c r="E88" s="3061">
        <v>0.1</v>
      </c>
      <c r="F88" s="3062">
        <v>15</v>
      </c>
    </row>
    <row r="89" spans="1:6" ht="13.5">
      <c r="A89" s="2255">
        <v>15</v>
      </c>
      <c r="B89" s="4722"/>
      <c r="C89" s="2235" t="s">
        <v>2560</v>
      </c>
      <c r="D89" s="2235" t="s">
        <v>2561</v>
      </c>
      <c r="E89" s="3061">
        <v>0.1</v>
      </c>
      <c r="F89" s="3062">
        <v>15</v>
      </c>
    </row>
    <row r="90" spans="1:6" ht="24">
      <c r="A90" s="2255">
        <v>16</v>
      </c>
      <c r="B90" s="4722"/>
      <c r="C90" s="2235" t="s">
        <v>2562</v>
      </c>
      <c r="D90" s="2235" t="s">
        <v>2563</v>
      </c>
      <c r="E90" s="3061">
        <v>0.1</v>
      </c>
      <c r="F90" s="3062">
        <v>15</v>
      </c>
    </row>
    <row r="91" spans="1:6" ht="24">
      <c r="A91" s="2255">
        <v>17</v>
      </c>
      <c r="B91" s="4721"/>
      <c r="C91" s="2235" t="s">
        <v>2564</v>
      </c>
      <c r="D91" s="2235" t="s">
        <v>2565</v>
      </c>
      <c r="E91" s="3061">
        <v>0.1</v>
      </c>
      <c r="F91" s="3062">
        <v>15</v>
      </c>
    </row>
    <row r="92" spans="1:6" ht="13.5">
      <c r="A92" s="2255">
        <v>18</v>
      </c>
      <c r="B92" s="4720" t="s">
        <v>2566</v>
      </c>
      <c r="C92" s="2235" t="s">
        <v>2567</v>
      </c>
      <c r="D92" s="2235" t="s">
        <v>2568</v>
      </c>
      <c r="E92" s="3061">
        <v>0.2</v>
      </c>
      <c r="F92" s="3062">
        <v>25</v>
      </c>
    </row>
    <row r="93" spans="1:6" ht="24">
      <c r="A93" s="2255">
        <v>19</v>
      </c>
      <c r="B93" s="4722"/>
      <c r="C93" s="2235" t="s">
        <v>2569</v>
      </c>
      <c r="D93" s="2235" t="s">
        <v>2570</v>
      </c>
      <c r="E93" s="3061">
        <v>0.2</v>
      </c>
      <c r="F93" s="3062">
        <v>25</v>
      </c>
    </row>
    <row r="94" spans="1:6" ht="13.5">
      <c r="A94" s="2255">
        <v>20</v>
      </c>
      <c r="B94" s="4722"/>
      <c r="C94" s="2235" t="s">
        <v>2571</v>
      </c>
      <c r="D94" s="2235" t="s">
        <v>2572</v>
      </c>
      <c r="E94" s="3061">
        <v>0.15</v>
      </c>
      <c r="F94" s="3062">
        <v>20</v>
      </c>
    </row>
    <row r="95" spans="1:6" ht="13.5">
      <c r="A95" s="2255">
        <v>21</v>
      </c>
      <c r="B95" s="4722"/>
      <c r="C95" s="2235" t="s">
        <v>2573</v>
      </c>
      <c r="D95" s="2235" t="s">
        <v>2574</v>
      </c>
      <c r="E95" s="3061">
        <v>0.15</v>
      </c>
      <c r="F95" s="3062">
        <v>20</v>
      </c>
    </row>
    <row r="96" spans="1:6" ht="13.5">
      <c r="A96" s="2255">
        <v>22</v>
      </c>
      <c r="B96" s="4722"/>
      <c r="C96" s="2235" t="s">
        <v>2575</v>
      </c>
      <c r="D96" s="2235" t="s">
        <v>2576</v>
      </c>
      <c r="E96" s="3061">
        <v>0.15</v>
      </c>
      <c r="F96" s="3062">
        <v>20</v>
      </c>
    </row>
    <row r="97" spans="1:6" ht="36">
      <c r="A97" s="2255">
        <v>23</v>
      </c>
      <c r="B97" s="4722"/>
      <c r="C97" s="2235" t="s">
        <v>2577</v>
      </c>
      <c r="D97" s="2235" t="s">
        <v>2578</v>
      </c>
      <c r="E97" s="3061">
        <v>0.15</v>
      </c>
      <c r="F97" s="3062">
        <v>20</v>
      </c>
    </row>
    <row r="98" spans="1:6" ht="13.5">
      <c r="A98" s="2255">
        <v>24</v>
      </c>
      <c r="B98" s="4722"/>
      <c r="C98" s="2235" t="s">
        <v>2579</v>
      </c>
      <c r="D98" s="2235" t="s">
        <v>2580</v>
      </c>
      <c r="E98" s="3061">
        <v>0.1</v>
      </c>
      <c r="F98" s="3062">
        <v>15</v>
      </c>
    </row>
    <row r="99" spans="1:6" ht="13.5">
      <c r="A99" s="2255">
        <v>25</v>
      </c>
      <c r="B99" s="4722"/>
      <c r="C99" s="2235" t="s">
        <v>2581</v>
      </c>
      <c r="D99" s="2235" t="s">
        <v>2582</v>
      </c>
      <c r="E99" s="3061">
        <v>0.1</v>
      </c>
      <c r="F99" s="3062">
        <v>15</v>
      </c>
    </row>
    <row r="100" spans="1:6" ht="24">
      <c r="A100" s="2255">
        <v>26</v>
      </c>
      <c r="B100" s="4722"/>
      <c r="C100" s="2235" t="s">
        <v>2583</v>
      </c>
      <c r="D100" s="2235" t="s">
        <v>2584</v>
      </c>
      <c r="E100" s="3061">
        <v>0.1</v>
      </c>
      <c r="F100" s="3062">
        <v>15</v>
      </c>
    </row>
    <row r="101" spans="1:6" ht="24">
      <c r="A101" s="2255">
        <v>27</v>
      </c>
      <c r="B101" s="4722"/>
      <c r="C101" s="2235" t="s">
        <v>2585</v>
      </c>
      <c r="D101" s="2235" t="s">
        <v>2586</v>
      </c>
      <c r="E101" s="3061">
        <v>0.1</v>
      </c>
      <c r="F101" s="3062">
        <v>15</v>
      </c>
    </row>
    <row r="102" spans="1:6" ht="13.5">
      <c r="A102" s="2255">
        <v>28</v>
      </c>
      <c r="B102" s="4722"/>
      <c r="C102" s="2235" t="s">
        <v>2587</v>
      </c>
      <c r="D102" s="2235" t="s">
        <v>2588</v>
      </c>
      <c r="E102" s="3061">
        <v>0.1</v>
      </c>
      <c r="F102" s="3062">
        <v>15</v>
      </c>
    </row>
    <row r="103" spans="1:6" ht="13.5">
      <c r="A103" s="2255">
        <v>29</v>
      </c>
      <c r="B103" s="4722"/>
      <c r="C103" s="2235" t="s">
        <v>2589</v>
      </c>
      <c r="D103" s="2235" t="s">
        <v>2590</v>
      </c>
      <c r="E103" s="3061">
        <v>0.1</v>
      </c>
      <c r="F103" s="3062">
        <v>15</v>
      </c>
    </row>
    <row r="104" spans="1:6" ht="13.5">
      <c r="A104" s="2255">
        <v>30</v>
      </c>
      <c r="B104" s="4722"/>
      <c r="C104" s="2235" t="s">
        <v>2591</v>
      </c>
      <c r="D104" s="2235" t="s">
        <v>2592</v>
      </c>
      <c r="E104" s="3061">
        <v>0.1</v>
      </c>
      <c r="F104" s="3062">
        <v>15</v>
      </c>
    </row>
    <row r="105" spans="1:6" ht="24">
      <c r="A105" s="2255">
        <v>31</v>
      </c>
      <c r="B105" s="4722"/>
      <c r="C105" s="2235" t="s">
        <v>2593</v>
      </c>
      <c r="D105" s="2235" t="s">
        <v>2594</v>
      </c>
      <c r="E105" s="3061">
        <v>0.1</v>
      </c>
      <c r="F105" s="3062">
        <v>15</v>
      </c>
    </row>
    <row r="106" spans="1:6" ht="24">
      <c r="A106" s="2255">
        <v>32</v>
      </c>
      <c r="B106" s="4722"/>
      <c r="C106" s="2235" t="s">
        <v>2595</v>
      </c>
      <c r="D106" s="2235" t="s">
        <v>2596</v>
      </c>
      <c r="E106" s="3061">
        <v>0.1</v>
      </c>
      <c r="F106" s="3062">
        <v>15</v>
      </c>
    </row>
    <row r="107" spans="1:6" ht="24">
      <c r="A107" s="2255">
        <v>33</v>
      </c>
      <c r="B107" s="4722"/>
      <c r="C107" s="2235" t="s">
        <v>2597</v>
      </c>
      <c r="D107" s="2235" t="s">
        <v>2598</v>
      </c>
      <c r="E107" s="3061">
        <v>0.1</v>
      </c>
      <c r="F107" s="3062">
        <v>15</v>
      </c>
    </row>
    <row r="108" spans="1:6" ht="24">
      <c r="A108" s="2255">
        <v>34</v>
      </c>
      <c r="B108" s="4721"/>
      <c r="C108" s="2235" t="s">
        <v>2599</v>
      </c>
      <c r="D108" s="2235" t="s">
        <v>2600</v>
      </c>
      <c r="E108" s="3061">
        <v>0.1</v>
      </c>
      <c r="F108" s="3062">
        <v>15</v>
      </c>
    </row>
    <row r="109" spans="1:6" ht="24">
      <c r="A109" s="2255">
        <v>35</v>
      </c>
      <c r="B109" s="4720" t="s">
        <v>2601</v>
      </c>
      <c r="C109" s="2255" t="s">
        <v>2602</v>
      </c>
      <c r="D109" s="2235" t="s">
        <v>2603</v>
      </c>
      <c r="E109" s="3061">
        <v>0.15</v>
      </c>
      <c r="F109" s="3062">
        <v>20</v>
      </c>
    </row>
    <row r="110" spans="1:6" ht="13.5">
      <c r="A110" s="2255">
        <v>36</v>
      </c>
      <c r="B110" s="4722"/>
      <c r="C110" s="2255" t="s">
        <v>2604</v>
      </c>
      <c r="D110" s="2235" t="s">
        <v>2605</v>
      </c>
      <c r="E110" s="3061">
        <v>0.15</v>
      </c>
      <c r="F110" s="3062">
        <v>20</v>
      </c>
    </row>
    <row r="111" spans="1:6" ht="13.5">
      <c r="A111" s="2255">
        <v>37</v>
      </c>
      <c r="B111" s="4722"/>
      <c r="C111" s="2255" t="s">
        <v>2606</v>
      </c>
      <c r="D111" s="2235" t="s">
        <v>2607</v>
      </c>
      <c r="E111" s="3061">
        <v>0.15</v>
      </c>
      <c r="F111" s="3062">
        <v>20</v>
      </c>
    </row>
    <row r="112" spans="1:6" ht="13.5">
      <c r="A112" s="2255">
        <v>38</v>
      </c>
      <c r="B112" s="4722"/>
      <c r="C112" s="2255" t="s">
        <v>2608</v>
      </c>
      <c r="D112" s="2235" t="s">
        <v>2609</v>
      </c>
      <c r="E112" s="3061">
        <v>0.1</v>
      </c>
      <c r="F112" s="3062">
        <v>15</v>
      </c>
    </row>
    <row r="113" spans="1:6" ht="24">
      <c r="A113" s="2255">
        <v>39</v>
      </c>
      <c r="B113" s="4722"/>
      <c r="C113" s="2255" t="s">
        <v>2610</v>
      </c>
      <c r="D113" s="2235" t="s">
        <v>2611</v>
      </c>
      <c r="E113" s="3061">
        <v>0.1</v>
      </c>
      <c r="F113" s="3062">
        <v>15</v>
      </c>
    </row>
    <row r="114" spans="1:6" ht="24">
      <c r="A114" s="2255">
        <v>40</v>
      </c>
      <c r="B114" s="4721"/>
      <c r="C114" s="2255" t="s">
        <v>2612</v>
      </c>
      <c r="D114" s="2235" t="s">
        <v>2613</v>
      </c>
      <c r="E114" s="3061">
        <v>0.1</v>
      </c>
      <c r="F114" s="3062">
        <v>15</v>
      </c>
    </row>
    <row r="115" spans="1:6" ht="13.5">
      <c r="A115" s="2255">
        <v>41</v>
      </c>
      <c r="B115" s="4719" t="s">
        <v>2614</v>
      </c>
      <c r="C115" s="2255" t="s">
        <v>2615</v>
      </c>
      <c r="D115" s="2235" t="s">
        <v>2616</v>
      </c>
      <c r="E115" s="3061">
        <v>0.1</v>
      </c>
      <c r="F115" s="3062">
        <v>15</v>
      </c>
    </row>
    <row r="116" spans="1:6" ht="13.5">
      <c r="A116" s="2255">
        <v>42</v>
      </c>
      <c r="B116" s="4719"/>
      <c r="C116" s="2255" t="s">
        <v>2617</v>
      </c>
      <c r="D116" s="2235" t="s">
        <v>2618</v>
      </c>
      <c r="E116" s="3061">
        <v>0.1</v>
      </c>
      <c r="F116" s="3062">
        <v>15</v>
      </c>
    </row>
    <row r="117" spans="1:6" ht="24">
      <c r="A117" s="2255">
        <v>43</v>
      </c>
      <c r="B117" s="4719"/>
      <c r="C117" s="2255" t="s">
        <v>2619</v>
      </c>
      <c r="D117" s="2235" t="s">
        <v>2620</v>
      </c>
      <c r="E117" s="3061">
        <v>0.1</v>
      </c>
      <c r="F117" s="3062">
        <v>15</v>
      </c>
    </row>
    <row r="118" spans="1:6" ht="13.5">
      <c r="A118" s="2255">
        <v>44</v>
      </c>
      <c r="B118" s="4720" t="s">
        <v>2621</v>
      </c>
      <c r="C118" s="2255" t="s">
        <v>2622</v>
      </c>
      <c r="D118" s="2235" t="s">
        <v>2623</v>
      </c>
      <c r="E118" s="3061">
        <v>0.1</v>
      </c>
      <c r="F118" s="3062">
        <v>15</v>
      </c>
    </row>
    <row r="119" spans="1:6" ht="24">
      <c r="A119" s="2255">
        <v>45</v>
      </c>
      <c r="B119" s="4721"/>
      <c r="C119" s="2235" t="s">
        <v>2624</v>
      </c>
      <c r="D119" s="2235" t="s">
        <v>2625</v>
      </c>
      <c r="E119" s="3061">
        <v>0.1</v>
      </c>
      <c r="F119" s="3062">
        <v>15</v>
      </c>
    </row>
    <row r="120" spans="1:6" ht="24">
      <c r="A120" s="2255">
        <v>46</v>
      </c>
      <c r="B120" s="4720" t="s">
        <v>2626</v>
      </c>
      <c r="C120" s="2255" t="s">
        <v>2627</v>
      </c>
      <c r="D120" s="2235" t="s">
        <v>2628</v>
      </c>
      <c r="E120" s="3061">
        <v>0.1</v>
      </c>
      <c r="F120" s="3062">
        <v>15</v>
      </c>
    </row>
    <row r="121" spans="1:6" ht="24">
      <c r="A121" s="2255">
        <v>47</v>
      </c>
      <c r="B121" s="4721"/>
      <c r="C121" s="2255" t="s">
        <v>2629</v>
      </c>
      <c r="D121" s="2235" t="s">
        <v>2630</v>
      </c>
      <c r="E121" s="3061">
        <v>0.1</v>
      </c>
      <c r="F121" s="3062">
        <v>15</v>
      </c>
    </row>
    <row r="122" spans="1:6" ht="13.5">
      <c r="A122" s="2255">
        <v>48</v>
      </c>
      <c r="B122" s="4720" t="s">
        <v>2631</v>
      </c>
      <c r="C122" s="2255" t="s">
        <v>2632</v>
      </c>
      <c r="D122" s="2235" t="s">
        <v>2633</v>
      </c>
      <c r="E122" s="3061">
        <v>0.1</v>
      </c>
      <c r="F122" s="3062">
        <v>15</v>
      </c>
    </row>
    <row r="123" spans="1:6" ht="13.5">
      <c r="A123" s="2255">
        <v>49</v>
      </c>
      <c r="B123" s="4721"/>
      <c r="C123" s="2255" t="s">
        <v>2634</v>
      </c>
      <c r="D123" s="2235" t="s">
        <v>2635</v>
      </c>
      <c r="E123" s="3061">
        <v>0.1</v>
      </c>
      <c r="F123" s="3062">
        <v>15</v>
      </c>
    </row>
    <row r="124" spans="1:6" ht="24">
      <c r="A124" s="2255">
        <v>50</v>
      </c>
      <c r="B124" s="4719" t="s">
        <v>2636</v>
      </c>
      <c r="C124" s="2255" t="s">
        <v>2637</v>
      </c>
      <c r="D124" s="2235" t="s">
        <v>2638</v>
      </c>
      <c r="E124" s="3061">
        <v>0.1</v>
      </c>
      <c r="F124" s="3062">
        <v>15</v>
      </c>
    </row>
    <row r="125" spans="1:6" ht="24">
      <c r="A125" s="2255">
        <v>51</v>
      </c>
      <c r="B125" s="4719"/>
      <c r="C125" s="2255" t="s">
        <v>2639</v>
      </c>
      <c r="D125" s="2235" t="s">
        <v>2640</v>
      </c>
      <c r="E125" s="3061">
        <v>0.1</v>
      </c>
      <c r="F125" s="3062">
        <v>15</v>
      </c>
    </row>
    <row r="126" spans="1:6" ht="24">
      <c r="A126" s="2255">
        <v>52</v>
      </c>
      <c r="B126" s="4719" t="s">
        <v>2641</v>
      </c>
      <c r="C126" s="2255" t="s">
        <v>2642</v>
      </c>
      <c r="D126" s="2235" t="s">
        <v>2643</v>
      </c>
      <c r="E126" s="3061">
        <v>0.1</v>
      </c>
      <c r="F126" s="3062">
        <v>15</v>
      </c>
    </row>
    <row r="127" spans="1:6" ht="24">
      <c r="A127" s="2255">
        <v>53</v>
      </c>
      <c r="B127" s="4719"/>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719" t="s">
        <v>2649</v>
      </c>
      <c r="C129" s="2255" t="s">
        <v>2650</v>
      </c>
      <c r="D129" s="2235" t="s">
        <v>2651</v>
      </c>
      <c r="E129" s="3061">
        <v>0.1</v>
      </c>
      <c r="F129" s="3062">
        <v>15</v>
      </c>
    </row>
    <row r="130" spans="1:6" ht="13.5">
      <c r="A130" s="2255">
        <v>56</v>
      </c>
      <c r="B130" s="4719"/>
      <c r="C130" s="2255" t="s">
        <v>2652</v>
      </c>
      <c r="D130" s="2235" t="s">
        <v>2653</v>
      </c>
      <c r="E130" s="3061">
        <v>0.1</v>
      </c>
      <c r="F130" s="3062">
        <v>15</v>
      </c>
    </row>
    <row r="131" spans="1:6" ht="24">
      <c r="A131" s="2255">
        <v>57</v>
      </c>
      <c r="B131" s="4719"/>
      <c r="C131" s="2255" t="s">
        <v>2654</v>
      </c>
      <c r="D131" s="2235" t="s">
        <v>2655</v>
      </c>
      <c r="E131" s="3061">
        <v>0.1</v>
      </c>
      <c r="F131" s="3062">
        <v>15</v>
      </c>
    </row>
    <row r="132" spans="1:6" ht="24">
      <c r="A132" s="2255">
        <v>58</v>
      </c>
      <c r="B132" s="4719" t="s">
        <v>2656</v>
      </c>
      <c r="C132" s="2255" t="s">
        <v>2657</v>
      </c>
      <c r="D132" s="2235" t="s">
        <v>2658</v>
      </c>
      <c r="E132" s="3061">
        <v>0.1</v>
      </c>
      <c r="F132" s="3062">
        <v>15</v>
      </c>
    </row>
    <row r="133" spans="1:6" ht="13.5">
      <c r="A133" s="2255">
        <v>59</v>
      </c>
      <c r="B133" s="4719"/>
      <c r="C133" s="2255" t="s">
        <v>2659</v>
      </c>
      <c r="D133" s="2235" t="s">
        <v>2660</v>
      </c>
      <c r="E133" s="3061">
        <v>0.1</v>
      </c>
      <c r="F133" s="3062">
        <v>15</v>
      </c>
    </row>
    <row r="134" spans="1:6" ht="13.5">
      <c r="A134" s="2255">
        <v>60</v>
      </c>
      <c r="B134" s="4720" t="s">
        <v>2661</v>
      </c>
      <c r="C134" s="2255" t="s">
        <v>2662</v>
      </c>
      <c r="D134" s="2235" t="s">
        <v>2663</v>
      </c>
      <c r="E134" s="3061">
        <v>0.1</v>
      </c>
      <c r="F134" s="3062">
        <v>15</v>
      </c>
    </row>
    <row r="135" spans="1:6" ht="13.5">
      <c r="A135" s="2255">
        <v>61</v>
      </c>
      <c r="B135" s="4721"/>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719" t="s">
        <v>2669</v>
      </c>
      <c r="C137" s="2255" t="s">
        <v>2670</v>
      </c>
      <c r="D137" s="2235" t="s">
        <v>2671</v>
      </c>
      <c r="E137" s="3061">
        <v>0.1</v>
      </c>
      <c r="F137" s="3062">
        <v>15</v>
      </c>
    </row>
    <row r="138" spans="1:6" ht="13.5">
      <c r="A138" s="2255">
        <v>64</v>
      </c>
      <c r="B138" s="4719"/>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9"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24151</v>
      </c>
      <c r="C2" s="2" t="s">
        <v>104</v>
      </c>
      <c r="D2" s="94"/>
      <c r="E2" s="94"/>
      <c r="F2" s="94"/>
      <c r="G2" s="94"/>
    </row>
    <row r="3" spans="1:7" s="95" customFormat="1" ht="18" customHeight="1" thickBot="1">
      <c r="A3" s="98" t="s">
        <v>56</v>
      </c>
      <c r="B3" s="99">
        <f ca="1">ROUND(B2*10000/'数据-汇总表'!E3,0)</f>
        <v>2932</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935</v>
      </c>
      <c r="D9" s="538">
        <f>'数据-汇总表'!E5</f>
        <v>58465.54</v>
      </c>
      <c r="E9" s="120">
        <f>'数据-取费表'!B27</f>
        <v>160</v>
      </c>
      <c r="F9" s="116"/>
      <c r="G9" s="121"/>
    </row>
    <row r="10" spans="1:7" s="109" customFormat="1" ht="13.5" customHeight="1">
      <c r="A10" s="512" t="s">
        <v>354</v>
      </c>
      <c r="B10" s="119" t="s">
        <v>65</v>
      </c>
      <c r="C10" s="120">
        <f>ROUND(D10*E10/10000,0)</f>
        <v>478</v>
      </c>
      <c r="D10" s="538">
        <f>'数据-汇总表'!E6</f>
        <v>23906.079999999994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1647</v>
      </c>
      <c r="D19" s="107">
        <f>'数据-汇总表'!E3</f>
        <v>82371.62</v>
      </c>
      <c r="E19" s="106">
        <f>'数据-取费表'!B31</f>
        <v>200</v>
      </c>
      <c r="F19" s="126"/>
      <c r="G19" s="1" t="s">
        <v>430</v>
      </c>
    </row>
    <row r="20" spans="1:7" s="109" customFormat="1" ht="13.5" customHeight="1">
      <c r="A20" s="510" t="s">
        <v>413</v>
      </c>
      <c r="B20" s="105" t="s">
        <v>75</v>
      </c>
      <c r="C20" s="127">
        <f>ROUND((C5+C19)*F20,0)</f>
        <v>445</v>
      </c>
      <c r="D20" s="127"/>
      <c r="E20" s="127"/>
      <c r="F20" s="128">
        <f>'数据-取费表'!B38</f>
        <v>0.02</v>
      </c>
      <c r="G20" s="705" t="s">
        <v>424</v>
      </c>
    </row>
    <row r="21" spans="1:7" s="109" customFormat="1" ht="13.5" customHeight="1">
      <c r="A21" s="510" t="s">
        <v>415</v>
      </c>
      <c r="B21" s="105" t="s">
        <v>76</v>
      </c>
      <c r="C21" s="130">
        <f>F21</f>
        <v>0.06</v>
      </c>
      <c r="D21" s="131" t="s">
        <v>97</v>
      </c>
      <c r="E21" s="127"/>
      <c r="F21" s="128">
        <f>'数据-取费表'!B39</f>
        <v>0.06</v>
      </c>
      <c r="G21" s="129" t="s">
        <v>77</v>
      </c>
    </row>
    <row r="22" spans="1:7" s="109" customFormat="1" ht="13.5" customHeight="1">
      <c r="A22" s="510" t="s">
        <v>339</v>
      </c>
      <c r="B22" s="105" t="s">
        <v>78</v>
      </c>
      <c r="C22" s="741">
        <f ca="1">ROUND(SUM(C23:C25),0)</f>
        <v>0</v>
      </c>
      <c r="D22" s="130">
        <f ca="1">C26</f>
        <v>0</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0</v>
      </c>
      <c r="D25" s="133"/>
      <c r="E25" s="136"/>
      <c r="F25" s="134"/>
      <c r="G25" s="137" t="s">
        <v>81</v>
      </c>
    </row>
    <row r="26" spans="1:7" s="109" customFormat="1">
      <c r="A26" s="513" t="s">
        <v>348</v>
      </c>
      <c r="B26" s="110" t="s">
        <v>416</v>
      </c>
      <c r="C26" s="133">
        <f ca="1">ROUND(IF('数据-取费表'!B22&lt;=1,F21*F22*'数据-取费表'!B23/2,F21*(POWER((1+F22),'数据-取费表'!B23/2)-1)),4)</f>
        <v>0</v>
      </c>
      <c r="D26" s="133"/>
      <c r="E26" s="136"/>
      <c r="F26" s="134"/>
      <c r="G26" s="138"/>
    </row>
    <row r="27" spans="1:7" s="109" customFormat="1" ht="24.75">
      <c r="A27" s="510" t="s">
        <v>340</v>
      </c>
      <c r="B27" s="139" t="s">
        <v>83</v>
      </c>
      <c r="C27" s="140">
        <f>C28</f>
        <v>0</v>
      </c>
      <c r="D27" s="130">
        <f>C29</f>
        <v>0</v>
      </c>
      <c r="E27" s="131" t="s">
        <v>97</v>
      </c>
      <c r="F27" s="141">
        <f>'数据-取费表'!Q16</f>
        <v>0.17</v>
      </c>
      <c r="G27" s="142" t="s">
        <v>425</v>
      </c>
    </row>
    <row r="28" spans="1:7" s="109" customFormat="1" ht="13.5" customHeight="1">
      <c r="A28" s="513" t="s">
        <v>347</v>
      </c>
      <c r="B28" s="143" t="s">
        <v>418</v>
      </c>
      <c r="C28" s="144">
        <f>ROUND((C5+C19+C20)*F27*'数据-取费表'!B21/'数据-取费表'!B20,0)</f>
        <v>0</v>
      </c>
      <c r="D28" s="130"/>
      <c r="E28" s="131"/>
      <c r="F28" s="141"/>
      <c r="G28" s="142"/>
    </row>
    <row r="29" spans="1:7" s="109" customFormat="1" ht="13.5" customHeight="1">
      <c r="A29" s="513" t="s">
        <v>345</v>
      </c>
      <c r="B29" s="143" t="s">
        <v>419</v>
      </c>
      <c r="C29" s="133">
        <f>ROUND(C21*F27*'数据-取费表'!B21/'数据-取费表'!B20,4)</f>
        <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24151</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0</v>
      </c>
      <c r="G34" s="114" t="s">
        <v>87</v>
      </c>
    </row>
    <row r="35" spans="1:7" ht="13.5" customHeight="1">
      <c r="A35" s="513" t="s">
        <v>349</v>
      </c>
      <c r="B35" s="110" t="s">
        <v>31</v>
      </c>
      <c r="C35" s="115">
        <f>ROUND(C34*F35,0)</f>
        <v>0</v>
      </c>
      <c r="D35" s="115"/>
      <c r="E35" s="115"/>
      <c r="F35" s="154">
        <f>'数据-取费表'!B33</f>
        <v>0.02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0.15</v>
      </c>
      <c r="G36" s="155" t="s">
        <v>33</v>
      </c>
    </row>
    <row r="37" spans="1:7" s="153" customFormat="1" ht="13.5" customHeight="1">
      <c r="A37" s="513" t="s">
        <v>351</v>
      </c>
      <c r="B37" s="110" t="s">
        <v>89</v>
      </c>
      <c r="C37" s="144">
        <f>ROUND(E37*D37*F34/10000,0)</f>
        <v>0</v>
      </c>
      <c r="D37" s="112">
        <f>'数据-汇总表'!E3</f>
        <v>82371.62</v>
      </c>
      <c r="E37" s="144">
        <f>'数据-取费表'!B35</f>
        <v>360</v>
      </c>
      <c r="F37" s="154"/>
      <c r="G37" s="156" t="s">
        <v>90</v>
      </c>
    </row>
    <row r="38" spans="1:7" ht="13.5" customHeight="1">
      <c r="A38" s="513" t="s">
        <v>352</v>
      </c>
      <c r="B38" s="110" t="s">
        <v>34</v>
      </c>
      <c r="C38" s="115">
        <f>ROUND(C34*F38,0)</f>
        <v>0</v>
      </c>
      <c r="D38" s="115"/>
      <c r="E38" s="115"/>
      <c r="F38" s="154">
        <f>'数据-取费表'!B36</f>
        <v>1.4999999999999999E-2</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0.06</v>
      </c>
      <c r="D40" s="131" t="s">
        <v>100</v>
      </c>
      <c r="E40" s="127"/>
      <c r="F40" s="128"/>
      <c r="G40" s="129" t="s">
        <v>91</v>
      </c>
    </row>
    <row r="41" spans="1:7" s="109" customFormat="1" ht="13.5" customHeight="1">
      <c r="A41" s="510" t="s">
        <v>338</v>
      </c>
      <c r="B41" s="105" t="s">
        <v>78</v>
      </c>
      <c r="C41" s="127">
        <f ca="1">ROUND(SUM(C42:C43),0)</f>
        <v>0</v>
      </c>
      <c r="D41" s="130">
        <f ca="1">C44</f>
        <v>0</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0</v>
      </c>
      <c r="D42" s="133"/>
      <c r="E42" s="133"/>
      <c r="F42" s="134"/>
      <c r="G42" s="4522" t="s">
        <v>92</v>
      </c>
    </row>
    <row r="43" spans="1:7" ht="13.5" customHeight="1">
      <c r="A43" s="513" t="s">
        <v>345</v>
      </c>
      <c r="B43" s="110" t="s">
        <v>420</v>
      </c>
      <c r="C43" s="133">
        <f ca="1">ROUND(IF('数据-取费表'!B22&lt;=1,C39*F22*'数据-取费表'!B21/2,C39*(POWER((1+F22),'数据-取费表'!B21/2)-1)),0)</f>
        <v>0</v>
      </c>
      <c r="D43" s="133"/>
      <c r="E43" s="133"/>
      <c r="F43" s="134"/>
      <c r="G43" s="4524"/>
    </row>
    <row r="44" spans="1:7" ht="13.5" customHeight="1">
      <c r="A44" s="513" t="s">
        <v>346</v>
      </c>
      <c r="B44" s="110" t="s">
        <v>422</v>
      </c>
      <c r="C44" s="133">
        <f ca="1">ROUND(IF('数据-取费表'!B22&lt;=1,C40*F22*'数据-取费表'!B21/2,C40*(POWER((1+F22),'数据-取费表'!B21/2)-1)),4)</f>
        <v>0</v>
      </c>
      <c r="D44" s="133"/>
      <c r="E44" s="133"/>
      <c r="F44" s="134"/>
      <c r="G44" s="4523"/>
    </row>
    <row r="45" spans="1:7" s="109" customFormat="1" ht="13.5" customHeight="1">
      <c r="A45" s="510" t="s">
        <v>339</v>
      </c>
      <c r="B45" s="139" t="s">
        <v>83</v>
      </c>
      <c r="C45" s="140">
        <f>C46</f>
        <v>0</v>
      </c>
      <c r="D45" s="130">
        <f>C47</f>
        <v>1.0200000000000001E-2</v>
      </c>
      <c r="E45" s="131" t="s">
        <v>100</v>
      </c>
      <c r="F45" s="141"/>
      <c r="G45" s="142" t="s">
        <v>428</v>
      </c>
    </row>
    <row r="46" spans="1:7" s="109" customFormat="1" ht="13.5" customHeight="1">
      <c r="A46" s="513" t="s">
        <v>347</v>
      </c>
      <c r="B46" s="143" t="s">
        <v>421</v>
      </c>
      <c r="C46" s="144">
        <f>ROUND((C33+C39)*F27,0)</f>
        <v>0</v>
      </c>
      <c r="D46" s="158"/>
      <c r="E46" s="131"/>
      <c r="F46" s="141"/>
      <c r="G46" s="142"/>
    </row>
    <row r="47" spans="1:7" s="109" customFormat="1" ht="13.5" customHeight="1">
      <c r="A47" s="513" t="s">
        <v>345</v>
      </c>
      <c r="B47" s="143" t="s">
        <v>423</v>
      </c>
      <c r="C47" s="133">
        <f>ROUND(C40*F27,4)</f>
        <v>1.0200000000000001E-2</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0</v>
      </c>
      <c r="D49" s="127"/>
      <c r="E49" s="127"/>
      <c r="F49" s="159"/>
      <c r="G49" s="129" t="s">
        <v>429</v>
      </c>
    </row>
    <row r="50" spans="1:7" s="153" customFormat="1" ht="24">
      <c r="A50" s="510" t="s">
        <v>342</v>
      </c>
      <c r="B50" s="105" t="s">
        <v>95</v>
      </c>
      <c r="C50" s="127"/>
      <c r="D50" s="127"/>
      <c r="E50" s="127"/>
      <c r="F50" s="159">
        <f>IF('数据-取费表'!B24=0,'数据-取费表'!N16,1)</f>
        <v>1</v>
      </c>
      <c r="G50" s="142" t="s">
        <v>96</v>
      </c>
    </row>
    <row r="51" spans="1:7" ht="16.5" customHeight="1">
      <c r="A51" s="510" t="s">
        <v>343</v>
      </c>
      <c r="B51" s="105" t="s">
        <v>103</v>
      </c>
      <c r="C51" s="127">
        <f ca="1">ROUND(C49*F50,0)</f>
        <v>0</v>
      </c>
      <c r="D51" s="127"/>
      <c r="E51" s="127"/>
      <c r="F51" s="159"/>
      <c r="G51" s="129" t="s">
        <v>35</v>
      </c>
    </row>
    <row r="52" spans="1:7" s="103" customFormat="1" ht="16.5" thickBot="1">
      <c r="A52" s="160" t="s">
        <v>36</v>
      </c>
      <c r="B52" s="161"/>
      <c r="C52" s="162">
        <f ca="1">C31+C51</f>
        <v>24151</v>
      </c>
      <c r="D52" s="161"/>
      <c r="E52" s="161"/>
      <c r="F52" s="161"/>
      <c r="G52" s="163"/>
    </row>
    <row r="55" spans="1:7" ht="15">
      <c r="B55" s="165" t="s">
        <v>37</v>
      </c>
      <c r="C55" s="166"/>
    </row>
    <row r="56" spans="1:7">
      <c r="B56" s="168" t="s">
        <v>38</v>
      </c>
      <c r="C56" s="169">
        <f ca="1">ROUND(C51/C52,3)</f>
        <v>0</v>
      </c>
    </row>
    <row r="57" spans="1:7">
      <c r="B57" s="168" t="s">
        <v>39</v>
      </c>
      <c r="C57" s="170">
        <f ca="1">1-C56</f>
        <v>1</v>
      </c>
    </row>
  </sheetData>
  <sheetProtection sheet="1" objects="1" scenarios="1" selectLockedCells="1" selectUnlockedCells="1"/>
  <mergeCells count="1">
    <mergeCell ref="G42:G44"/>
  </mergeCells>
  <phoneticPr fontId="21"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33" t="s">
        <v>3061</v>
      </c>
      <c r="B1" s="4733"/>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c r="A1" s="4734" t="s">
        <v>3112</v>
      </c>
      <c r="B1" s="4734"/>
      <c r="C1" s="4734"/>
      <c r="D1" s="4734"/>
      <c r="E1" s="4734"/>
      <c r="F1" s="4735"/>
    </row>
    <row r="2" spans="1:6">
      <c r="A2" s="2387" t="s">
        <v>3113</v>
      </c>
    </row>
    <row r="3" spans="1:6">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6">
        <f>基准地价修正!G23</f>
        <v>46091</v>
      </c>
      <c r="B1" s="2318" t="s">
        <v>3254</v>
      </c>
      <c r="C1" s="2319"/>
      <c r="D1" s="2319"/>
      <c r="E1" s="2319"/>
      <c r="F1" s="2319"/>
      <c r="G1" s="2319"/>
      <c r="H1" s="2319"/>
      <c r="I1" s="2319"/>
      <c r="J1" s="2293"/>
      <c r="K1" s="2319" t="s">
        <v>448</v>
      </c>
      <c r="L1" s="2319"/>
      <c r="M1" s="2319"/>
      <c r="N1" s="2319"/>
      <c r="O1" s="2319"/>
      <c r="P1" s="2319"/>
      <c r="Q1" s="2293"/>
      <c r="R1" s="4736" t="s">
        <v>450</v>
      </c>
      <c r="S1" s="4737"/>
      <c r="T1" s="4737"/>
      <c r="U1" s="4737"/>
      <c r="V1" s="4737"/>
      <c r="W1" s="4737"/>
      <c r="X1" s="2293"/>
      <c r="Y1" s="4736" t="s">
        <v>451</v>
      </c>
      <c r="Z1" s="4737"/>
      <c r="AA1" s="4737"/>
      <c r="AB1" s="4737"/>
      <c r="AC1" s="4737"/>
      <c r="AD1" s="4737"/>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3261</v>
      </c>
      <c r="AG2" t="s">
        <v>660</v>
      </c>
      <c r="AH2" t="s">
        <v>19</v>
      </c>
      <c r="AI2" t="s">
        <v>3262</v>
      </c>
      <c r="AJ2" t="s">
        <v>3</v>
      </c>
      <c r="AK2" t="s">
        <v>3263</v>
      </c>
      <c r="AM2" t="s">
        <v>3261</v>
      </c>
      <c r="AN2" t="s">
        <v>660</v>
      </c>
      <c r="AO2" t="s">
        <v>19</v>
      </c>
      <c r="AP2" t="s">
        <v>3262</v>
      </c>
      <c r="AQ2" t="s">
        <v>3</v>
      </c>
      <c r="AR2" t="s">
        <v>3263</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3629</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3628</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3627</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3630</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3626</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3631</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3275</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3266</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3265</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3258</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3252</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3251</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3247</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3246</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3244</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3243</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3242</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3240</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3231</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3257</v>
      </c>
    </row>
    <row r="31" spans="1:44">
      <c r="I31" s="1049" t="s">
        <v>2705</v>
      </c>
    </row>
    <row r="33" spans="1:44" s="1591" customFormat="1" ht="12.75">
      <c r="B33" s="2318" t="s">
        <v>3255</v>
      </c>
      <c r="C33" s="2319"/>
      <c r="D33" s="2319"/>
      <c r="E33" s="2319"/>
      <c r="F33" s="2319"/>
      <c r="G33" s="2319"/>
      <c r="H33" s="2319"/>
      <c r="I33" s="2319"/>
      <c r="J33" s="2293"/>
      <c r="K33" s="2319" t="s">
        <v>2706</v>
      </c>
      <c r="L33" s="2319"/>
      <c r="M33" s="2319"/>
      <c r="N33" s="2319"/>
      <c r="O33" s="2319"/>
      <c r="P33" s="2319"/>
      <c r="Q33" s="2293"/>
      <c r="R33" s="4736" t="s">
        <v>2707</v>
      </c>
      <c r="S33" s="4737"/>
      <c r="T33" s="4737"/>
      <c r="U33" s="4737"/>
      <c r="V33" s="4737"/>
      <c r="W33" s="4737"/>
      <c r="X33" s="2293"/>
      <c r="Y33" s="4736" t="s">
        <v>2708</v>
      </c>
      <c r="Z33" s="4737"/>
      <c r="AA33" s="4737"/>
      <c r="AB33" s="4737"/>
      <c r="AC33" s="4737"/>
      <c r="AD33" s="4737"/>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3262</v>
      </c>
      <c r="AJ34"/>
      <c r="AK34" t="s">
        <v>3263</v>
      </c>
      <c r="AN34" t="s">
        <v>660</v>
      </c>
      <c r="AO34" t="s">
        <v>19</v>
      </c>
      <c r="AP34" t="s">
        <v>3262</v>
      </c>
      <c r="AQ34"/>
      <c r="AR34" t="s">
        <v>3263</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3629</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3628</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3627</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3632</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3626</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3274</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3275</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3264</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3265</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3249</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3253</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3250</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3248</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3246</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3245</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3243</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3242</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3241</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3231</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3256</v>
      </c>
    </row>
  </sheetData>
  <sheetProtection password="CEE9" sheet="1" objects="1" scenarios="1"/>
  <mergeCells count="4">
    <mergeCell ref="R33:W33"/>
    <mergeCell ref="Y33:AD33"/>
    <mergeCell ref="R1:W1"/>
    <mergeCell ref="Y1:AD1"/>
  </mergeCells>
  <phoneticPr fontId="6"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41" t="s">
        <v>446</v>
      </c>
      <c r="C1" s="4741"/>
      <c r="D1" s="4741"/>
      <c r="E1" s="4741"/>
      <c r="F1" s="4741"/>
      <c r="G1" s="4737" t="s">
        <v>447</v>
      </c>
      <c r="H1" s="4737"/>
      <c r="I1" s="4737"/>
      <c r="J1" s="4737"/>
      <c r="K1" s="4737"/>
      <c r="L1" s="4737"/>
      <c r="N1" s="4737" t="s">
        <v>448</v>
      </c>
      <c r="O1" s="4737"/>
      <c r="P1" s="4737"/>
      <c r="Q1" s="4737"/>
      <c r="S1" s="4737" t="s">
        <v>449</v>
      </c>
      <c r="T1" s="4737"/>
      <c r="U1" s="4737"/>
      <c r="V1" s="4737"/>
      <c r="X1" s="4736" t="s">
        <v>450</v>
      </c>
      <c r="Y1" s="4737"/>
      <c r="Z1" s="4737"/>
      <c r="AA1" s="4737"/>
      <c r="AB1" s="4737"/>
      <c r="AD1" s="4736" t="s">
        <v>451</v>
      </c>
      <c r="AE1" s="4737"/>
      <c r="AF1" s="4737"/>
      <c r="AG1" s="4737"/>
      <c r="AH1" s="4737"/>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39">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39"/>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39"/>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46"/>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742">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39"/>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39"/>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46"/>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42">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39"/>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39"/>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40"/>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38">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39"/>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39"/>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40"/>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38">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39"/>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39"/>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40"/>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43">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44"/>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44"/>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45"/>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38">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39"/>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39"/>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40"/>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38">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39">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39">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40">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38">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39">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39">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40">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38">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39">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39">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40">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38">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39">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39">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40">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38">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39">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39">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40">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38">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39">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39">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40">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38">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39">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39">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40">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38">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39">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39">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40">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38">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39">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39">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40">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38">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39">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39">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40">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7"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49" t="s">
        <v>2719</v>
      </c>
      <c r="B1" s="4749"/>
      <c r="C1" s="4749"/>
      <c r="D1" s="4749"/>
      <c r="E1" s="4749"/>
      <c r="F1" s="4749"/>
      <c r="G1" s="4750"/>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47"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48"/>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9" type="noConversion"/>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46091</v>
      </c>
      <c r="D1" s="874" t="s">
        <v>597</v>
      </c>
      <c r="E1" s="3001">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41" t="s">
        <v>940</v>
      </c>
      <c r="B15" s="4336" t="s">
        <v>107</v>
      </c>
      <c r="C15" s="4337"/>
    </row>
    <row r="16" spans="1:7" ht="13.5">
      <c r="A16" s="4342"/>
      <c r="B16" s="4336" t="s">
        <v>40</v>
      </c>
      <c r="C16" s="4337"/>
    </row>
    <row r="17" spans="1:3" ht="13.5">
      <c r="A17" s="4342"/>
      <c r="B17" s="4339" t="s">
        <v>941</v>
      </c>
      <c r="C17" s="1073" t="s">
        <v>940</v>
      </c>
    </row>
    <row r="18" spans="1:3" ht="13.5">
      <c r="A18" s="4342"/>
      <c r="B18" s="4339"/>
      <c r="C18" s="1073" t="s">
        <v>942</v>
      </c>
    </row>
    <row r="19" spans="1:3" ht="13.5">
      <c r="A19" s="4342"/>
      <c r="B19" s="4339"/>
      <c r="C19" s="1073" t="s">
        <v>943</v>
      </c>
    </row>
    <row r="20" spans="1:3" ht="13.5">
      <c r="A20" s="4343"/>
      <c r="B20" s="4338" t="s">
        <v>944</v>
      </c>
      <c r="C20" s="4337"/>
    </row>
    <row r="21" spans="1:3" ht="13.5">
      <c r="A21" s="1074" t="s">
        <v>945</v>
      </c>
      <c r="B21" s="1075"/>
      <c r="C21" s="1076"/>
    </row>
    <row r="22" spans="1:3" ht="13.5">
      <c r="A22" s="4340" t="s">
        <v>946</v>
      </c>
      <c r="B22" s="4338" t="s">
        <v>947</v>
      </c>
      <c r="C22" s="4337"/>
    </row>
    <row r="23" spans="1:3" ht="13.5">
      <c r="A23" s="4340"/>
      <c r="B23" s="4338" t="s">
        <v>948</v>
      </c>
      <c r="C23" s="4337"/>
    </row>
    <row r="24" spans="1:3" ht="13.5">
      <c r="A24" s="4340"/>
      <c r="B24" s="4338" t="s">
        <v>949</v>
      </c>
      <c r="C24" s="4337"/>
    </row>
    <row r="25" spans="1:3" ht="13.5">
      <c r="A25" s="4340"/>
      <c r="B25" s="4339" t="s">
        <v>950</v>
      </c>
      <c r="C25" s="1073" t="s">
        <v>951</v>
      </c>
    </row>
    <row r="26" spans="1:3" ht="13.5">
      <c r="A26" s="4340"/>
      <c r="B26" s="4339"/>
      <c r="C26" s="1073" t="s">
        <v>952</v>
      </c>
    </row>
    <row r="27" spans="1:3" ht="13.5">
      <c r="A27" s="4340"/>
      <c r="B27" s="4339"/>
      <c r="C27" s="1073" t="s">
        <v>953</v>
      </c>
    </row>
    <row r="28" spans="1:3" ht="13.5">
      <c r="A28" s="4340"/>
      <c r="B28" s="4339"/>
      <c r="C28" s="1073" t="s">
        <v>954</v>
      </c>
    </row>
    <row r="29" spans="1:3" ht="13.5">
      <c r="A29" s="4340"/>
      <c r="B29" s="4339"/>
      <c r="C29" s="1073" t="s">
        <v>955</v>
      </c>
    </row>
    <row r="30" spans="1:3" ht="13.5">
      <c r="A30" s="4340"/>
      <c r="B30" s="4339"/>
      <c r="C30" s="1073" t="s">
        <v>956</v>
      </c>
    </row>
    <row r="31" spans="1:3" ht="13.5">
      <c r="A31" s="4340"/>
      <c r="B31" s="4339"/>
      <c r="C31" s="1073" t="s">
        <v>957</v>
      </c>
    </row>
    <row r="32" spans="1:3" ht="13.5">
      <c r="A32" s="4340"/>
      <c r="B32" s="4339"/>
      <c r="C32" s="1073" t="s">
        <v>958</v>
      </c>
    </row>
    <row r="33" spans="1:3" ht="13.5">
      <c r="A33" s="4340"/>
      <c r="B33" s="4339"/>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46099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3964</v>
      </c>
      <c r="B16" s="876">
        <v>1120240051</v>
      </c>
      <c r="C16" s="876"/>
      <c r="D16" s="1709" t="str">
        <f>A16&amp;"（注册号："&amp;B16&amp;"）"</f>
        <v>赵雯（注册号：1120240051）</v>
      </c>
      <c r="E16" s="1710"/>
      <c r="F16" s="876"/>
      <c r="G16" s="876"/>
      <c r="H16" s="1713" t="str">
        <f t="shared" si="1"/>
        <v>（注册号：）</v>
      </c>
    </row>
    <row r="17" spans="1:8" ht="24" customHeight="1">
      <c r="A17" s="4344" t="s">
        <v>2064</v>
      </c>
      <c r="B17" s="4344"/>
      <c r="C17" s="4344"/>
      <c r="D17" s="4344"/>
      <c r="E17" s="4344"/>
      <c r="F17" s="4344"/>
      <c r="G17" s="4344"/>
      <c r="H17" s="4344"/>
    </row>
    <row r="18" spans="1:8" ht="24" customHeight="1">
      <c r="A18" s="4345" t="s">
        <v>2065</v>
      </c>
      <c r="B18" s="4345"/>
      <c r="C18" s="4345"/>
      <c r="D18" s="1707"/>
      <c r="E18" s="4346" t="s">
        <v>2066</v>
      </c>
      <c r="F18" s="4345"/>
      <c r="G18" s="4345"/>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5"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68</vt:i4>
      </vt:variant>
      <vt:variant>
        <vt:lpstr>命名范围</vt:lpstr>
      </vt:variant>
      <vt:variant>
        <vt:i4>161</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土地案例</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2026-03-18T05:39:47Z</dcterms:modified>
</cp:coreProperties>
</file>