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吴雪\"/>
    </mc:Choice>
  </mc:AlternateContent>
  <xr:revisionPtr revIDLastSave="0" documentId="13_ncr:1_{71EF05E4-BD4B-4E85-B683-10981ABCD196}"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工业" sheetId="37"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市调" sheetId="82" r:id="rId46"/>
    <sheet name="Sheet1" sheetId="80" r:id="rId47"/>
    <sheet name="Sheet2" sheetId="81" r:id="rId48"/>
  </sheets>
  <externalReferences>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8"/>
</workbook>
</file>

<file path=xl/calcChain.xml><?xml version="1.0" encoding="utf-8"?>
<calcChain xmlns="http://schemas.openxmlformats.org/spreadsheetml/2006/main">
  <c r="G10" i="37" l="1"/>
  <c r="C39" i="37"/>
  <c r="N5" i="82"/>
  <c r="N8" i="82"/>
  <c r="C8" i="82"/>
  <c r="C7" i="82"/>
  <c r="C6" i="82"/>
  <c r="C5" i="82"/>
  <c r="C4" i="82"/>
  <c r="I10" i="37" l="1"/>
  <c r="E10" i="37"/>
  <c r="C10" i="37"/>
  <c r="E60" i="37"/>
  <c r="F60" i="37"/>
  <c r="G60" i="37" s="1"/>
  <c r="D60" i="37"/>
  <c r="J49" i="15" l="1"/>
  <c r="J49" i="67"/>
  <c r="N6" i="1" l="1"/>
  <c r="C33" i="37" l="1"/>
  <c r="Y6" i="1"/>
  <c r="K13" i="3"/>
  <c r="D42" i="43" s="1"/>
  <c r="D3" i="4"/>
  <c r="I13" i="3" l="1"/>
  <c r="G19" i="6"/>
  <c r="E27" i="45"/>
  <c r="D33" i="43" l="1"/>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7" i="79"/>
  <c r="AR8" i="79" s="1"/>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N23" i="79"/>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V23" i="79"/>
  <c r="AJ23" i="79" s="1"/>
  <c r="S51" i="79"/>
  <c r="AG51" i="79" s="1"/>
  <c r="U23" i="79"/>
  <c r="AI23" i="79" s="1"/>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3" i="79"/>
  <c r="T34" i="79"/>
  <c r="T35"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23" i="79"/>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Y19" i="71" s="1"/>
  <c r="Z19" i="71" s="1"/>
  <c r="N18" i="71"/>
  <c r="X3" i="71" s="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D3" i="71" s="1"/>
  <c r="AH21" i="71"/>
  <c r="AG21" i="71"/>
  <c r="AE21" i="71"/>
  <c r="AF21" i="71" s="1"/>
  <c r="AD21" i="71"/>
  <c r="Q21" i="71"/>
  <c r="Q22" i="71"/>
  <c r="P21" i="71"/>
  <c r="AA19"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X19" i="71" s="1"/>
  <c r="Q24" i="71"/>
  <c r="F24" i="71" s="1"/>
  <c r="F23" i="71" s="1"/>
  <c r="F22" i="71" s="1"/>
  <c r="F21" i="71" s="1"/>
  <c r="F20" i="71" s="1"/>
  <c r="F19" i="71" s="1"/>
  <c r="F18" i="71" s="1"/>
  <c r="F17" i="71" s="1"/>
  <c r="P24" i="71"/>
  <c r="O24" i="71"/>
  <c r="C24" i="71"/>
  <c r="Q25" i="71"/>
  <c r="P25" i="71"/>
  <c r="E24"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B61" i="72" s="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C68" i="71"/>
  <c r="T68" i="71" s="1"/>
  <c r="B68" i="71"/>
  <c r="S68" i="71"/>
  <c r="B67" i="71"/>
  <c r="D65" i="71"/>
  <c r="Q64" i="71"/>
  <c r="P64" i="71"/>
  <c r="O64" i="71"/>
  <c r="N64" i="71"/>
  <c r="Q63" i="71"/>
  <c r="P63" i="71"/>
  <c r="O63" i="71"/>
  <c r="N63" i="71"/>
  <c r="Q62" i="71"/>
  <c r="P62" i="71"/>
  <c r="O62" i="71"/>
  <c r="N62" i="71"/>
  <c r="Q61" i="71"/>
  <c r="F62"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P49" i="71"/>
  <c r="E50"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c r="N45" i="71"/>
  <c r="B46" i="71" s="1"/>
  <c r="D45" i="71"/>
  <c r="Q44" i="71"/>
  <c r="P44" i="71"/>
  <c r="O44" i="71"/>
  <c r="N44" i="71"/>
  <c r="Q43" i="71"/>
  <c r="P43" i="71"/>
  <c r="O43" i="71"/>
  <c r="N43" i="71"/>
  <c r="Q42" i="71"/>
  <c r="P42" i="71"/>
  <c r="O42" i="71"/>
  <c r="C43" i="71" s="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O39" i="71"/>
  <c r="N39" i="71"/>
  <c r="X39" i="71"/>
  <c r="Q38" i="71"/>
  <c r="P38" i="71"/>
  <c r="O38" i="71"/>
  <c r="N38" i="71"/>
  <c r="Q37" i="71"/>
  <c r="P37" i="71"/>
  <c r="E38" i="71" s="1"/>
  <c r="O37" i="71"/>
  <c r="N37" i="71"/>
  <c r="B38" i="71" s="1"/>
  <c r="B39" i="71" s="1"/>
  <c r="B40" i="71" s="1"/>
  <c r="S40" i="71" s="1"/>
  <c r="D37" i="71"/>
  <c r="Q36" i="71"/>
  <c r="P36" i="71"/>
  <c r="O36" i="71"/>
  <c r="N36" i="71"/>
  <c r="Q35" i="71"/>
  <c r="P35" i="71"/>
  <c r="O35" i="71"/>
  <c r="N35" i="71"/>
  <c r="Q34" i="71"/>
  <c r="P34" i="71"/>
  <c r="O34" i="71"/>
  <c r="N34" i="71"/>
  <c r="X34" i="71" s="1"/>
  <c r="Q33" i="71"/>
  <c r="F34" i="71" s="1"/>
  <c r="F35" i="71" s="1"/>
  <c r="F36" i="71" s="1"/>
  <c r="V36" i="71" s="1"/>
  <c r="P33" i="71"/>
  <c r="E34" i="71" s="1"/>
  <c r="O33" i="71"/>
  <c r="C34" i="71" s="1"/>
  <c r="D34" i="71" s="1"/>
  <c r="N33" i="71"/>
  <c r="B34"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N28" i="71"/>
  <c r="B28" i="71" s="1"/>
  <c r="B30" i="71"/>
  <c r="B31" i="71"/>
  <c r="B32" i="71" s="1"/>
  <c r="S32" i="71" s="1"/>
  <c r="E30" i="71"/>
  <c r="E31" i="71" s="1"/>
  <c r="E32" i="71" s="1"/>
  <c r="U32" i="71" s="1"/>
  <c r="N68" i="71"/>
  <c r="C30" i="71"/>
  <c r="C35" i="71"/>
  <c r="D30" i="71"/>
  <c r="P28" i="71"/>
  <c r="E28" i="71" s="1"/>
  <c r="Q28" i="71"/>
  <c r="F28" i="71" s="1"/>
  <c r="C59" i="71"/>
  <c r="D58" i="71"/>
  <c r="O68" i="71"/>
  <c r="D68" i="71"/>
  <c r="C67" i="71"/>
  <c r="Q68" i="71"/>
  <c r="E71" i="71"/>
  <c r="E70" i="71"/>
  <c r="D72" i="71"/>
  <c r="D8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S25" i="40"/>
  <c r="H25" i="40"/>
  <c r="AB25" i="40" s="1"/>
  <c r="J25" i="40"/>
  <c r="W25" i="40" s="1"/>
  <c r="H29" i="39"/>
  <c r="J29" i="39"/>
  <c r="AC29" i="39" s="1"/>
  <c r="J18" i="36"/>
  <c r="AC18" i="36" s="1"/>
  <c r="H18" i="35"/>
  <c r="AB18" i="35" s="1"/>
  <c r="J18" i="35"/>
  <c r="W18" i="35" s="1"/>
  <c r="H21" i="37"/>
  <c r="U21" i="37" s="1"/>
  <c r="F21" i="37"/>
  <c r="AA21" i="37" s="1"/>
  <c r="H21" i="34"/>
  <c r="AB21" i="34" s="1"/>
  <c r="H21" i="33"/>
  <c r="U21" i="33" s="1"/>
  <c r="F21" i="33"/>
  <c r="AA21" i="33" s="1"/>
  <c r="H1" i="69"/>
  <c r="AC25" i="40"/>
  <c r="U25" i="40"/>
  <c r="W18" i="36"/>
  <c r="AB21" i="37"/>
  <c r="U21" i="34"/>
  <c r="AB21" i="33"/>
  <c r="J21" i="37"/>
  <c r="W21" i="37" s="1"/>
  <c r="J21" i="34"/>
  <c r="W21" i="34" s="1"/>
  <c r="J21" i="33"/>
  <c r="W21" i="33" s="1"/>
  <c r="H21" i="21"/>
  <c r="U21" i="21" s="1"/>
  <c r="F38" i="69"/>
  <c r="E37" i="69"/>
  <c r="F36" i="69"/>
  <c r="F35" i="69"/>
  <c r="F21" i="69"/>
  <c r="F40" i="69" s="1"/>
  <c r="F20" i="69"/>
  <c r="F39" i="69" s="1"/>
  <c r="E10" i="69"/>
  <c r="E9" i="69"/>
  <c r="AC21" i="33"/>
  <c r="J21" i="2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AC5" i="3" s="1"/>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T5" i="3" s="1"/>
  <c r="BS27" i="3"/>
  <c r="BR27" i="3"/>
  <c r="BQ27" i="3"/>
  <c r="BP27" i="3"/>
  <c r="BO27" i="3"/>
  <c r="BN27" i="3"/>
  <c r="BM27" i="3"/>
  <c r="BK27" i="3"/>
  <c r="BK5" i="3" s="1"/>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L204" i="3" s="1"/>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A203" i="3" s="1"/>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A194" i="3" s="1"/>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A167" i="3" s="1"/>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L148" i="3" s="1"/>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L144" i="3" s="1"/>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L140" i="3" s="1"/>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A139" i="3" s="1"/>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L136" i="3" s="1"/>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L124" i="3" s="1"/>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L390" i="3" s="1"/>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A381" i="3" s="1"/>
  <c r="AZ381" i="3" s="1"/>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BT377" i="3"/>
  <c r="BS377" i="3"/>
  <c r="BR377" i="3"/>
  <c r="BQ377" i="3"/>
  <c r="BL377" i="3" s="1"/>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A365" i="3" s="1"/>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L355" i="3" s="1"/>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L352" i="3" s="1"/>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L349" i="3" s="1"/>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A347" i="3" s="1"/>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L344" i="3" s="1"/>
  <c r="BQ344" i="3"/>
  <c r="BP344" i="3"/>
  <c r="BO344" i="3"/>
  <c r="BN344" i="3"/>
  <c r="BM344" i="3"/>
  <c r="BK344" i="3"/>
  <c r="BJ344" i="3"/>
  <c r="BI344" i="3"/>
  <c r="BA344" i="3" s="1"/>
  <c r="AZ344" i="3" s="1"/>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A343" i="3" s="1"/>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A342" i="3" s="1"/>
  <c r="BF342" i="3"/>
  <c r="BE342" i="3"/>
  <c r="BD342" i="3"/>
  <c r="BC342" i="3"/>
  <c r="BB342" i="3"/>
  <c r="AX342" i="3"/>
  <c r="AW342" i="3"/>
  <c r="AV342" i="3"/>
  <c r="AC342" i="3"/>
  <c r="H342" i="3"/>
  <c r="BT341" i="3"/>
  <c r="BS341" i="3"/>
  <c r="BR341" i="3"/>
  <c r="BQ341" i="3"/>
  <c r="BP341" i="3"/>
  <c r="BO341" i="3"/>
  <c r="BL341" i="3" s="1"/>
  <c r="BN341" i="3"/>
  <c r="BM341" i="3"/>
  <c r="BK341" i="3"/>
  <c r="BJ341" i="3"/>
  <c r="BI341" i="3"/>
  <c r="BH341" i="3"/>
  <c r="BG341" i="3"/>
  <c r="BF341" i="3"/>
  <c r="BA341" i="3" s="1"/>
  <c r="AZ341" i="3" s="1"/>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A340" i="3" s="1"/>
  <c r="BD340" i="3"/>
  <c r="BC340" i="3"/>
  <c r="BB340" i="3"/>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L338" i="3" s="1"/>
  <c r="BS338" i="3"/>
  <c r="BR338" i="3"/>
  <c r="BQ338" i="3"/>
  <c r="BP338" i="3"/>
  <c r="BO338" i="3"/>
  <c r="BN338" i="3"/>
  <c r="BM338" i="3"/>
  <c r="BK338" i="3"/>
  <c r="BJ338" i="3"/>
  <c r="BI338" i="3"/>
  <c r="BH338" i="3"/>
  <c r="BG338" i="3"/>
  <c r="BF338" i="3"/>
  <c r="BE338" i="3"/>
  <c r="BD338" i="3"/>
  <c r="BC338" i="3"/>
  <c r="BA338" i="3" s="1"/>
  <c r="AZ338" i="3" s="1"/>
  <c r="BB338" i="3"/>
  <c r="AX338" i="3"/>
  <c r="AW338" i="3"/>
  <c r="AV338" i="3"/>
  <c r="AC338" i="3"/>
  <c r="H338" i="3"/>
  <c r="BT337" i="3"/>
  <c r="BS337" i="3"/>
  <c r="BL337" i="3" s="1"/>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L336" i="3" s="1"/>
  <c r="BQ336" i="3"/>
  <c r="BP336" i="3"/>
  <c r="BO336" i="3"/>
  <c r="BN336" i="3"/>
  <c r="BM336" i="3"/>
  <c r="BK336" i="3"/>
  <c r="BJ336" i="3"/>
  <c r="BI336" i="3"/>
  <c r="BA336" i="3" s="1"/>
  <c r="BH336" i="3"/>
  <c r="BG336" i="3"/>
  <c r="BF336" i="3"/>
  <c r="BE336" i="3"/>
  <c r="BD336" i="3"/>
  <c r="BC336" i="3"/>
  <c r="BB336" i="3"/>
  <c r="AX336" i="3"/>
  <c r="AW336" i="3"/>
  <c r="AV336" i="3"/>
  <c r="AC336" i="3"/>
  <c r="H336" i="3"/>
  <c r="BT335" i="3"/>
  <c r="BS335" i="3"/>
  <c r="BR335" i="3"/>
  <c r="BQ335" i="3"/>
  <c r="BL335" i="3" s="1"/>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L334" i="3" s="1"/>
  <c r="BO334" i="3"/>
  <c r="BN334" i="3"/>
  <c r="BM334" i="3"/>
  <c r="BK334" i="3"/>
  <c r="BJ334" i="3"/>
  <c r="BI334" i="3"/>
  <c r="BH334" i="3"/>
  <c r="BG334" i="3"/>
  <c r="BA334" i="3" s="1"/>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A328" i="3" s="1"/>
  <c r="BH328" i="3"/>
  <c r="BG328" i="3"/>
  <c r="BF328" i="3"/>
  <c r="BE328" i="3"/>
  <c r="BD328" i="3"/>
  <c r="BC328" i="3"/>
  <c r="BB328" i="3"/>
  <c r="AX328" i="3"/>
  <c r="AW328" i="3"/>
  <c r="AV328" i="3"/>
  <c r="AC328" i="3"/>
  <c r="H328" i="3"/>
  <c r="BT327" i="3"/>
  <c r="BS327" i="3"/>
  <c r="BR327" i="3"/>
  <c r="BQ327" i="3"/>
  <c r="BL327" i="3" s="1"/>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L326" i="3" s="1"/>
  <c r="BO326" i="3"/>
  <c r="BN326" i="3"/>
  <c r="BM326" i="3"/>
  <c r="BK326" i="3"/>
  <c r="BJ326" i="3"/>
  <c r="BI326" i="3"/>
  <c r="BH326" i="3"/>
  <c r="BG326" i="3"/>
  <c r="BA326" i="3" s="1"/>
  <c r="BF326" i="3"/>
  <c r="BE326" i="3"/>
  <c r="BD326" i="3"/>
  <c r="BC326" i="3"/>
  <c r="BB326" i="3"/>
  <c r="AX326" i="3"/>
  <c r="AW326" i="3"/>
  <c r="AV326" i="3"/>
  <c r="AC326" i="3"/>
  <c r="H326" i="3"/>
  <c r="BT325" i="3"/>
  <c r="BS325" i="3"/>
  <c r="BR325" i="3"/>
  <c r="BQ325" i="3"/>
  <c r="BP325" i="3"/>
  <c r="BO325" i="3"/>
  <c r="BL325" i="3" s="1"/>
  <c r="BN325" i="3"/>
  <c r="BM325" i="3"/>
  <c r="BK325" i="3"/>
  <c r="BJ325" i="3"/>
  <c r="BI325" i="3"/>
  <c r="BH325" i="3"/>
  <c r="BG325" i="3"/>
  <c r="BF325" i="3"/>
  <c r="BA325" i="3" s="1"/>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A324" i="3" s="1"/>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A322" i="3" s="1"/>
  <c r="BC322" i="3"/>
  <c r="BB322" i="3"/>
  <c r="AX322" i="3"/>
  <c r="AW322" i="3"/>
  <c r="AV322" i="3"/>
  <c r="AC322" i="3"/>
  <c r="H322" i="3"/>
  <c r="BT321" i="3"/>
  <c r="BL321" i="3" s="1"/>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L320" i="3" s="1"/>
  <c r="BR320" i="3"/>
  <c r="BQ320" i="3"/>
  <c r="BP320" i="3"/>
  <c r="BO320" i="3"/>
  <c r="BN320" i="3"/>
  <c r="BM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A314" i="3" s="1"/>
  <c r="BC314" i="3"/>
  <c r="BB314" i="3"/>
  <c r="AX314" i="3"/>
  <c r="AW314" i="3"/>
  <c r="AV314" i="3"/>
  <c r="AC314" i="3"/>
  <c r="H314" i="3"/>
  <c r="BT313" i="3"/>
  <c r="BL313" i="3" s="1"/>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L311" i="3" s="1"/>
  <c r="BQ311" i="3"/>
  <c r="BP311" i="3"/>
  <c r="BO311" i="3"/>
  <c r="BN311" i="3"/>
  <c r="BM311" i="3"/>
  <c r="BK311" i="3"/>
  <c r="BJ311" i="3"/>
  <c r="BI311" i="3"/>
  <c r="BA311" i="3" s="1"/>
  <c r="BH311" i="3"/>
  <c r="BG311" i="3"/>
  <c r="BF311" i="3"/>
  <c r="BE311" i="3"/>
  <c r="BD311" i="3"/>
  <c r="BC311" i="3"/>
  <c r="BB311" i="3"/>
  <c r="AX311" i="3"/>
  <c r="AW311" i="3"/>
  <c r="AV311" i="3"/>
  <c r="AC311" i="3"/>
  <c r="H311" i="3"/>
  <c r="BT310" i="3"/>
  <c r="BS310" i="3"/>
  <c r="BR310" i="3"/>
  <c r="BQ310" i="3"/>
  <c r="BL310" i="3" s="1"/>
  <c r="BP310" i="3"/>
  <c r="BO310" i="3"/>
  <c r="BN310" i="3"/>
  <c r="BM310" i="3"/>
  <c r="BK310" i="3"/>
  <c r="BJ310" i="3"/>
  <c r="BI310" i="3"/>
  <c r="BH310" i="3"/>
  <c r="BA310" i="3" s="1"/>
  <c r="AZ310" i="3" s="1"/>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A309" i="3" s="1"/>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A407" i="3" s="1"/>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S32" i="31" s="1"/>
  <c r="R33" i="31"/>
  <c r="R34" i="31"/>
  <c r="R35" i="31"/>
  <c r="R36" i="31"/>
  <c r="R37" i="31"/>
  <c r="S37" i="31" s="1"/>
  <c r="R38" i="31"/>
  <c r="S38" i="31" s="1"/>
  <c r="R39" i="31"/>
  <c r="S39" i="31" s="1"/>
  <c r="R40" i="31"/>
  <c r="S40" i="31" s="1"/>
  <c r="R41" i="31"/>
  <c r="R42" i="31"/>
  <c r="R43" i="31"/>
  <c r="R44" i="31"/>
  <c r="R45" i="31"/>
  <c r="R46" i="31"/>
  <c r="S46" i="31" s="1"/>
  <c r="R47" i="31"/>
  <c r="S47" i="31" s="1"/>
  <c r="R48" i="31"/>
  <c r="S48" i="31" s="1"/>
  <c r="R49" i="31"/>
  <c r="R50" i="31"/>
  <c r="R51" i="31"/>
  <c r="R52" i="31"/>
  <c r="R53" i="31"/>
  <c r="R54" i="31"/>
  <c r="S54" i="31" s="1"/>
  <c r="R55" i="31"/>
  <c r="S55" i="31" s="1"/>
  <c r="R56" i="31"/>
  <c r="S56" i="31" s="1"/>
  <c r="R57" i="31"/>
  <c r="R58" i="31"/>
  <c r="R59" i="31"/>
  <c r="R60" i="31"/>
  <c r="R61" i="31"/>
  <c r="S61" i="31" s="1"/>
  <c r="R62" i="31"/>
  <c r="R63" i="31"/>
  <c r="R64" i="31"/>
  <c r="S64" i="31" s="1"/>
  <c r="R65" i="31"/>
  <c r="R66" i="31"/>
  <c r="R67" i="31"/>
  <c r="R68" i="31"/>
  <c r="R69" i="31"/>
  <c r="S69" i="31" s="1"/>
  <c r="R70" i="31"/>
  <c r="R71" i="31"/>
  <c r="R72" i="31"/>
  <c r="R73" i="31"/>
  <c r="R74" i="31"/>
  <c r="R75" i="31"/>
  <c r="R76" i="31"/>
  <c r="R77" i="31"/>
  <c r="S77" i="31" s="1"/>
  <c r="R78" i="31"/>
  <c r="S78" i="31" s="1"/>
  <c r="R79" i="31"/>
  <c r="S79" i="31" s="1"/>
  <c r="R80" i="31"/>
  <c r="S80" i="31" s="1"/>
  <c r="R81" i="31"/>
  <c r="S81" i="31" s="1"/>
  <c r="R82" i="31"/>
  <c r="R83" i="31"/>
  <c r="R84" i="31"/>
  <c r="R85" i="31"/>
  <c r="R86" i="31"/>
  <c r="R87" i="31"/>
  <c r="S87" i="31" s="1"/>
  <c r="R88" i="31"/>
  <c r="S88" i="31" s="1"/>
  <c r="R89" i="31"/>
  <c r="S89" i="31" s="1"/>
  <c r="R90" i="31"/>
  <c r="R91" i="31"/>
  <c r="R92" i="31"/>
  <c r="R93" i="31"/>
  <c r="R94" i="31"/>
  <c r="R95" i="31"/>
  <c r="R96" i="31"/>
  <c r="S96" i="31" s="1"/>
  <c r="R97" i="31"/>
  <c r="S97" i="31" s="1"/>
  <c r="R98" i="31"/>
  <c r="R99" i="31"/>
  <c r="R100" i="31"/>
  <c r="R101" i="31"/>
  <c r="S101" i="31" s="1"/>
  <c r="R102" i="31"/>
  <c r="S102" i="31" s="1"/>
  <c r="R103" i="31"/>
  <c r="S103" i="31" s="1"/>
  <c r="R104" i="31"/>
  <c r="S104" i="31" s="1"/>
  <c r="R105" i="31"/>
  <c r="R106" i="31"/>
  <c r="R107" i="31"/>
  <c r="R108" i="31"/>
  <c r="R109" i="31"/>
  <c r="S109" i="31" s="1"/>
  <c r="R110" i="31"/>
  <c r="S110" i="31" s="1"/>
  <c r="R111" i="31"/>
  <c r="S111" i="31" s="1"/>
  <c r="R112" i="31"/>
  <c r="S112" i="31" s="1"/>
  <c r="R113" i="31"/>
  <c r="S113" i="31" s="1"/>
  <c r="R114" i="31"/>
  <c r="R115" i="31"/>
  <c r="R116" i="31"/>
  <c r="R117" i="31"/>
  <c r="R118" i="31"/>
  <c r="R119" i="31"/>
  <c r="R120" i="31"/>
  <c r="S120" i="31" s="1"/>
  <c r="R121" i="31"/>
  <c r="S121" i="31" s="1"/>
  <c r="R122" i="31"/>
  <c r="R123" i="31"/>
  <c r="R124" i="31"/>
  <c r="R125" i="31"/>
  <c r="R126" i="31"/>
  <c r="R127" i="31"/>
  <c r="S127" i="31" s="1"/>
  <c r="R128" i="31"/>
  <c r="S128" i="31" s="1"/>
  <c r="R129" i="31"/>
  <c r="R130" i="31"/>
  <c r="R131" i="31"/>
  <c r="R132" i="31"/>
  <c r="R133" i="31"/>
  <c r="R134" i="31"/>
  <c r="R135" i="31"/>
  <c r="S135" i="31" s="1"/>
  <c r="R136" i="31"/>
  <c r="S136" i="31" s="1"/>
  <c r="R137" i="31"/>
  <c r="R138" i="31"/>
  <c r="R139" i="31"/>
  <c r="R140" i="31"/>
  <c r="R141" i="31"/>
  <c r="R142" i="31"/>
  <c r="R143" i="31"/>
  <c r="S143" i="31" s="1"/>
  <c r="R144" i="31"/>
  <c r="S144" i="31" s="1"/>
  <c r="R145" i="31"/>
  <c r="R146" i="31"/>
  <c r="R147" i="31"/>
  <c r="R148" i="31"/>
  <c r="R149" i="31"/>
  <c r="R150" i="31"/>
  <c r="R151" i="31"/>
  <c r="S151" i="31" s="1"/>
  <c r="R152" i="31"/>
  <c r="S152" i="31" s="1"/>
  <c r="R153" i="31"/>
  <c r="R154" i="31"/>
  <c r="R155" i="31"/>
  <c r="R156" i="31"/>
  <c r="R157" i="31"/>
  <c r="R158" i="31"/>
  <c r="R159" i="31"/>
  <c r="S159" i="31" s="1"/>
  <c r="R160" i="31"/>
  <c r="S160" i="31" s="1"/>
  <c r="R161" i="31"/>
  <c r="R162" i="31"/>
  <c r="R163" i="31"/>
  <c r="R164" i="31"/>
  <c r="R165" i="31"/>
  <c r="R166" i="31"/>
  <c r="R167" i="31"/>
  <c r="S167" i="31" s="1"/>
  <c r="R168" i="31"/>
  <c r="S168" i="31" s="1"/>
  <c r="R169" i="31"/>
  <c r="R170" i="31"/>
  <c r="R171" i="31"/>
  <c r="R172" i="31"/>
  <c r="R173" i="31"/>
  <c r="R174" i="31"/>
  <c r="R175" i="31"/>
  <c r="S175" i="31" s="1"/>
  <c r="R176" i="31"/>
  <c r="S176" i="31" s="1"/>
  <c r="R177" i="31"/>
  <c r="R178" i="31"/>
  <c r="R179" i="31"/>
  <c r="R180" i="31"/>
  <c r="R181" i="31"/>
  <c r="R182" i="31"/>
  <c r="R183" i="31"/>
  <c r="S183" i="31" s="1"/>
  <c r="R184" i="31"/>
  <c r="S184" i="31" s="1"/>
  <c r="R185" i="31"/>
  <c r="R186" i="31"/>
  <c r="R187" i="31"/>
  <c r="R188" i="31"/>
  <c r="R189" i="31"/>
  <c r="R190" i="31"/>
  <c r="R191" i="31"/>
  <c r="S191" i="31" s="1"/>
  <c r="R192" i="31"/>
  <c r="S192" i="31" s="1"/>
  <c r="R193" i="31"/>
  <c r="R194" i="31"/>
  <c r="R195" i="31"/>
  <c r="R196" i="31"/>
  <c r="R197" i="31"/>
  <c r="R198" i="31"/>
  <c r="R199" i="31"/>
  <c r="S199" i="31" s="1"/>
  <c r="R200" i="31"/>
  <c r="S200" i="31" s="1"/>
  <c r="R201" i="31"/>
  <c r="R202" i="31"/>
  <c r="R203" i="31"/>
  <c r="R204" i="31"/>
  <c r="R205" i="31"/>
  <c r="R206" i="31"/>
  <c r="R207" i="31"/>
  <c r="S207" i="31" s="1"/>
  <c r="R208" i="31"/>
  <c r="S208" i="31" s="1"/>
  <c r="R209" i="31"/>
  <c r="R210" i="31"/>
  <c r="R211" i="31"/>
  <c r="R212" i="31"/>
  <c r="R213" i="31"/>
  <c r="R214" i="31"/>
  <c r="R215" i="31"/>
  <c r="S215" i="31" s="1"/>
  <c r="R216" i="31"/>
  <c r="S216" i="31" s="1"/>
  <c r="R217" i="31"/>
  <c r="R218" i="31"/>
  <c r="R219" i="31"/>
  <c r="R220" i="31"/>
  <c r="R221" i="31"/>
  <c r="R222" i="31"/>
  <c r="R223" i="31"/>
  <c r="S223" i="31" s="1"/>
  <c r="R224" i="31"/>
  <c r="R225" i="31"/>
  <c r="R226" i="31"/>
  <c r="R227" i="31"/>
  <c r="R228" i="31"/>
  <c r="R229" i="31"/>
  <c r="S229" i="31" s="1"/>
  <c r="R230" i="31"/>
  <c r="S230" i="31" s="1"/>
  <c r="R231" i="31"/>
  <c r="S231" i="31" s="1"/>
  <c r="R232" i="31"/>
  <c r="S232" i="31" s="1"/>
  <c r="R233" i="31"/>
  <c r="R234" i="31"/>
  <c r="R235" i="31"/>
  <c r="R236" i="31"/>
  <c r="R237" i="31"/>
  <c r="R238" i="31"/>
  <c r="S238" i="31" s="1"/>
  <c r="R239" i="31"/>
  <c r="S239" i="31" s="1"/>
  <c r="R240" i="31"/>
  <c r="S240" i="31" s="1"/>
  <c r="R241" i="31"/>
  <c r="R242" i="31"/>
  <c r="R243" i="31"/>
  <c r="R244" i="31"/>
  <c r="R245" i="31"/>
  <c r="R246" i="31"/>
  <c r="S246" i="31" s="1"/>
  <c r="R247" i="31"/>
  <c r="S247" i="31" s="1"/>
  <c r="R248" i="31"/>
  <c r="R249" i="31"/>
  <c r="R250" i="31"/>
  <c r="R251" i="31"/>
  <c r="R252" i="31"/>
  <c r="R253" i="31"/>
  <c r="R254" i="31"/>
  <c r="S254" i="31" s="1"/>
  <c r="R255" i="31"/>
  <c r="S255" i="31" s="1"/>
  <c r="R256" i="31"/>
  <c r="S256" i="31" s="1"/>
  <c r="R257" i="31"/>
  <c r="S257" i="31" s="1"/>
  <c r="R258" i="31"/>
  <c r="R259" i="31"/>
  <c r="S259" i="31" s="1"/>
  <c r="R260" i="31"/>
  <c r="R261" i="31"/>
  <c r="S261" i="31" s="1"/>
  <c r="R262" i="31"/>
  <c r="R263" i="31"/>
  <c r="S263" i="31" s="1"/>
  <c r="R264" i="31"/>
  <c r="R265" i="31"/>
  <c r="S265" i="31" s="1"/>
  <c r="R266" i="31"/>
  <c r="R267" i="31"/>
  <c r="S267" i="31" s="1"/>
  <c r="R268" i="31"/>
  <c r="R269" i="31"/>
  <c r="S269" i="31" s="1"/>
  <c r="R270" i="31"/>
  <c r="S270" i="31" s="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S286" i="31" s="1"/>
  <c r="R287" i="31"/>
  <c r="S287" i="31" s="1"/>
  <c r="R288" i="31"/>
  <c r="S288" i="31" s="1"/>
  <c r="R289" i="31"/>
  <c r="S289" i="31" s="1"/>
  <c r="R290" i="31"/>
  <c r="R291" i="31"/>
  <c r="S291" i="31" s="1"/>
  <c r="R292" i="31"/>
  <c r="S292" i="31" s="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S308" i="31" s="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S324" i="31" s="1"/>
  <c r="R325" i="31"/>
  <c r="S325" i="31" s="1"/>
  <c r="R326" i="31"/>
  <c r="S326" i="31" s="1"/>
  <c r="R327" i="31"/>
  <c r="S327" i="31" s="1"/>
  <c r="R328" i="31"/>
  <c r="R329" i="31"/>
  <c r="S329" i="31" s="1"/>
  <c r="R330" i="31"/>
  <c r="R331" i="31"/>
  <c r="S331" i="31" s="1"/>
  <c r="R332" i="31"/>
  <c r="S332" i="31" s="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S348" i="31" s="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R377" i="31"/>
  <c r="S377" i="31" s="1"/>
  <c r="R378" i="31"/>
  <c r="R379" i="31"/>
  <c r="S379" i="31" s="1"/>
  <c r="R380" i="31"/>
  <c r="S380" i="31" s="1"/>
  <c r="R381" i="31"/>
  <c r="S381" i="31" s="1"/>
  <c r="R382" i="31"/>
  <c r="S382" i="31" s="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R419" i="31"/>
  <c r="S419" i="31" s="1"/>
  <c r="R420" i="31"/>
  <c r="R421" i="31"/>
  <c r="S421" i="31" s="1"/>
  <c r="R422" i="31"/>
  <c r="R423" i="31"/>
  <c r="S423" i="31" s="1"/>
  <c r="R424" i="31"/>
  <c r="R425" i="31"/>
  <c r="R426" i="31"/>
  <c r="S426" i="31" s="1"/>
  <c r="R427" i="31"/>
  <c r="S427" i="31" s="1"/>
  <c r="R428" i="31"/>
  <c r="R429" i="31"/>
  <c r="S429" i="31" s="1"/>
  <c r="R430" i="31"/>
  <c r="R431" i="31"/>
  <c r="R432" i="31"/>
  <c r="R433" i="31"/>
  <c r="R434" i="31"/>
  <c r="R435" i="31"/>
  <c r="S435" i="31" s="1"/>
  <c r="R436" i="31"/>
  <c r="S436" i="31" s="1"/>
  <c r="R437" i="31"/>
  <c r="R438" i="31"/>
  <c r="R439" i="31"/>
  <c r="R440" i="31"/>
  <c r="R441" i="31"/>
  <c r="R442" i="31"/>
  <c r="R443" i="31"/>
  <c r="S443" i="31" s="1"/>
  <c r="R444" i="31"/>
  <c r="S444" i="31" s="1"/>
  <c r="R445" i="31"/>
  <c r="S445" i="31" s="1"/>
  <c r="R446" i="31"/>
  <c r="R447" i="31"/>
  <c r="R448" i="31"/>
  <c r="R449" i="31"/>
  <c r="R450" i="31"/>
  <c r="S450" i="31" s="1"/>
  <c r="R451" i="31"/>
  <c r="R452" i="31"/>
  <c r="R453" i="31"/>
  <c r="S453" i="31" s="1"/>
  <c r="R454" i="31"/>
  <c r="R455" i="31"/>
  <c r="R456" i="31"/>
  <c r="R457" i="31"/>
  <c r="R458" i="31"/>
  <c r="S458" i="31" s="1"/>
  <c r="R459" i="31"/>
  <c r="R460" i="31"/>
  <c r="R461" i="31"/>
  <c r="S461" i="31" s="1"/>
  <c r="R462" i="31"/>
  <c r="R463" i="31"/>
  <c r="R464" i="31"/>
  <c r="R465" i="31"/>
  <c r="R466" i="31"/>
  <c r="S466" i="31" s="1"/>
  <c r="R467" i="31"/>
  <c r="R468" i="31"/>
  <c r="R469" i="31"/>
  <c r="S469" i="31" s="1"/>
  <c r="R470" i="31"/>
  <c r="R471" i="31"/>
  <c r="R472" i="31"/>
  <c r="R473" i="31"/>
  <c r="R474" i="31"/>
  <c r="S474" i="31" s="1"/>
  <c r="R475" i="31"/>
  <c r="S475" i="31" s="1"/>
  <c r="R476" i="31"/>
  <c r="S476" i="31" s="1"/>
  <c r="R477" i="31"/>
  <c r="S477" i="31" s="1"/>
  <c r="R478" i="31"/>
  <c r="R479" i="31"/>
  <c r="R480" i="31"/>
  <c r="R481" i="31"/>
  <c r="R482" i="31"/>
  <c r="S482" i="31" s="1"/>
  <c r="R483" i="31"/>
  <c r="S483" i="31" s="1"/>
  <c r="R484" i="31"/>
  <c r="S484" i="31" s="1"/>
  <c r="R485" i="31"/>
  <c r="S485" i="31" s="1"/>
  <c r="R486" i="31"/>
  <c r="R487" i="31"/>
  <c r="R488" i="31"/>
  <c r="R489" i="31"/>
  <c r="R490" i="31"/>
  <c r="S490" i="31" s="1"/>
  <c r="R491" i="31"/>
  <c r="S491" i="31" s="1"/>
  <c r="R492" i="31"/>
  <c r="R493" i="31"/>
  <c r="R494" i="31"/>
  <c r="R495" i="31"/>
  <c r="R496" i="31"/>
  <c r="R497" i="31"/>
  <c r="R498" i="31"/>
  <c r="R499" i="31"/>
  <c r="R500" i="31"/>
  <c r="R501" i="31"/>
  <c r="R502" i="31"/>
  <c r="R503" i="31"/>
  <c r="R504" i="31"/>
  <c r="R505" i="31"/>
  <c r="R506" i="31"/>
  <c r="S506" i="31" s="1"/>
  <c r="R507" i="31"/>
  <c r="S507" i="31" s="1"/>
  <c r="R508" i="31"/>
  <c r="S508" i="31" s="1"/>
  <c r="R509" i="31"/>
  <c r="S509" i="31" s="1"/>
  <c r="R510" i="31"/>
  <c r="R511" i="31"/>
  <c r="R512" i="31"/>
  <c r="R513" i="31"/>
  <c r="R514" i="31"/>
  <c r="S514" i="31" s="1"/>
  <c r="R515" i="31"/>
  <c r="R516" i="31"/>
  <c r="S516" i="31" s="1"/>
  <c r="R517" i="31"/>
  <c r="S517" i="31" s="1"/>
  <c r="R518" i="31"/>
  <c r="R519" i="31"/>
  <c r="R520" i="3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L13" i="3" s="1"/>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08" i="31"/>
  <c r="S406" i="31"/>
  <c r="S404" i="31"/>
  <c r="S402" i="31"/>
  <c r="S400" i="31"/>
  <c r="S394" i="31"/>
  <c r="S392" i="31"/>
  <c r="S390" i="31"/>
  <c r="S386" i="31"/>
  <c r="S384" i="31"/>
  <c r="S378" i="31"/>
  <c r="S376" i="31"/>
  <c r="S374" i="31"/>
  <c r="S368" i="31"/>
  <c r="S362" i="31"/>
  <c r="S360" i="31"/>
  <c r="S358" i="31"/>
  <c r="S356" i="31"/>
  <c r="S354" i="31"/>
  <c r="S352" i="31"/>
  <c r="S346" i="31"/>
  <c r="S344" i="31"/>
  <c r="S340" i="31"/>
  <c r="S338" i="31"/>
  <c r="S336" i="31"/>
  <c r="S330" i="31"/>
  <c r="S328" i="31"/>
  <c r="S322" i="31"/>
  <c r="S424" i="31"/>
  <c r="S320" i="31"/>
  <c r="S316" i="31"/>
  <c r="S314" i="31"/>
  <c r="S312" i="31"/>
  <c r="S306" i="31"/>
  <c r="S304" i="31"/>
  <c r="S300" i="31"/>
  <c r="S298" i="31"/>
  <c r="S296" i="31"/>
  <c r="S290" i="31"/>
  <c r="S284" i="31"/>
  <c r="S282" i="31"/>
  <c r="S278" i="31"/>
  <c r="S276" i="31"/>
  <c r="S274" i="31"/>
  <c r="S268" i="31"/>
  <c r="S266" i="31"/>
  <c r="S264" i="31"/>
  <c r="S262" i="31"/>
  <c r="S260" i="31"/>
  <c r="S258" i="31"/>
  <c r="S253" i="31"/>
  <c r="S252" i="31"/>
  <c r="S251" i="31"/>
  <c r="S250" i="31"/>
  <c r="S249" i="31"/>
  <c r="S248" i="31"/>
  <c r="S245" i="31"/>
  <c r="S244" i="31"/>
  <c r="S243" i="31"/>
  <c r="S242" i="31"/>
  <c r="S241" i="31"/>
  <c r="S237" i="31"/>
  <c r="S236" i="31"/>
  <c r="S235" i="31"/>
  <c r="S234" i="31"/>
  <c r="S233" i="31"/>
  <c r="S228" i="31"/>
  <c r="S227" i="31"/>
  <c r="S226" i="31"/>
  <c r="S225" i="31"/>
  <c r="S224" i="31"/>
  <c r="S428" i="31"/>
  <c r="S425" i="31"/>
  <c r="S222" i="31"/>
  <c r="S221" i="31"/>
  <c r="S220" i="31"/>
  <c r="S219" i="31"/>
  <c r="S218" i="31"/>
  <c r="S217" i="31"/>
  <c r="S214" i="31"/>
  <c r="S213" i="31"/>
  <c r="S212" i="31"/>
  <c r="S211" i="31"/>
  <c r="S210" i="31"/>
  <c r="S209" i="31"/>
  <c r="S206" i="31"/>
  <c r="S205" i="31"/>
  <c r="S204" i="31"/>
  <c r="S203" i="31"/>
  <c r="S202" i="31"/>
  <c r="S201" i="31"/>
  <c r="S198" i="31"/>
  <c r="S197" i="31"/>
  <c r="S196" i="31"/>
  <c r="S195" i="31"/>
  <c r="S194" i="31"/>
  <c r="S193" i="31"/>
  <c r="S190" i="31"/>
  <c r="S189" i="31"/>
  <c r="S188" i="31"/>
  <c r="S187" i="31"/>
  <c r="S186" i="31"/>
  <c r="S185" i="31"/>
  <c r="S182" i="31"/>
  <c r="S181" i="31"/>
  <c r="S180" i="31"/>
  <c r="S179" i="31"/>
  <c r="S178" i="31"/>
  <c r="S177" i="31"/>
  <c r="S174" i="31"/>
  <c r="S173" i="31"/>
  <c r="S172" i="31"/>
  <c r="S171" i="31"/>
  <c r="S170" i="31"/>
  <c r="S169" i="31"/>
  <c r="S166" i="31"/>
  <c r="S165" i="31"/>
  <c r="S164" i="31"/>
  <c r="S163" i="31"/>
  <c r="S162" i="31"/>
  <c r="S161" i="31"/>
  <c r="S158" i="31"/>
  <c r="S157" i="31"/>
  <c r="S156" i="31"/>
  <c r="S155" i="31"/>
  <c r="S154" i="31"/>
  <c r="S153" i="31"/>
  <c r="S150" i="31"/>
  <c r="S149" i="31"/>
  <c r="S148" i="31"/>
  <c r="S147" i="31"/>
  <c r="S146" i="31"/>
  <c r="S145" i="31"/>
  <c r="S142" i="31"/>
  <c r="S141" i="31"/>
  <c r="S140" i="31"/>
  <c r="S139" i="31"/>
  <c r="S138" i="31"/>
  <c r="S137" i="31"/>
  <c r="S134" i="31"/>
  <c r="S133" i="31"/>
  <c r="S132" i="31"/>
  <c r="S131" i="31"/>
  <c r="S130" i="31"/>
  <c r="S129" i="31"/>
  <c r="S126" i="31"/>
  <c r="S125" i="31"/>
  <c r="S124" i="31"/>
  <c r="S123" i="31"/>
  <c r="S497" i="31"/>
  <c r="S496" i="31"/>
  <c r="S495" i="31"/>
  <c r="S494" i="31"/>
  <c r="S493" i="31"/>
  <c r="S492" i="31"/>
  <c r="S489" i="31"/>
  <c r="S488" i="31"/>
  <c r="S487" i="31"/>
  <c r="S486" i="31"/>
  <c r="S481" i="31"/>
  <c r="S480" i="31"/>
  <c r="S479" i="31"/>
  <c r="S478" i="31"/>
  <c r="S473" i="31"/>
  <c r="S472" i="31"/>
  <c r="S471" i="31"/>
  <c r="S470" i="31"/>
  <c r="S468" i="31"/>
  <c r="S442" i="31"/>
  <c r="S441" i="31"/>
  <c r="S440" i="31"/>
  <c r="S439" i="31"/>
  <c r="S438" i="31"/>
  <c r="S437" i="31"/>
  <c r="S434" i="31"/>
  <c r="S433" i="31"/>
  <c r="S432" i="31"/>
  <c r="S431" i="31"/>
  <c r="S430" i="31"/>
  <c r="S122" i="31"/>
  <c r="S119" i="31"/>
  <c r="S118" i="31"/>
  <c r="S117" i="31"/>
  <c r="S116" i="31"/>
  <c r="S115" i="31"/>
  <c r="S114" i="31"/>
  <c r="S504" i="31"/>
  <c r="S502" i="31"/>
  <c r="S500" i="31"/>
  <c r="S498" i="31"/>
  <c r="S467" i="31"/>
  <c r="S465" i="31"/>
  <c r="S464" i="31"/>
  <c r="S463" i="31"/>
  <c r="S462" i="31"/>
  <c r="S460" i="31"/>
  <c r="S459" i="31"/>
  <c r="S457" i="31"/>
  <c r="S456" i="31"/>
  <c r="S455" i="31"/>
  <c r="S454" i="31"/>
  <c r="S452" i="31"/>
  <c r="S451" i="31"/>
  <c r="S53" i="31"/>
  <c r="S52" i="31"/>
  <c r="S51" i="31"/>
  <c r="S50" i="31"/>
  <c r="S49" i="31"/>
  <c r="S45" i="31"/>
  <c r="S44" i="31"/>
  <c r="S43" i="31"/>
  <c r="S42" i="31"/>
  <c r="S41" i="31"/>
  <c r="S36" i="31"/>
  <c r="S35" i="31"/>
  <c r="S34" i="31"/>
  <c r="S33" i="31"/>
  <c r="S76" i="31"/>
  <c r="S75" i="31"/>
  <c r="S74" i="31"/>
  <c r="S73" i="31"/>
  <c r="S72" i="31"/>
  <c r="S71" i="31"/>
  <c r="S70" i="31"/>
  <c r="S68" i="31"/>
  <c r="S67" i="31"/>
  <c r="S66" i="31"/>
  <c r="S65" i="31"/>
  <c r="S63" i="31"/>
  <c r="S62" i="31"/>
  <c r="S60" i="31"/>
  <c r="S59" i="31"/>
  <c r="S58" i="31"/>
  <c r="S57" i="31"/>
  <c r="S24" i="31"/>
  <c r="S95" i="31"/>
  <c r="S94" i="31"/>
  <c r="S93" i="31"/>
  <c r="S92" i="31"/>
  <c r="S91" i="31"/>
  <c r="S90" i="31"/>
  <c r="S86" i="31"/>
  <c r="S85" i="31"/>
  <c r="S84" i="31"/>
  <c r="S83" i="31"/>
  <c r="S82" i="31"/>
  <c r="S30" i="31"/>
  <c r="S29" i="31"/>
  <c r="S98" i="31"/>
  <c r="S99" i="31"/>
  <c r="S100" i="31"/>
  <c r="S105" i="31"/>
  <c r="S106" i="31"/>
  <c r="S107" i="31"/>
  <c r="S108" i="31"/>
  <c r="S446" i="31"/>
  <c r="S447" i="31"/>
  <c r="S448" i="31"/>
  <c r="S449" i="31"/>
  <c r="S510"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A493" i="3" s="1"/>
  <c r="BG493" i="3"/>
  <c r="BH493" i="3"/>
  <c r="BI493" i="3"/>
  <c r="BJ493" i="3"/>
  <c r="BK493" i="3"/>
  <c r="BM493" i="3"/>
  <c r="BN493" i="3"/>
  <c r="BO493" i="3"/>
  <c r="BL493" i="3" s="1"/>
  <c r="AZ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AZ496" i="3" s="1"/>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A499" i="3" s="1"/>
  <c r="AZ499" i="3" s="1"/>
  <c r="BJ499" i="3"/>
  <c r="BK499" i="3"/>
  <c r="BM499" i="3"/>
  <c r="BN499" i="3"/>
  <c r="BO499" i="3"/>
  <c r="BP499" i="3"/>
  <c r="BR499" i="3"/>
  <c r="BS499" i="3"/>
  <c r="BT499" i="3"/>
  <c r="H500" i="3"/>
  <c r="AC500" i="3"/>
  <c r="BB500" i="3"/>
  <c r="BC500" i="3"/>
  <c r="BD500" i="3"/>
  <c r="BE500" i="3"/>
  <c r="BF500" i="3"/>
  <c r="BA500" i="3" s="1"/>
  <c r="AZ500" i="3" s="1"/>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A504" i="3" s="1"/>
  <c r="BI504" i="3"/>
  <c r="BJ504" i="3"/>
  <c r="BK504" i="3"/>
  <c r="BM504" i="3"/>
  <c r="BN504" i="3"/>
  <c r="BO504" i="3"/>
  <c r="BP504" i="3"/>
  <c r="BQ504" i="3"/>
  <c r="BL504" i="3" s="1"/>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A506" i="3" s="1"/>
  <c r="BJ506" i="3"/>
  <c r="BK506" i="3"/>
  <c r="BM506" i="3"/>
  <c r="BN506" i="3"/>
  <c r="BO506" i="3"/>
  <c r="BP506" i="3"/>
  <c r="BQ506" i="3"/>
  <c r="BR506" i="3"/>
  <c r="BL506" i="3" s="1"/>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A510" i="3" s="1"/>
  <c r="AZ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A513" i="3" s="1"/>
  <c r="BJ513" i="3"/>
  <c r="BK513" i="3"/>
  <c r="BM513" i="3"/>
  <c r="BN513" i="3"/>
  <c r="BO513" i="3"/>
  <c r="BP513" i="3"/>
  <c r="BR513" i="3"/>
  <c r="BS513" i="3"/>
  <c r="BT513" i="3"/>
  <c r="H514" i="3"/>
  <c r="AC514" i="3"/>
  <c r="G514" i="3" s="1"/>
  <c r="BB514" i="3"/>
  <c r="BC514" i="3"/>
  <c r="BD514" i="3"/>
  <c r="BE514" i="3"/>
  <c r="BF514" i="3"/>
  <c r="BA514" i="3" s="1"/>
  <c r="BG514" i="3"/>
  <c r="BH514" i="3"/>
  <c r="BI514" i="3"/>
  <c r="BJ514" i="3"/>
  <c r="BK514" i="3"/>
  <c r="BM514" i="3"/>
  <c r="BN514" i="3"/>
  <c r="BO514" i="3"/>
  <c r="BL514" i="3" s="1"/>
  <c r="AZ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A523" i="3" s="1"/>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A527" i="3" s="1"/>
  <c r="BJ527" i="3"/>
  <c r="BK527" i="3"/>
  <c r="BM527" i="3"/>
  <c r="BN527" i="3"/>
  <c r="BO527" i="3"/>
  <c r="BP527" i="3"/>
  <c r="BR527" i="3"/>
  <c r="BS527" i="3"/>
  <c r="BT527" i="3"/>
  <c r="H528" i="3"/>
  <c r="AC528" i="3"/>
  <c r="G528" i="3" s="1"/>
  <c r="BB528" i="3"/>
  <c r="BC528" i="3"/>
  <c r="BD528" i="3"/>
  <c r="BE528" i="3"/>
  <c r="BF528" i="3"/>
  <c r="BA528" i="3" s="1"/>
  <c r="AZ528" i="3" s="1"/>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A530" i="3" s="1"/>
  <c r="AZ530" i="3" s="1"/>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A532" i="3" s="1"/>
  <c r="AZ532" i="3" s="1"/>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A541" i="3" s="1"/>
  <c r="BI541" i="3"/>
  <c r="BJ541" i="3"/>
  <c r="BK541" i="3"/>
  <c r="BM541" i="3"/>
  <c r="BN541" i="3"/>
  <c r="BO541" i="3"/>
  <c r="BP541" i="3"/>
  <c r="BR541" i="3"/>
  <c r="BS541" i="3"/>
  <c r="BT541" i="3"/>
  <c r="H542" i="3"/>
  <c r="G542" i="3" s="1"/>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A543" i="3" s="1"/>
  <c r="BJ543" i="3"/>
  <c r="BK543" i="3"/>
  <c r="BM543" i="3"/>
  <c r="BN543" i="3"/>
  <c r="BO543" i="3"/>
  <c r="BP543" i="3"/>
  <c r="BR543" i="3"/>
  <c r="BS543" i="3"/>
  <c r="BT543" i="3"/>
  <c r="H544" i="3"/>
  <c r="AC544" i="3"/>
  <c r="BB544" i="3"/>
  <c r="BC544" i="3"/>
  <c r="BD544" i="3"/>
  <c r="BE544" i="3"/>
  <c r="BF544" i="3"/>
  <c r="BA544" i="3" s="1"/>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BL545" i="3" s="1"/>
  <c r="H546" i="3"/>
  <c r="AC546" i="3"/>
  <c r="BB546" i="3"/>
  <c r="BC546" i="3"/>
  <c r="BD546" i="3"/>
  <c r="BE546" i="3"/>
  <c r="BF546" i="3"/>
  <c r="BG546" i="3"/>
  <c r="BA546" i="3" s="1"/>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A553" i="3" s="1"/>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A555" i="3" s="1"/>
  <c r="BH555" i="3"/>
  <c r="BI555" i="3"/>
  <c r="BJ555" i="3"/>
  <c r="BK555" i="3"/>
  <c r="BM555" i="3"/>
  <c r="BN555" i="3"/>
  <c r="BO555" i="3"/>
  <c r="BP555" i="3"/>
  <c r="BL555" i="3" s="1"/>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L556" i="3" s="1"/>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A565" i="3" s="1"/>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L567" i="3" s="1"/>
  <c r="BN567" i="3"/>
  <c r="BO567" i="3"/>
  <c r="BP567" i="3"/>
  <c r="BR567" i="3"/>
  <c r="BS567" i="3"/>
  <c r="BT567" i="3"/>
  <c r="H568" i="3"/>
  <c r="AC568" i="3"/>
  <c r="BB568" i="3"/>
  <c r="BC568" i="3"/>
  <c r="BA568" i="3" s="1"/>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A576" i="3" s="1"/>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A578" i="3" s="1"/>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H42" i="34"/>
  <c r="J42" i="34"/>
  <c r="W42" i="34" s="1"/>
  <c r="F42" i="34"/>
  <c r="S42" i="34" s="1"/>
  <c r="J38" i="34"/>
  <c r="W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c r="D111" i="33"/>
  <c r="E111" i="33" s="1"/>
  <c r="F111" i="33" s="1"/>
  <c r="S515" i="31"/>
  <c r="S518" i="31"/>
  <c r="S519" i="31"/>
  <c r="S520" i="31"/>
  <c r="S521" i="31"/>
  <c r="S522" i="31"/>
  <c r="S523"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H38" i="40" s="1"/>
  <c r="AB38" i="40" s="1"/>
  <c r="D115" i="40"/>
  <c r="E115" i="40" s="1"/>
  <c r="F115" i="40" s="1"/>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E103"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G73" i="37" s="1"/>
  <c r="D71" i="37"/>
  <c r="B68"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c r="Q33" i="36"/>
  <c r="Z33" i="36" s="1"/>
  <c r="Q32" i="36"/>
  <c r="Z32" i="36"/>
  <c r="Q31" i="36"/>
  <c r="Z31" i="36" s="1"/>
  <c r="Q30" i="36"/>
  <c r="Z30" i="36" s="1"/>
  <c r="Q29" i="36"/>
  <c r="Z29" i="36" s="1"/>
  <c r="Q28" i="36"/>
  <c r="Z28" i="36" s="1"/>
  <c r="J28" i="36"/>
  <c r="Q27" i="36"/>
  <c r="Z27" i="36" s="1"/>
  <c r="Q26" i="36"/>
  <c r="Z26" i="36" s="1"/>
  <c r="H26" i="36"/>
  <c r="AB26" i="36" s="1"/>
  <c r="Q25" i="36"/>
  <c r="Z25" i="36" s="1"/>
  <c r="Q24" i="36"/>
  <c r="Z24" i="36"/>
  <c r="Q23" i="36"/>
  <c r="Z23" i="36" s="1"/>
  <c r="J23" i="36"/>
  <c r="AC23" i="36" s="1"/>
  <c r="Q22" i="36"/>
  <c r="Z22" i="36" s="1"/>
  <c r="J22" i="36"/>
  <c r="AC22" i="36"/>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H34" i="35" s="1"/>
  <c r="B77" i="35"/>
  <c r="J25" i="35" s="1"/>
  <c r="B75" i="35"/>
  <c r="B73" i="35"/>
  <c r="J23" i="35" s="1"/>
  <c r="AC23" i="35" s="1"/>
  <c r="B57" i="35"/>
  <c r="B61" i="35"/>
  <c r="B59" i="35"/>
  <c r="F12" i="35" s="1"/>
  <c r="B131" i="34"/>
  <c r="B129" i="34"/>
  <c r="H46" i="34" s="1"/>
  <c r="U46" i="34" s="1"/>
  <c r="B127" i="34"/>
  <c r="H45" i="34" s="1"/>
  <c r="B99" i="34"/>
  <c r="J32" i="34" s="1"/>
  <c r="B97" i="34"/>
  <c r="B95" i="34"/>
  <c r="B93" i="34"/>
  <c r="B75" i="34"/>
  <c r="B73" i="34"/>
  <c r="H13" i="34" s="1"/>
  <c r="U13" i="34" s="1"/>
  <c r="B71" i="34"/>
  <c r="B130" i="33"/>
  <c r="J46" i="33" s="1"/>
  <c r="AC46" i="33" s="1"/>
  <c r="B128" i="33"/>
  <c r="J45" i="33" s="1"/>
  <c r="W45" i="33" s="1"/>
  <c r="B126" i="33"/>
  <c r="B98" i="33"/>
  <c r="B96" i="33"/>
  <c r="B94" i="33"/>
  <c r="B74" i="33"/>
  <c r="J14" i="33" s="1"/>
  <c r="B72" i="33"/>
  <c r="B70" i="33"/>
  <c r="H12" i="33" s="1"/>
  <c r="U12" i="33" s="1"/>
  <c r="J12" i="33"/>
  <c r="W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A40" i="33"/>
  <c r="Q39" i="33"/>
  <c r="Z39" i="33" s="1"/>
  <c r="J39" i="33"/>
  <c r="AC39" i="33" s="1"/>
  <c r="Q38" i="33"/>
  <c r="Z38" i="33"/>
  <c r="J38" i="33"/>
  <c r="H38" i="33"/>
  <c r="AB38" i="33"/>
  <c r="F38" i="33"/>
  <c r="AA38" i="33" s="1"/>
  <c r="Q37" i="33"/>
  <c r="Z37" i="33" s="1"/>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S40" i="21" s="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19" i="21"/>
  <c r="AA19" i="21" s="1"/>
  <c r="E81" i="21"/>
  <c r="F81" i="21"/>
  <c r="G81" i="21" s="1"/>
  <c r="D77" i="21"/>
  <c r="E77" i="21" s="1"/>
  <c r="B130" i="21"/>
  <c r="B128" i="21"/>
  <c r="J45" i="21" s="1"/>
  <c r="W45" i="21" s="1"/>
  <c r="B126" i="21"/>
  <c r="B98" i="21"/>
  <c r="B96" i="21"/>
  <c r="F30" i="21" s="1"/>
  <c r="S30" i="21" s="1"/>
  <c r="B94" i="21"/>
  <c r="B92" i="21"/>
  <c r="B90" i="21"/>
  <c r="J27" i="21"/>
  <c r="W27" i="21" s="1"/>
  <c r="B74" i="21"/>
  <c r="H14" i="21" s="1"/>
  <c r="U14" i="21" s="1"/>
  <c r="B72" i="21"/>
  <c r="J13" i="21" s="1"/>
  <c r="AC13" i="21" s="1"/>
  <c r="H13" i="2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c r="H43" i="21"/>
  <c r="AB43" i="21" s="1"/>
  <c r="F38" i="21"/>
  <c r="S38" i="21" s="1"/>
  <c r="F36" i="21"/>
  <c r="F39" i="21"/>
  <c r="AA39" i="21" s="1"/>
  <c r="J40" i="21"/>
  <c r="W40" i="21" s="1"/>
  <c r="H35" i="21"/>
  <c r="AB35" i="21" s="1"/>
  <c r="J8" i="21"/>
  <c r="AC8" i="21" s="1"/>
  <c r="H8" i="21"/>
  <c r="U8" i="21" s="1"/>
  <c r="H10" i="21"/>
  <c r="AB10" i="21" s="1"/>
  <c r="H39" i="21"/>
  <c r="U39" i="21" s="1"/>
  <c r="J34" i="21"/>
  <c r="H36" i="21"/>
  <c r="U36" i="21" s="1"/>
  <c r="F35" i="21"/>
  <c r="AA35" i="21"/>
  <c r="J10" i="21"/>
  <c r="AC10" i="21" s="1"/>
  <c r="H26" i="21"/>
  <c r="AB26" i="21" s="1"/>
  <c r="AB19" i="21"/>
  <c r="J19" i="21"/>
  <c r="W19" i="21" s="1"/>
  <c r="J26" i="21"/>
  <c r="W26" i="21" s="1"/>
  <c r="F26" i="21"/>
  <c r="S26" i="21"/>
  <c r="AB41" i="21"/>
  <c r="S41" i="21"/>
  <c r="AA41" i="21"/>
  <c r="F45" i="39"/>
  <c r="S45" i="39" s="1"/>
  <c r="J45" i="39"/>
  <c r="W45" i="39" s="1"/>
  <c r="J44" i="39"/>
  <c r="AC44" i="39" s="1"/>
  <c r="F36" i="39"/>
  <c r="S36" i="39" s="1"/>
  <c r="H36" i="39"/>
  <c r="AB36" i="39"/>
  <c r="J35" i="39"/>
  <c r="AC35" i="39" s="1"/>
  <c r="F35" i="39"/>
  <c r="J36" i="39"/>
  <c r="AC36" i="39" s="1"/>
  <c r="W40" i="39"/>
  <c r="W25" i="37"/>
  <c r="F39" i="37"/>
  <c r="S39" i="37" s="1"/>
  <c r="F29" i="36"/>
  <c r="AA29" i="36" s="1"/>
  <c r="F16" i="36"/>
  <c r="AA16" i="36" s="1"/>
  <c r="J33" i="36"/>
  <c r="AC33" i="36" s="1"/>
  <c r="H22" i="35"/>
  <c r="AB22" i="35" s="1"/>
  <c r="U31" i="35"/>
  <c r="W22" i="35"/>
  <c r="F36" i="34"/>
  <c r="J35" i="34"/>
  <c r="U34" i="34"/>
  <c r="H39" i="33"/>
  <c r="AB39" i="33" s="1"/>
  <c r="F26" i="33"/>
  <c r="AA26" i="33" s="1"/>
  <c r="U33" i="33"/>
  <c r="S40" i="33"/>
  <c r="W33" i="33"/>
  <c r="W39" i="33"/>
  <c r="H39" i="37"/>
  <c r="AB39" i="37" s="1"/>
  <c r="S27" i="35"/>
  <c r="F11" i="40"/>
  <c r="AA11" i="40" s="1"/>
  <c r="H11" i="40"/>
  <c r="AB11" i="40" s="1"/>
  <c r="W8" i="40"/>
  <c r="AA9" i="40"/>
  <c r="U9" i="40"/>
  <c r="S34" i="40"/>
  <c r="U38" i="40"/>
  <c r="F42" i="39"/>
  <c r="AA42" i="39" s="1"/>
  <c r="F41" i="39"/>
  <c r="H40" i="39"/>
  <c r="H39" i="39"/>
  <c r="U39" i="39" s="1"/>
  <c r="S38" i="39"/>
  <c r="S34" i="39"/>
  <c r="H34" i="39"/>
  <c r="U34" i="39" s="1"/>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s="1"/>
  <c r="F27" i="39"/>
  <c r="F11" i="21"/>
  <c r="S11" i="21" s="1"/>
  <c r="H11" i="39"/>
  <c r="S40" i="39"/>
  <c r="C15" i="39"/>
  <c r="H32" i="33"/>
  <c r="H11" i="21"/>
  <c r="U11" i="21" s="1"/>
  <c r="J11" i="21"/>
  <c r="W11" i="21" s="1"/>
  <c r="H37" i="40"/>
  <c r="U37" i="40" s="1"/>
  <c r="H36" i="40"/>
  <c r="AB36" i="40" s="1"/>
  <c r="F35" i="40"/>
  <c r="AA35" i="40"/>
  <c r="H23" i="40"/>
  <c r="AB23" i="40" s="1"/>
  <c r="H17" i="40"/>
  <c r="U17" i="40" s="1"/>
  <c r="J15" i="40"/>
  <c r="W15" i="40" s="1"/>
  <c r="J11" i="40"/>
  <c r="W11" i="40" s="1"/>
  <c r="AB8" i="39"/>
  <c r="S44" i="39"/>
  <c r="F37" i="39"/>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S24" i="36" s="1"/>
  <c r="AA24" i="36"/>
  <c r="F34" i="36"/>
  <c r="S34" i="36" s="1"/>
  <c r="F14" i="35"/>
  <c r="AA14" i="35" s="1"/>
  <c r="F23" i="35"/>
  <c r="AA23" i="35" s="1"/>
  <c r="J32" i="35"/>
  <c r="AC32" i="35" s="1"/>
  <c r="J16" i="35"/>
  <c r="AC16" i="35" s="1"/>
  <c r="H16" i="35"/>
  <c r="U16" i="35" s="1"/>
  <c r="F16" i="35"/>
  <c r="S16" i="35" s="1"/>
  <c r="H14" i="35"/>
  <c r="J29" i="35"/>
  <c r="H33" i="35"/>
  <c r="J20" i="35"/>
  <c r="W20" i="35" s="1"/>
  <c r="J34" i="37"/>
  <c r="W34" i="37" s="1"/>
  <c r="AB34" i="37"/>
  <c r="U42" i="34"/>
  <c r="H40" i="34"/>
  <c r="U40" i="34" s="1"/>
  <c r="H36" i="34"/>
  <c r="U36" i="34" s="1"/>
  <c r="F37" i="34"/>
  <c r="AA37" i="34" s="1"/>
  <c r="S35" i="34"/>
  <c r="F25" i="34"/>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S26" i="33"/>
  <c r="W40" i="33"/>
  <c r="F37" i="40"/>
  <c r="AA37" i="40" s="1"/>
  <c r="F36" i="40"/>
  <c r="AA36" i="40" s="1"/>
  <c r="H28" i="40"/>
  <c r="U28" i="40" s="1"/>
  <c r="F23" i="40"/>
  <c r="AA23" i="40" s="1"/>
  <c r="F17" i="40"/>
  <c r="AA17" i="40" s="1"/>
  <c r="J17" i="40"/>
  <c r="F15" i="40"/>
  <c r="H15" i="40"/>
  <c r="AB15" i="40" s="1"/>
  <c r="AC11" i="40"/>
  <c r="S12" i="36"/>
  <c r="AA12" i="36"/>
  <c r="F29" i="35"/>
  <c r="S29" i="35" s="1"/>
  <c r="H29" i="35"/>
  <c r="AB29" i="35" s="1"/>
  <c r="U34" i="37"/>
  <c r="S34" i="37"/>
  <c r="J43" i="34"/>
  <c r="AB42" i="34"/>
  <c r="J40" i="34"/>
  <c r="H38" i="34"/>
  <c r="AB38" i="34" s="1"/>
  <c r="J36" i="34"/>
  <c r="W36" i="34" s="1"/>
  <c r="H37" i="34"/>
  <c r="U37" i="34" s="1"/>
  <c r="H25" i="34"/>
  <c r="AB25" i="34" s="1"/>
  <c r="J25" i="34"/>
  <c r="AC25" i="34" s="1"/>
  <c r="F23" i="34"/>
  <c r="AA23" i="34"/>
  <c r="J19" i="34"/>
  <c r="AC19" i="34" s="1"/>
  <c r="F17" i="34"/>
  <c r="J17" i="34"/>
  <c r="W17" i="34" s="1"/>
  <c r="F113" i="33"/>
  <c r="G113" i="33" s="1"/>
  <c r="H113" i="33" s="1"/>
  <c r="I113" i="33" s="1"/>
  <c r="J113" i="33" s="1"/>
  <c r="K113" i="33" s="1"/>
  <c r="L113" i="33" s="1"/>
  <c r="M113" i="33" s="1"/>
  <c r="H37" i="33"/>
  <c r="AB37" i="33" s="1"/>
  <c r="H15" i="33"/>
  <c r="AB15" i="33" s="1"/>
  <c r="H11" i="33"/>
  <c r="F28" i="40"/>
  <c r="AA28" i="40"/>
  <c r="AA42" i="34"/>
  <c r="AC38" i="34"/>
  <c r="J37" i="34"/>
  <c r="AC37" i="34" s="1"/>
  <c r="J11" i="33"/>
  <c r="W11" i="33" s="1"/>
  <c r="J42" i="21"/>
  <c r="AC42" i="21" s="1"/>
  <c r="H42" i="21"/>
  <c r="U42" i="21"/>
  <c r="J44" i="34"/>
  <c r="F44" i="34"/>
  <c r="AA44" i="34" s="1"/>
  <c r="J10" i="35"/>
  <c r="AC10" i="35" s="1"/>
  <c r="J14" i="21"/>
  <c r="W14" i="21"/>
  <c r="F14" i="21"/>
  <c r="S14" i="21" s="1"/>
  <c r="H28" i="21"/>
  <c r="AB28" i="21" s="1"/>
  <c r="F28" i="21"/>
  <c r="AA28" i="21"/>
  <c r="J28" i="21"/>
  <c r="H30" i="21"/>
  <c r="U30" i="21" s="1"/>
  <c r="J44" i="21"/>
  <c r="AC44" i="21" s="1"/>
  <c r="H44" i="21"/>
  <c r="U44" i="21" s="1"/>
  <c r="F44" i="21"/>
  <c r="AA44" i="21" s="1"/>
  <c r="H46" i="21"/>
  <c r="U46" i="21"/>
  <c r="J46" i="21"/>
  <c r="F46" i="21"/>
  <c r="AA46" i="21" s="1"/>
  <c r="H26" i="33"/>
  <c r="U26" i="33" s="1"/>
  <c r="F28" i="33"/>
  <c r="AA28" i="33" s="1"/>
  <c r="J28" i="33"/>
  <c r="F33" i="35"/>
  <c r="S33" i="35" s="1"/>
  <c r="J33" i="35"/>
  <c r="AC33" i="35" s="1"/>
  <c r="F30" i="35"/>
  <c r="S30" i="35" s="1"/>
  <c r="H10" i="36"/>
  <c r="AB10" i="36" s="1"/>
  <c r="J14" i="36"/>
  <c r="AC14" i="36" s="1"/>
  <c r="H14" i="36"/>
  <c r="U14" i="36" s="1"/>
  <c r="F28" i="36"/>
  <c r="AA28" i="36" s="1"/>
  <c r="H27" i="21"/>
  <c r="U27" i="21" s="1"/>
  <c r="F27" i="21"/>
  <c r="AA27" i="21" s="1"/>
  <c r="F45" i="21"/>
  <c r="AA45" i="21" s="1"/>
  <c r="F27" i="33"/>
  <c r="AA27" i="33" s="1"/>
  <c r="J13" i="33"/>
  <c r="H13" i="33"/>
  <c r="U13" i="33" s="1"/>
  <c r="F13" i="33"/>
  <c r="J29" i="33"/>
  <c r="H29" i="33"/>
  <c r="U29" i="33" s="1"/>
  <c r="F29" i="33"/>
  <c r="S29" i="33" s="1"/>
  <c r="J31" i="33"/>
  <c r="W31" i="33" s="1"/>
  <c r="H31" i="33"/>
  <c r="F31" i="33"/>
  <c r="H45" i="33"/>
  <c r="U45" i="33" s="1"/>
  <c r="F45" i="33"/>
  <c r="S45" i="33" s="1"/>
  <c r="J14" i="34"/>
  <c r="W14" i="34" s="1"/>
  <c r="F14" i="34"/>
  <c r="S14" i="34" s="1"/>
  <c r="H14" i="34"/>
  <c r="U14" i="34" s="1"/>
  <c r="H30" i="34"/>
  <c r="AB30" i="34" s="1"/>
  <c r="F30" i="34"/>
  <c r="S30" i="34" s="1"/>
  <c r="J30" i="34"/>
  <c r="H32" i="34"/>
  <c r="AB32" i="34" s="1"/>
  <c r="F32" i="34"/>
  <c r="S32" i="34" s="1"/>
  <c r="F46" i="34"/>
  <c r="J46" i="34"/>
  <c r="H11" i="35"/>
  <c r="AB11" i="35" s="1"/>
  <c r="J11" i="35"/>
  <c r="W11" i="35" s="1"/>
  <c r="AC11" i="35"/>
  <c r="F11" i="35"/>
  <c r="J26" i="36"/>
  <c r="H28" i="36"/>
  <c r="U28" i="36" s="1"/>
  <c r="H32" i="36"/>
  <c r="AB32" i="36" s="1"/>
  <c r="J32" i="36"/>
  <c r="W32" i="36" s="1"/>
  <c r="J11" i="36"/>
  <c r="AC11" i="36" s="1"/>
  <c r="H11" i="36"/>
  <c r="U11" i="36" s="1"/>
  <c r="F11" i="36"/>
  <c r="H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J40" i="37"/>
  <c r="AC40" i="37" s="1"/>
  <c r="F40" i="37"/>
  <c r="AA40" i="37" s="1"/>
  <c r="H14" i="33"/>
  <c r="U14" i="33" s="1"/>
  <c r="F14" i="33"/>
  <c r="AA14" i="33" s="1"/>
  <c r="S14" i="33"/>
  <c r="H30" i="33"/>
  <c r="AB30" i="33" s="1"/>
  <c r="F30" i="33"/>
  <c r="J30" i="33"/>
  <c r="H44" i="33"/>
  <c r="J44" i="33"/>
  <c r="AC44" i="33"/>
  <c r="F44" i="33"/>
  <c r="S44" i="33" s="1"/>
  <c r="F46" i="33"/>
  <c r="H46" i="33"/>
  <c r="J13" i="34"/>
  <c r="W13" i="34" s="1"/>
  <c r="F13" i="34"/>
  <c r="AA13" i="34" s="1"/>
  <c r="J29" i="34"/>
  <c r="AC29" i="34" s="1"/>
  <c r="F29" i="34"/>
  <c r="S29" i="34" s="1"/>
  <c r="H29" i="34"/>
  <c r="AB29" i="34" s="1"/>
  <c r="J31" i="34"/>
  <c r="AC31" i="34" s="1"/>
  <c r="H31" i="34"/>
  <c r="F31" i="34"/>
  <c r="S31" i="34" s="1"/>
  <c r="F45" i="34"/>
  <c r="S45" i="34" s="1"/>
  <c r="J47" i="34"/>
  <c r="W47" i="34" s="1"/>
  <c r="AC47" i="34"/>
  <c r="F13" i="35"/>
  <c r="J13" i="35"/>
  <c r="H13" i="35"/>
  <c r="J35" i="35"/>
  <c r="AC35" i="35" s="1"/>
  <c r="F35" i="35"/>
  <c r="AA35" i="35" s="1"/>
  <c r="H35" i="35"/>
  <c r="J25" i="36"/>
  <c r="F25" i="36"/>
  <c r="S25" i="36" s="1"/>
  <c r="F13" i="37"/>
  <c r="S13" i="37" s="1"/>
  <c r="J13" i="37"/>
  <c r="W13" i="37" s="1"/>
  <c r="J28" i="37"/>
  <c r="AC28" i="37" s="1"/>
  <c r="H28" i="37"/>
  <c r="J38" i="37"/>
  <c r="AC38" i="37" s="1"/>
  <c r="F38" i="37"/>
  <c r="S38" i="37" s="1"/>
  <c r="F43" i="39"/>
  <c r="AA43" i="39" s="1"/>
  <c r="H43" i="39"/>
  <c r="J14" i="39"/>
  <c r="AC14" i="39" s="1"/>
  <c r="F14" i="39"/>
  <c r="H14" i="39"/>
  <c r="AB14" i="39" s="1"/>
  <c r="F12" i="40"/>
  <c r="S12" i="40" s="1"/>
  <c r="H12" i="40"/>
  <c r="AB12" i="40" s="1"/>
  <c r="H30" i="40"/>
  <c r="F33" i="40"/>
  <c r="AA33" i="40" s="1"/>
  <c r="H33" i="40"/>
  <c r="U33" i="40" s="1"/>
  <c r="J35" i="40"/>
  <c r="J37" i="40"/>
  <c r="AC37" i="40" s="1"/>
  <c r="H13" i="40"/>
  <c r="J13" i="40"/>
  <c r="W13" i="40" s="1"/>
  <c r="F13" i="40"/>
  <c r="AA13" i="40" s="1"/>
  <c r="F13" i="39"/>
  <c r="J13" i="39"/>
  <c r="W13" i="39" s="1"/>
  <c r="H14" i="40"/>
  <c r="AB14" i="40" s="1"/>
  <c r="J14" i="40"/>
  <c r="W14" i="40" s="1"/>
  <c r="F14" i="40"/>
  <c r="AA44" i="33"/>
  <c r="J36" i="37"/>
  <c r="AC36" i="37" s="1"/>
  <c r="J10" i="36"/>
  <c r="AC10" i="36" s="1"/>
  <c r="F17" i="21"/>
  <c r="AA17" i="21" s="1"/>
  <c r="H17" i="21"/>
  <c r="F15" i="21"/>
  <c r="S15" i="21" s="1"/>
  <c r="J41" i="39"/>
  <c r="W41" i="39" s="1"/>
  <c r="W44" i="39"/>
  <c r="U36" i="39"/>
  <c r="G544" i="3"/>
  <c r="G540" i="3"/>
  <c r="G536" i="3"/>
  <c r="G535" i="3"/>
  <c r="G532" i="3"/>
  <c r="G531" i="3"/>
  <c r="G523" i="3"/>
  <c r="G510" i="3"/>
  <c r="G508" i="3"/>
  <c r="G504" i="3"/>
  <c r="G500" i="3"/>
  <c r="G496" i="3"/>
  <c r="G572" i="3"/>
  <c r="G568" i="3"/>
  <c r="G564" i="3"/>
  <c r="G560" i="3"/>
  <c r="G554" i="3"/>
  <c r="G550" i="3"/>
  <c r="BL546" i="3"/>
  <c r="BL542" i="3"/>
  <c r="BL534" i="3"/>
  <c r="BL494" i="3"/>
  <c r="BL582" i="3"/>
  <c r="BL574" i="3"/>
  <c r="G533" i="3"/>
  <c r="BL532" i="3"/>
  <c r="G529" i="3"/>
  <c r="BL500" i="3"/>
  <c r="G493" i="3"/>
  <c r="BA584" i="3"/>
  <c r="AZ584" i="3" s="1"/>
  <c r="BA560" i="3"/>
  <c r="BA558" i="3"/>
  <c r="AZ558" i="3" s="1"/>
  <c r="BA538" i="3"/>
  <c r="BA536" i="3"/>
  <c r="BA522" i="3"/>
  <c r="BA518" i="3"/>
  <c r="BA516" i="3"/>
  <c r="BA498" i="3"/>
  <c r="AZ498" i="3" s="1"/>
  <c r="BA494" i="3"/>
  <c r="AZ494" i="3" s="1"/>
  <c r="BA583" i="3"/>
  <c r="BA563" i="3"/>
  <c r="AZ563" i="3" s="1"/>
  <c r="BA561" i="3"/>
  <c r="BA539" i="3"/>
  <c r="BA535" i="3"/>
  <c r="BA531" i="3"/>
  <c r="BA511" i="3"/>
  <c r="BA505" i="3"/>
  <c r="BA503" i="3"/>
  <c r="AZ503" i="3" s="1"/>
  <c r="G583" i="3"/>
  <c r="G581" i="3"/>
  <c r="G579" i="3"/>
  <c r="G577" i="3"/>
  <c r="G575" i="3"/>
  <c r="G567" i="3"/>
  <c r="G565" i="3"/>
  <c r="G563" i="3"/>
  <c r="G561" i="3"/>
  <c r="BL558" i="3"/>
  <c r="AC557" i="3"/>
  <c r="G557" i="3" s="1"/>
  <c r="BQ557" i="3"/>
  <c r="BL557" i="3" s="1"/>
  <c r="BQ583" i="3"/>
  <c r="BQ581" i="3"/>
  <c r="BQ579" i="3"/>
  <c r="BQ577" i="3"/>
  <c r="BQ575" i="3"/>
  <c r="BQ573" i="3"/>
  <c r="BQ571" i="3"/>
  <c r="BQ569" i="3"/>
  <c r="BQ567" i="3"/>
  <c r="BQ565" i="3"/>
  <c r="BQ563" i="3"/>
  <c r="BQ561" i="3"/>
  <c r="BL561" i="3"/>
  <c r="AZ561" i="3" s="1"/>
  <c r="BQ559" i="3"/>
  <c r="G555" i="3"/>
  <c r="G549" i="3"/>
  <c r="G547" i="3"/>
  <c r="G545" i="3"/>
  <c r="G543" i="3"/>
  <c r="G539" i="3"/>
  <c r="G537" i="3"/>
  <c r="BQ555" i="3"/>
  <c r="BQ553" i="3"/>
  <c r="BQ551" i="3"/>
  <c r="BQ549" i="3"/>
  <c r="BQ547" i="3"/>
  <c r="BL547" i="3" s="1"/>
  <c r="BQ545" i="3"/>
  <c r="BQ543" i="3"/>
  <c r="BQ541" i="3"/>
  <c r="BQ539" i="3"/>
  <c r="BL539" i="3" s="1"/>
  <c r="BQ537" i="3"/>
  <c r="BL537" i="3" s="1"/>
  <c r="BQ535" i="3"/>
  <c r="BQ533" i="3"/>
  <c r="BQ531" i="3"/>
  <c r="BL531" i="3" s="1"/>
  <c r="BQ529" i="3"/>
  <c r="BQ527" i="3"/>
  <c r="BQ525" i="3"/>
  <c r="BL525" i="3" s="1"/>
  <c r="BQ523" i="3"/>
  <c r="BL523" i="3" s="1"/>
  <c r="AC521" i="3"/>
  <c r="BQ521" i="3"/>
  <c r="G519" i="3"/>
  <c r="G517" i="3"/>
  <c r="G515" i="3"/>
  <c r="G513" i="3"/>
  <c r="BQ519" i="3"/>
  <c r="BL519" i="3" s="1"/>
  <c r="BQ517" i="3"/>
  <c r="BQ515" i="3"/>
  <c r="BQ513" i="3"/>
  <c r="BL513" i="3" s="1"/>
  <c r="BQ511" i="3"/>
  <c r="AC509" i="3"/>
  <c r="BQ509" i="3"/>
  <c r="BL509" i="3" s="1"/>
  <c r="G507" i="3"/>
  <c r="G505" i="3"/>
  <c r="G503" i="3"/>
  <c r="G501" i="3"/>
  <c r="G495" i="3"/>
  <c r="BQ507" i="3"/>
  <c r="BQ505" i="3"/>
  <c r="BQ503" i="3"/>
  <c r="BL503" i="3" s="1"/>
  <c r="BQ501" i="3"/>
  <c r="BL501" i="3" s="1"/>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F22" i="36"/>
  <c r="F26" i="36"/>
  <c r="S26" i="36" s="1"/>
  <c r="H27" i="34"/>
  <c r="AB27" i="34" s="1"/>
  <c r="H35" i="34"/>
  <c r="U35" i="34" s="1"/>
  <c r="F41" i="34"/>
  <c r="H41" i="34"/>
  <c r="U41" i="34" s="1"/>
  <c r="J41" i="34"/>
  <c r="AC41" i="34" s="1"/>
  <c r="F10" i="35"/>
  <c r="S10" i="35" s="1"/>
  <c r="F24" i="35"/>
  <c r="H23" i="37"/>
  <c r="AB23" i="37" s="1"/>
  <c r="J32" i="37"/>
  <c r="AC32" i="37" s="1"/>
  <c r="F36" i="37"/>
  <c r="AA36" i="37" s="1"/>
  <c r="F37" i="37"/>
  <c r="AA37" i="37" s="1"/>
  <c r="F31" i="40"/>
  <c r="AA31" i="40" s="1"/>
  <c r="H31" i="40"/>
  <c r="U31" i="40" s="1"/>
  <c r="F32" i="40"/>
  <c r="J36" i="40"/>
  <c r="H19" i="37"/>
  <c r="AB19" i="37" s="1"/>
  <c r="H42" i="33"/>
  <c r="AB42" i="33" s="1"/>
  <c r="J43" i="33"/>
  <c r="AC43" i="33"/>
  <c r="S28" i="31"/>
  <c r="S27" i="31"/>
  <c r="S26" i="31"/>
  <c r="U14" i="40"/>
  <c r="W23" i="35"/>
  <c r="U26" i="37"/>
  <c r="AC45" i="33"/>
  <c r="W44" i="33"/>
  <c r="U19" i="21"/>
  <c r="W44" i="21"/>
  <c r="AB38" i="21"/>
  <c r="F43" i="33"/>
  <c r="W15" i="34"/>
  <c r="AC15" i="34"/>
  <c r="W16" i="35"/>
  <c r="H37" i="21"/>
  <c r="U37" i="21" s="1"/>
  <c r="S42" i="21"/>
  <c r="H19" i="34"/>
  <c r="AB19" i="34" s="1"/>
  <c r="F36" i="35"/>
  <c r="S36" i="35" s="1"/>
  <c r="J9" i="37"/>
  <c r="W9" i="37" s="1"/>
  <c r="H9" i="37"/>
  <c r="U9" i="37" s="1"/>
  <c r="F9" i="37"/>
  <c r="S9" i="37" s="1"/>
  <c r="J12" i="37"/>
  <c r="W12" i="37" s="1"/>
  <c r="H12" i="37"/>
  <c r="AB12" i="37" s="1"/>
  <c r="F12" i="37"/>
  <c r="S12" i="37" s="1"/>
  <c r="E94" i="37"/>
  <c r="F94" i="37" s="1"/>
  <c r="G94" i="37" s="1"/>
  <c r="H94" i="37" s="1"/>
  <c r="I94" i="37" s="1"/>
  <c r="J94" i="37" s="1"/>
  <c r="K94" i="37" s="1"/>
  <c r="L94" i="37" s="1"/>
  <c r="M94" i="37" s="1"/>
  <c r="F31" i="37"/>
  <c r="S31" i="37" s="1"/>
  <c r="F12" i="39"/>
  <c r="S12" i="39" s="1"/>
  <c r="J42" i="39"/>
  <c r="AC42" i="39" s="1"/>
  <c r="H21" i="40"/>
  <c r="AB21" i="40" s="1"/>
  <c r="AC12" i="37"/>
  <c r="H31" i="37"/>
  <c r="U31" i="37" s="1"/>
  <c r="AT6" i="3"/>
  <c r="H19" i="40"/>
  <c r="U19"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S42" i="39"/>
  <c r="W9" i="39"/>
  <c r="W8" i="39"/>
  <c r="J19" i="40"/>
  <c r="AC19" i="40" s="1"/>
  <c r="J50" i="40"/>
  <c r="H103" i="9"/>
  <c r="D8" i="53" s="1"/>
  <c r="B16" i="53"/>
  <c r="B33" i="72" s="1"/>
  <c r="C7" i="37"/>
  <c r="A118" i="9"/>
  <c r="A4" i="52"/>
  <c r="B41" i="72" s="1"/>
  <c r="J11" i="39"/>
  <c r="AC11" i="39" s="1"/>
  <c r="W11" i="39"/>
  <c r="F11" i="39"/>
  <c r="S11" i="39" s="1"/>
  <c r="G4" i="4"/>
  <c r="I4" i="4"/>
  <c r="A2" i="9"/>
  <c r="F61" i="43"/>
  <c r="H64" i="43" s="1"/>
  <c r="G546" i="3"/>
  <c r="G524" i="3"/>
  <c r="G303" i="3"/>
  <c r="BL304" i="3"/>
  <c r="G305" i="3"/>
  <c r="BL306" i="3"/>
  <c r="BA308" i="3"/>
  <c r="BL309" i="3"/>
  <c r="G310" i="3"/>
  <c r="G319" i="3"/>
  <c r="G321" i="3"/>
  <c r="G326" i="3"/>
  <c r="BA327" i="3"/>
  <c r="G335" i="3"/>
  <c r="G337" i="3"/>
  <c r="BA345" i="3"/>
  <c r="G356" i="3"/>
  <c r="G361" i="3"/>
  <c r="G370" i="3"/>
  <c r="G372" i="3"/>
  <c r="G377" i="3"/>
  <c r="G379" i="3"/>
  <c r="G388" i="3"/>
  <c r="G390" i="3"/>
  <c r="G117" i="3"/>
  <c r="BA119" i="3"/>
  <c r="G125" i="3"/>
  <c r="BA131" i="3"/>
  <c r="BL132" i="3"/>
  <c r="G133" i="3"/>
  <c r="G137" i="3"/>
  <c r="G141" i="3"/>
  <c r="BA143" i="3"/>
  <c r="G145" i="3"/>
  <c r="BA147" i="3"/>
  <c r="G149" i="3"/>
  <c r="BA151" i="3"/>
  <c r="BL152" i="3"/>
  <c r="G153" i="3"/>
  <c r="BA155" i="3"/>
  <c r="BL156" i="3"/>
  <c r="G157" i="3"/>
  <c r="BA159" i="3"/>
  <c r="BL160" i="3"/>
  <c r="G161" i="3"/>
  <c r="BA163" i="3"/>
  <c r="BL164" i="3"/>
  <c r="G165"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G530" i="3"/>
  <c r="G522" i="3"/>
  <c r="G516" i="3"/>
  <c r="G512" i="3"/>
  <c r="G498" i="3"/>
  <c r="G494" i="3"/>
  <c r="G16" i="3"/>
  <c r="G15" i="3"/>
  <c r="BA304" i="3"/>
  <c r="BA305" i="3"/>
  <c r="AZ305" i="3" s="1"/>
  <c r="BL305" i="3"/>
  <c r="G306" i="3"/>
  <c r="G309" i="3"/>
  <c r="G314" i="3"/>
  <c r="G317" i="3"/>
  <c r="BL318" i="3"/>
  <c r="G322" i="3"/>
  <c r="BA329" i="3"/>
  <c r="BL329" i="3"/>
  <c r="G330" i="3"/>
  <c r="G338" i="3"/>
  <c r="G341" i="3"/>
  <c r="BL342" i="3"/>
  <c r="AZ342" i="3" s="1"/>
  <c r="G350" i="3"/>
  <c r="G352" i="3"/>
  <c r="G354" i="3"/>
  <c r="G360" i="3"/>
  <c r="G365" i="3"/>
  <c r="G368" i="3"/>
  <c r="G376" i="3"/>
  <c r="G391" i="3"/>
  <c r="BA16" i="3"/>
  <c r="BL303" i="3"/>
  <c r="G304" i="3"/>
  <c r="BA306" i="3"/>
  <c r="BL307" i="3"/>
  <c r="G308" i="3"/>
  <c r="G312" i="3"/>
  <c r="G316" i="3"/>
  <c r="BA318" i="3"/>
  <c r="BL319" i="3"/>
  <c r="G320" i="3"/>
  <c r="G328" i="3"/>
  <c r="BL331" i="3"/>
  <c r="G336" i="3"/>
  <c r="G340" i="3"/>
  <c r="BL343" i="3"/>
  <c r="G344" i="3"/>
  <c r="G355" i="3"/>
  <c r="G342" i="3"/>
  <c r="BL345" i="3"/>
  <c r="G346" i="3"/>
  <c r="G353" i="3"/>
  <c r="G363" i="3"/>
  <c r="BL366" i="3"/>
  <c r="G371" i="3"/>
  <c r="G381" i="3"/>
  <c r="G389" i="3"/>
  <c r="AZ506" i="3"/>
  <c r="G538" i="3"/>
  <c r="G502" i="3"/>
  <c r="G17" i="3"/>
  <c r="BA17" i="3"/>
  <c r="G509" i="3"/>
  <c r="U36" i="40"/>
  <c r="F83" i="43"/>
  <c r="H85" i="43" s="1"/>
  <c r="G85" i="43" s="1"/>
  <c r="F50" i="43"/>
  <c r="H54" i="43" s="1"/>
  <c r="F72" i="43"/>
  <c r="H75" i="43" s="1"/>
  <c r="U17" i="39"/>
  <c r="S14" i="35"/>
  <c r="U43" i="21"/>
  <c r="U35" i="21"/>
  <c r="AC35" i="21"/>
  <c r="W44" i="34"/>
  <c r="AC44" i="34"/>
  <c r="U13" i="37"/>
  <c r="U12" i="40"/>
  <c r="AA12" i="40"/>
  <c r="J37" i="33"/>
  <c r="W37" i="33" s="1"/>
  <c r="AC17" i="34"/>
  <c r="F106" i="33"/>
  <c r="G106" i="33" s="1"/>
  <c r="H106" i="33" s="1"/>
  <c r="I106" i="33" s="1"/>
  <c r="J106" i="33" s="1"/>
  <c r="K106" i="33" s="1"/>
  <c r="L106" i="33" s="1"/>
  <c r="M106" i="33" s="1"/>
  <c r="J34" i="33"/>
  <c r="W34" i="33" s="1"/>
  <c r="F33" i="34"/>
  <c r="S33" i="34" s="1"/>
  <c r="H20" i="36"/>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S30" i="40" s="1"/>
  <c r="AC21" i="40"/>
  <c r="S11" i="40"/>
  <c r="E98" i="40"/>
  <c r="F98" i="40" s="1"/>
  <c r="G98" i="40" s="1"/>
  <c r="H98" i="40" s="1"/>
  <c r="I98" i="40" s="1"/>
  <c r="J98" i="40" s="1"/>
  <c r="K98" i="40" s="1"/>
  <c r="L98" i="40" s="1"/>
  <c r="M98" i="40" s="1"/>
  <c r="F10" i="33"/>
  <c r="S10" i="33" s="1"/>
  <c r="F34" i="33"/>
  <c r="S34" i="33" s="1"/>
  <c r="H34" i="33"/>
  <c r="F35" i="33"/>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6" i="33"/>
  <c r="W27" i="34"/>
  <c r="AC27" i="34"/>
  <c r="AB34" i="36"/>
  <c r="U34" i="36"/>
  <c r="AB33" i="36"/>
  <c r="U33" i="36"/>
  <c r="AC39" i="40"/>
  <c r="AA32" i="36"/>
  <c r="S32" i="36"/>
  <c r="BL14" i="3"/>
  <c r="U30" i="33"/>
  <c r="AC13" i="34"/>
  <c r="F12" i="33"/>
  <c r="S12" i="33" s="1"/>
  <c r="F39" i="40"/>
  <c r="BA14" i="3"/>
  <c r="B12" i="1"/>
  <c r="E12" i="1" s="1"/>
  <c r="B10" i="1"/>
  <c r="E10" i="1" s="1"/>
  <c r="K12" i="1"/>
  <c r="M12" i="1" s="1"/>
  <c r="S13" i="1"/>
  <c r="AR13" i="1" s="1"/>
  <c r="R13" i="1"/>
  <c r="J51" i="67"/>
  <c r="B41" i="1"/>
  <c r="F48" i="9" s="1"/>
  <c r="O52" i="9" s="1"/>
  <c r="AB37" i="40"/>
  <c r="S35" i="40"/>
  <c r="U35" i="40"/>
  <c r="S23" i="40"/>
  <c r="AC15" i="40"/>
  <c r="AA19" i="40"/>
  <c r="S28" i="40"/>
  <c r="U21" i="40"/>
  <c r="AB19" i="40"/>
  <c r="S43" i="39"/>
  <c r="U35" i="39"/>
  <c r="F32" i="39"/>
  <c r="S32" i="39" s="1"/>
  <c r="F106" i="39"/>
  <c r="G106" i="39" s="1"/>
  <c r="H106" i="39" s="1"/>
  <c r="I106" i="39" s="1"/>
  <c r="J106" i="39" s="1"/>
  <c r="K106" i="39" s="1"/>
  <c r="L106" i="39" s="1"/>
  <c r="M106" i="39" s="1"/>
  <c r="U25" i="39"/>
  <c r="AB27" i="39"/>
  <c r="J21" i="39"/>
  <c r="W21" i="39" s="1"/>
  <c r="F21" i="39"/>
  <c r="G94" i="39"/>
  <c r="H21" i="39"/>
  <c r="U21" i="39" s="1"/>
  <c r="W19" i="39"/>
  <c r="U19" i="39"/>
  <c r="S17" i="39"/>
  <c r="S15" i="39"/>
  <c r="AA12" i="39"/>
  <c r="AC13" i="39"/>
  <c r="U26" i="36"/>
  <c r="S33" i="36"/>
  <c r="AA26" i="36"/>
  <c r="W14" i="36"/>
  <c r="AB14" i="36"/>
  <c r="U22" i="36"/>
  <c r="S16" i="36"/>
  <c r="AA25" i="36"/>
  <c r="S23" i="35"/>
  <c r="U29" i="35"/>
  <c r="U28" i="35"/>
  <c r="U36" i="35"/>
  <c r="U32" i="35"/>
  <c r="AC30" i="35"/>
  <c r="AA36" i="35"/>
  <c r="S28" i="35"/>
  <c r="AB16" i="35"/>
  <c r="S22" i="35"/>
  <c r="AC9" i="35"/>
  <c r="W9" i="35"/>
  <c r="AC12" i="35"/>
  <c r="F9" i="35"/>
  <c r="S9" i="35" s="1"/>
  <c r="H9" i="35"/>
  <c r="U9" i="35" s="1"/>
  <c r="U29" i="37"/>
  <c r="S36" i="37"/>
  <c r="F75" i="37"/>
  <c r="F19" i="37"/>
  <c r="S19" i="37" s="1"/>
  <c r="F79" i="37"/>
  <c r="G79" i="37" s="1"/>
  <c r="F23" i="37"/>
  <c r="S23" i="37" s="1"/>
  <c r="AC13" i="37"/>
  <c r="AA13" i="37"/>
  <c r="H10" i="37"/>
  <c r="AB10" i="37" s="1"/>
  <c r="F63" i="37"/>
  <c r="F11" i="37"/>
  <c r="S11" i="37" s="1"/>
  <c r="W25" i="34"/>
  <c r="AB8" i="34"/>
  <c r="AA33" i="34"/>
  <c r="U43" i="34"/>
  <c r="AC42" i="34"/>
  <c r="AB35" i="34"/>
  <c r="U39" i="34"/>
  <c r="S43" i="34"/>
  <c r="AB41"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G111" i="33"/>
  <c r="H111" i="33" s="1"/>
  <c r="I111" i="33" s="1"/>
  <c r="J111" i="33" s="1"/>
  <c r="K111" i="33" s="1"/>
  <c r="L111" i="33" s="1"/>
  <c r="M111" i="33" s="1"/>
  <c r="J35" i="33"/>
  <c r="S37" i="33"/>
  <c r="AA37" i="33"/>
  <c r="S39" i="33"/>
  <c r="F101" i="33"/>
  <c r="G101" i="33"/>
  <c r="H101" i="33" s="1"/>
  <c r="I101" i="33" s="1"/>
  <c r="J101" i="33" s="1"/>
  <c r="K101" i="33" s="1"/>
  <c r="L101" i="33" s="1"/>
  <c r="M101" i="33" s="1"/>
  <c r="J32" i="33"/>
  <c r="W43" i="33"/>
  <c r="F91" i="33"/>
  <c r="H27" i="33"/>
  <c r="H25" i="33"/>
  <c r="U25" i="33" s="1"/>
  <c r="F25" i="33"/>
  <c r="J23" i="33"/>
  <c r="AC23" i="33" s="1"/>
  <c r="H23" i="33"/>
  <c r="F81" i="33"/>
  <c r="F19" i="33"/>
  <c r="S19" i="33" s="1"/>
  <c r="W19" i="33"/>
  <c r="J17" i="33"/>
  <c r="AC17" i="33" s="1"/>
  <c r="F79" i="33"/>
  <c r="G79" i="33" s="1"/>
  <c r="S15" i="33"/>
  <c r="W15" i="33"/>
  <c r="J10" i="33"/>
  <c r="W10" i="33" s="1"/>
  <c r="H10" i="33"/>
  <c r="U10" i="33" s="1"/>
  <c r="AC11" i="33"/>
  <c r="AB14" i="33"/>
  <c r="W43" i="21"/>
  <c r="W36" i="21"/>
  <c r="W41" i="21"/>
  <c r="AB39" i="21"/>
  <c r="AA43" i="21"/>
  <c r="S39" i="21"/>
  <c r="AA38" i="21"/>
  <c r="AC40" i="21"/>
  <c r="J15" i="21"/>
  <c r="W15" i="21" s="1"/>
  <c r="F77" i="21"/>
  <c r="G77" i="21" s="1"/>
  <c r="F23" i="21"/>
  <c r="S23" i="21" s="1"/>
  <c r="AA14" i="21"/>
  <c r="D120" i="9"/>
  <c r="D121" i="9" s="1"/>
  <c r="D7" i="52" s="1"/>
  <c r="C18" i="9"/>
  <c r="D18" i="9" s="1"/>
  <c r="F34" i="67"/>
  <c r="F62" i="67" s="1"/>
  <c r="M20" i="67"/>
  <c r="F34" i="15"/>
  <c r="F62" i="15" s="1"/>
  <c r="G13" i="3"/>
  <c r="A24" i="51"/>
  <c r="B18" i="72" s="1"/>
  <c r="U29" i="34"/>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W28" i="40"/>
  <c r="W34" i="40"/>
  <c r="W27" i="40"/>
  <c r="S36" i="40"/>
  <c r="W37" i="40"/>
  <c r="AC14" i="40"/>
  <c r="S33" i="40"/>
  <c r="U11" i="40"/>
  <c r="S31" i="40"/>
  <c r="U15" i="40"/>
  <c r="AB17" i="40"/>
  <c r="U8" i="40"/>
  <c r="S8" i="40"/>
  <c r="AC41" i="39"/>
  <c r="U42" i="39"/>
  <c r="W25" i="39"/>
  <c r="AC25" i="39"/>
  <c r="U13" i="39"/>
  <c r="AB13" i="39"/>
  <c r="S14" i="39"/>
  <c r="AA14" i="39"/>
  <c r="U43" i="39"/>
  <c r="AB43" i="39"/>
  <c r="AB11" i="39"/>
  <c r="U11" i="39"/>
  <c r="AA27" i="39"/>
  <c r="S27" i="39"/>
  <c r="W17" i="39"/>
  <c r="S23" i="39"/>
  <c r="AA45" i="39"/>
  <c r="AB39" i="39"/>
  <c r="U38" i="39"/>
  <c r="S8" i="39"/>
  <c r="S20" i="36"/>
  <c r="U32" i="36"/>
  <c r="W29" i="36"/>
  <c r="AB28" i="36"/>
  <c r="AA13" i="36"/>
  <c r="W22" i="36"/>
  <c r="W23" i="36"/>
  <c r="AB20" i="35"/>
  <c r="W35" i="35"/>
  <c r="AA16" i="35"/>
  <c r="S28" i="37"/>
  <c r="U8" i="37"/>
  <c r="AA40" i="34"/>
  <c r="AB40" i="34"/>
  <c r="U19" i="34"/>
  <c r="W19" i="34"/>
  <c r="AB33" i="34"/>
  <c r="AA31" i="34"/>
  <c r="AA30" i="34"/>
  <c r="U25" i="34"/>
  <c r="AB36" i="34"/>
  <c r="W33" i="34"/>
  <c r="AC14" i="34"/>
  <c r="W29" i="34"/>
  <c r="W46" i="34"/>
  <c r="AC46" i="34"/>
  <c r="U30" i="34"/>
  <c r="S37" i="34"/>
  <c r="AC40" i="34"/>
  <c r="W40" i="34"/>
  <c r="AA19" i="34"/>
  <c r="S19" i="34"/>
  <c r="AA36" i="34"/>
  <c r="S36" i="34"/>
  <c r="S8" i="34"/>
  <c r="S46" i="34"/>
  <c r="AA46" i="34"/>
  <c r="U32" i="34"/>
  <c r="AB14" i="34"/>
  <c r="AC43" i="34"/>
  <c r="W43" i="34"/>
  <c r="W23" i="34"/>
  <c r="AC23" i="34"/>
  <c r="AC35" i="34"/>
  <c r="W35" i="34"/>
  <c r="AC37" i="33"/>
  <c r="U39" i="33"/>
  <c r="U38" i="33"/>
  <c r="S33" i="33"/>
  <c r="U44" i="33"/>
  <c r="AB44" i="33"/>
  <c r="S30" i="33"/>
  <c r="AA30" i="33"/>
  <c r="AC14" i="33"/>
  <c r="W14" i="33"/>
  <c r="AC30" i="33"/>
  <c r="W30" i="33"/>
  <c r="S31" i="33"/>
  <c r="AA31" i="33"/>
  <c r="W13" i="33"/>
  <c r="AC13" i="33"/>
  <c r="U15" i="33"/>
  <c r="U37" i="33"/>
  <c r="S28" i="33"/>
  <c r="W9" i="33"/>
  <c r="W8" i="33"/>
  <c r="AB42" i="21"/>
  <c r="S45" i="21"/>
  <c r="F33" i="21"/>
  <c r="AA33" i="21" s="1"/>
  <c r="J33" i="21"/>
  <c r="AC33" i="21" s="1"/>
  <c r="H33" i="21"/>
  <c r="AB33" i="21" s="1"/>
  <c r="F37" i="21"/>
  <c r="AA26" i="21"/>
  <c r="AB14" i="21"/>
  <c r="AB46" i="21"/>
  <c r="AC15" i="21"/>
  <c r="U13" i="21"/>
  <c r="AB13" i="21"/>
  <c r="S35" i="21"/>
  <c r="J37" i="21"/>
  <c r="W37" i="21" s="1"/>
  <c r="H15" i="21"/>
  <c r="U15" i="21" s="1"/>
  <c r="J17" i="21"/>
  <c r="AC17" i="21" s="1"/>
  <c r="AC19" i="21"/>
  <c r="W39" i="21"/>
  <c r="AC14" i="21"/>
  <c r="S46" i="21"/>
  <c r="H45" i="21"/>
  <c r="U45" i="21" s="1"/>
  <c r="F13" i="21"/>
  <c r="AA13" i="21" s="1"/>
  <c r="AC38" i="21"/>
  <c r="H32" i="21"/>
  <c r="H9" i="21"/>
  <c r="J9" i="21"/>
  <c r="AC9" i="21" s="1"/>
  <c r="J32" i="21"/>
  <c r="W32" i="21" s="1"/>
  <c r="F32" i="21"/>
  <c r="S19" i="21"/>
  <c r="S9" i="21"/>
  <c r="AA9" i="21"/>
  <c r="K141" i="21"/>
  <c r="K144" i="21"/>
  <c r="K143" i="21"/>
  <c r="AB25" i="21"/>
  <c r="AB44" i="21"/>
  <c r="AA30" i="21"/>
  <c r="W13" i="21"/>
  <c r="W42" i="21"/>
  <c r="AC45" i="21"/>
  <c r="F10" i="21"/>
  <c r="AA10" i="21" s="1"/>
  <c r="K145" i="21"/>
  <c r="W25" i="21"/>
  <c r="S27" i="21"/>
  <c r="S17" i="21"/>
  <c r="AA15" i="21"/>
  <c r="AC26" i="21"/>
  <c r="S28" i="21"/>
  <c r="AB36" i="21"/>
  <c r="W30" i="40"/>
  <c r="C19" i="39"/>
  <c r="C15" i="40"/>
  <c r="C17" i="40"/>
  <c r="C23" i="40"/>
  <c r="C21" i="40"/>
  <c r="B67" i="43"/>
  <c r="B51" i="43"/>
  <c r="B54" i="43"/>
  <c r="B62" i="43"/>
  <c r="B65" i="43"/>
  <c r="B69" i="43"/>
  <c r="D23" i="15"/>
  <c r="D22" i="15"/>
  <c r="E4" i="4"/>
  <c r="B5" i="62" s="1"/>
  <c r="B73" i="72" s="1"/>
  <c r="C4" i="4"/>
  <c r="F30" i="68"/>
  <c r="F48" i="68" s="1"/>
  <c r="J32" i="39"/>
  <c r="AC32" i="39" s="1"/>
  <c r="H32" i="39"/>
  <c r="AA32" i="39"/>
  <c r="AB21" i="39"/>
  <c r="AA21" i="39"/>
  <c r="S21" i="39"/>
  <c r="J19" i="37"/>
  <c r="W19" i="37" s="1"/>
  <c r="G75" i="37"/>
  <c r="J23" i="37"/>
  <c r="AC23" i="37" s="1"/>
  <c r="J10" i="37"/>
  <c r="W10" i="37" s="1"/>
  <c r="G63" i="37"/>
  <c r="H63" i="37" s="1"/>
  <c r="I63" i="37" s="1"/>
  <c r="J63" i="37" s="1"/>
  <c r="K63" i="37" s="1"/>
  <c r="L63" i="37" s="1"/>
  <c r="M63" i="37" s="1"/>
  <c r="H11" i="37"/>
  <c r="AB11" i="37" s="1"/>
  <c r="G70" i="34"/>
  <c r="H11" i="34"/>
  <c r="U11" i="34" s="1"/>
  <c r="J10" i="34"/>
  <c r="AC10" i="34" s="1"/>
  <c r="AB41" i="33"/>
  <c r="U41" i="33"/>
  <c r="W35" i="33"/>
  <c r="AC35" i="33"/>
  <c r="J36" i="33"/>
  <c r="W36" i="33" s="1"/>
  <c r="H36" i="33"/>
  <c r="U36" i="33" s="1"/>
  <c r="U27" i="33"/>
  <c r="AB27" i="33"/>
  <c r="G91" i="33"/>
  <c r="H91" i="33" s="1"/>
  <c r="I91" i="33" s="1"/>
  <c r="J91" i="33" s="1"/>
  <c r="K91" i="33" s="1"/>
  <c r="L91" i="33" s="1"/>
  <c r="M91" i="33" s="1"/>
  <c r="J27" i="33"/>
  <c r="AC27" i="33" s="1"/>
  <c r="J25" i="33"/>
  <c r="AB23" i="33"/>
  <c r="U23" i="33"/>
  <c r="F23" i="33"/>
  <c r="H19" i="33"/>
  <c r="U19" i="33" s="1"/>
  <c r="G81" i="33"/>
  <c r="H17" i="33"/>
  <c r="U17" i="33" s="1"/>
  <c r="F17" i="33"/>
  <c r="W17" i="33"/>
  <c r="AB15" i="21"/>
  <c r="J23" i="21"/>
  <c r="F85" i="21"/>
  <c r="G85" i="21" s="1"/>
  <c r="H23" i="21"/>
  <c r="U23" i="21" s="1"/>
  <c r="S13" i="21"/>
  <c r="D6" i="52"/>
  <c r="AP7" i="1"/>
  <c r="AB45" i="21"/>
  <c r="AA32" i="21"/>
  <c r="S32" i="21"/>
  <c r="W9" i="21"/>
  <c r="AB32" i="21"/>
  <c r="U32" i="21"/>
  <c r="A18" i="62"/>
  <c r="B64" i="72" s="1"/>
  <c r="J11" i="37"/>
  <c r="AC11" i="37" s="1"/>
  <c r="H70" i="34"/>
  <c r="I70" i="34" s="1"/>
  <c r="J70" i="34" s="1"/>
  <c r="K70" i="34" s="1"/>
  <c r="L70" i="34" s="1"/>
  <c r="M70" i="34" s="1"/>
  <c r="J11" i="34"/>
  <c r="W11" i="34" s="1"/>
  <c r="AB36" i="33"/>
  <c r="AB19" i="33"/>
  <c r="AC23" i="21"/>
  <c r="W23" i="21"/>
  <c r="H109" i="9"/>
  <c r="H112" i="9"/>
  <c r="D21" i="53" s="1"/>
  <c r="B39" i="72" s="1"/>
  <c r="H111" i="9"/>
  <c r="D126" i="9" s="1"/>
  <c r="J1" i="73"/>
  <c r="D24" i="71"/>
  <c r="T24" i="71"/>
  <c r="Y20" i="71"/>
  <c r="Z20" i="71" s="1"/>
  <c r="E10" i="76"/>
  <c r="E8" i="76"/>
  <c r="B12" i="76"/>
  <c r="B10" i="76"/>
  <c r="B7" i="76"/>
  <c r="E13" i="76"/>
  <c r="E7" i="76"/>
  <c r="F6" i="73"/>
  <c r="B13" i="76"/>
  <c r="F36" i="15"/>
  <c r="F7" i="73"/>
  <c r="E2" i="68"/>
  <c r="B11" i="76"/>
  <c r="F26" i="15"/>
  <c r="F3" i="73"/>
  <c r="M26" i="15"/>
  <c r="B9" i="76"/>
  <c r="M8" i="15"/>
  <c r="F38" i="15"/>
  <c r="E2" i="69"/>
  <c r="E11" i="76"/>
  <c r="F13" i="15"/>
  <c r="M6" i="67"/>
  <c r="B8" i="76"/>
  <c r="L47" i="15"/>
  <c r="F7" i="67"/>
  <c r="F43" i="15"/>
  <c r="F9" i="67"/>
  <c r="L47" i="67"/>
  <c r="E9" i="76"/>
  <c r="F4" i="73"/>
  <c r="M22" i="67"/>
  <c r="D6" i="73"/>
  <c r="M28" i="67"/>
  <c r="F5" i="73"/>
  <c r="F16" i="67"/>
  <c r="E12" i="76"/>
  <c r="AO13" i="1"/>
  <c r="F20" i="31"/>
  <c r="M24" i="15"/>
  <c r="M29" i="67"/>
  <c r="M29" i="15"/>
  <c r="F38" i="67"/>
  <c r="F26" i="67"/>
  <c r="F40" i="15"/>
  <c r="J15" i="15"/>
  <c r="F7" i="15"/>
  <c r="AZ380" i="3" l="1"/>
  <c r="AB35" i="33"/>
  <c r="U35" i="33"/>
  <c r="AZ553" i="3"/>
  <c r="AZ543" i="3"/>
  <c r="AZ504" i="3"/>
  <c r="BP5" i="3"/>
  <c r="S11" i="35"/>
  <c r="AA11" i="35"/>
  <c r="U20" i="36"/>
  <c r="AB20" i="36"/>
  <c r="F103" i="37"/>
  <c r="G103" i="37" s="1"/>
  <c r="H103" i="37" s="1"/>
  <c r="I103" i="37" s="1"/>
  <c r="J103" i="37" s="1"/>
  <c r="K103" i="37" s="1"/>
  <c r="L103" i="37" s="1"/>
  <c r="M103" i="37" s="1"/>
  <c r="F35" i="37"/>
  <c r="S35" i="37" s="1"/>
  <c r="AZ574" i="3"/>
  <c r="AB22" i="71"/>
  <c r="AB32" i="33"/>
  <c r="U32" i="33"/>
  <c r="AB28" i="33"/>
  <c r="U28" i="33"/>
  <c r="U12" i="35"/>
  <c r="AB12" i="35"/>
  <c r="C87" i="71"/>
  <c r="D88" i="71"/>
  <c r="AB20" i="71"/>
  <c r="AC25" i="33"/>
  <c r="W25" i="33"/>
  <c r="W32" i="33"/>
  <c r="AC32" i="33"/>
  <c r="BL569" i="3"/>
  <c r="AB40" i="39"/>
  <c r="U40" i="39"/>
  <c r="AB23" i="21"/>
  <c r="U9" i="21"/>
  <c r="AB9" i="21"/>
  <c r="AB46" i="33"/>
  <c r="U46" i="33"/>
  <c r="AC38" i="33"/>
  <c r="W38" i="33"/>
  <c r="AZ572" i="3"/>
  <c r="AZ554" i="3"/>
  <c r="AZ544" i="3"/>
  <c r="AZ533" i="3"/>
  <c r="BA22" i="3"/>
  <c r="BF5" i="3"/>
  <c r="BB5" i="3"/>
  <c r="BJ5" i="3"/>
  <c r="W36" i="40"/>
  <c r="AC36" i="40"/>
  <c r="AA24" i="35"/>
  <c r="S24" i="35"/>
  <c r="H15" i="37"/>
  <c r="E71" i="37"/>
  <c r="F71" i="37" s="1"/>
  <c r="G71" i="37" s="1"/>
  <c r="AZ326" i="3"/>
  <c r="AZ204" i="3"/>
  <c r="AA14" i="36"/>
  <c r="S14" i="36"/>
  <c r="W28" i="21"/>
  <c r="AC28" i="21"/>
  <c r="V24" i="71"/>
  <c r="E23" i="71"/>
  <c r="S35" i="33"/>
  <c r="AA35" i="33"/>
  <c r="F15" i="37"/>
  <c r="AA15" i="37" s="1"/>
  <c r="AZ516" i="3"/>
  <c r="AC13" i="35"/>
  <c r="W13" i="35"/>
  <c r="W28" i="35"/>
  <c r="X23" i="71"/>
  <c r="AB32" i="39"/>
  <c r="U32" i="39"/>
  <c r="AA37" i="21"/>
  <c r="S37" i="21"/>
  <c r="AA32" i="34"/>
  <c r="AA36" i="33"/>
  <c r="S36" i="33"/>
  <c r="S17" i="33"/>
  <c r="AA17" i="33"/>
  <c r="AA39" i="40"/>
  <c r="S39" i="40"/>
  <c r="BN5" i="3"/>
  <c r="G29" i="6" s="1"/>
  <c r="AZ331" i="3"/>
  <c r="BL571" i="3"/>
  <c r="AB17" i="21"/>
  <c r="U17" i="21"/>
  <c r="W32" i="34"/>
  <c r="AC32" i="34"/>
  <c r="H5" i="3"/>
  <c r="BE5" i="3"/>
  <c r="BG5" i="3"/>
  <c r="BI5" i="3"/>
  <c r="BO5" i="3"/>
  <c r="H14" i="37"/>
  <c r="AB14" i="37" s="1"/>
  <c r="J14" i="37"/>
  <c r="AZ527" i="3"/>
  <c r="AZ501" i="3"/>
  <c r="BA389" i="3"/>
  <c r="AZ389" i="3" s="1"/>
  <c r="BR5" i="3"/>
  <c r="G28" i="6" s="1"/>
  <c r="S36" i="21"/>
  <c r="AA36" i="21"/>
  <c r="BM5" i="3"/>
  <c r="F29" i="6" s="1"/>
  <c r="AC27" i="21"/>
  <c r="AA20" i="71"/>
  <c r="J15" i="37"/>
  <c r="W15" i="37" s="1"/>
  <c r="AA3" i="71"/>
  <c r="AZ327" i="3"/>
  <c r="AB41" i="39"/>
  <c r="U41" i="39"/>
  <c r="AZ536" i="3"/>
  <c r="AA13" i="39"/>
  <c r="S13" i="39"/>
  <c r="W25" i="36"/>
  <c r="AC25" i="36"/>
  <c r="AB27" i="21"/>
  <c r="S15" i="40"/>
  <c r="AA15" i="40"/>
  <c r="W28" i="34"/>
  <c r="AC28" i="34"/>
  <c r="U45" i="34"/>
  <c r="AB45" i="34"/>
  <c r="AC25" i="35"/>
  <c r="W25" i="35"/>
  <c r="BL566" i="3"/>
  <c r="W26" i="36"/>
  <c r="AC26" i="36"/>
  <c r="S13" i="33"/>
  <c r="AA13" i="33"/>
  <c r="B99" i="43"/>
  <c r="B56" i="43"/>
  <c r="BH5" i="3"/>
  <c r="W20" i="36"/>
  <c r="AC20" i="36"/>
  <c r="S22" i="36"/>
  <c r="AA22" i="36"/>
  <c r="AA46" i="33"/>
  <c r="S46" i="33"/>
  <c r="AB13" i="36"/>
  <c r="U13" i="36"/>
  <c r="W34" i="21"/>
  <c r="AC34" i="21"/>
  <c r="AZ325" i="3"/>
  <c r="BC5" i="3"/>
  <c r="E13" i="6" s="1"/>
  <c r="B24" i="71"/>
  <c r="X20" i="71"/>
  <c r="S32" i="40"/>
  <c r="AA32" i="40"/>
  <c r="W36" i="37"/>
  <c r="S25" i="33"/>
  <c r="AA25" i="33"/>
  <c r="AZ143" i="3"/>
  <c r="AZ519" i="3"/>
  <c r="F14" i="37"/>
  <c r="S14" i="37" s="1"/>
  <c r="AB30" i="40"/>
  <c r="U30" i="40"/>
  <c r="AA45" i="33"/>
  <c r="W17" i="40"/>
  <c r="AC17" i="40"/>
  <c r="AA11" i="33"/>
  <c r="S11" i="33"/>
  <c r="S25" i="34"/>
  <c r="AA25" i="34"/>
  <c r="J32" i="40"/>
  <c r="H32" i="40"/>
  <c r="U30" i="36"/>
  <c r="AB30" i="36"/>
  <c r="BA580" i="3"/>
  <c r="AZ580" i="3" s="1"/>
  <c r="BA573" i="3"/>
  <c r="BA564" i="3"/>
  <c r="BA351" i="3"/>
  <c r="BL351" i="3"/>
  <c r="BA355" i="3"/>
  <c r="AZ355" i="3" s="1"/>
  <c r="BA356" i="3"/>
  <c r="AZ356" i="3" s="1"/>
  <c r="BA357" i="3"/>
  <c r="AZ357" i="3" s="1"/>
  <c r="BL357" i="3"/>
  <c r="G358" i="3"/>
  <c r="BL358" i="3"/>
  <c r="BA359" i="3"/>
  <c r="BA360" i="3"/>
  <c r="BL360" i="3"/>
  <c r="BA361" i="3"/>
  <c r="BL361" i="3"/>
  <c r="BL362" i="3"/>
  <c r="AZ362" i="3" s="1"/>
  <c r="BA363" i="3"/>
  <c r="BA364" i="3"/>
  <c r="G366" i="3"/>
  <c r="BA369" i="3"/>
  <c r="BL369" i="3"/>
  <c r="BL370" i="3"/>
  <c r="BA371" i="3"/>
  <c r="AZ371" i="3" s="1"/>
  <c r="BL371" i="3"/>
  <c r="BA372" i="3"/>
  <c r="BA373" i="3"/>
  <c r="AZ373" i="3" s="1"/>
  <c r="BL374" i="3"/>
  <c r="BA375" i="3"/>
  <c r="BA376" i="3"/>
  <c r="AZ376" i="3" s="1"/>
  <c r="BL376" i="3"/>
  <c r="BA377" i="3"/>
  <c r="AZ377" i="3" s="1"/>
  <c r="BL378" i="3"/>
  <c r="BL379" i="3"/>
  <c r="AZ379" i="3" s="1"/>
  <c r="BL380" i="3"/>
  <c r="BA382" i="3"/>
  <c r="BA383" i="3"/>
  <c r="BL383" i="3"/>
  <c r="BL384" i="3"/>
  <c r="G385" i="3"/>
  <c r="BA387" i="3"/>
  <c r="BL387" i="3"/>
  <c r="BL388" i="3"/>
  <c r="BL389" i="3"/>
  <c r="BA390" i="3"/>
  <c r="AZ390" i="3" s="1"/>
  <c r="BA391" i="3"/>
  <c r="AZ391" i="3" s="1"/>
  <c r="G393" i="3"/>
  <c r="BA393" i="3"/>
  <c r="BA394" i="3"/>
  <c r="BL394" i="3"/>
  <c r="BA217" i="3"/>
  <c r="G220" i="3"/>
  <c r="BA293" i="3"/>
  <c r="G295" i="3"/>
  <c r="AZ120" i="3"/>
  <c r="AZ124" i="3"/>
  <c r="BA30" i="3"/>
  <c r="U34" i="33"/>
  <c r="AB34" i="33"/>
  <c r="AA11" i="36"/>
  <c r="S11" i="36"/>
  <c r="BA587" i="3"/>
  <c r="BA566" i="3"/>
  <c r="AZ566" i="3" s="1"/>
  <c r="AZ542" i="3"/>
  <c r="AZ322" i="3"/>
  <c r="W19" i="40"/>
  <c r="W28" i="33"/>
  <c r="AC28" i="33"/>
  <c r="AA35" i="39"/>
  <c r="S35" i="39"/>
  <c r="F29" i="21"/>
  <c r="AA29" i="21" s="1"/>
  <c r="J29" i="21"/>
  <c r="S35" i="35"/>
  <c r="S19" i="39"/>
  <c r="S25" i="21"/>
  <c r="AA25" i="21"/>
  <c r="BL529" i="3"/>
  <c r="AA14" i="40"/>
  <c r="S14" i="40"/>
  <c r="AA31" i="35"/>
  <c r="S31" i="35"/>
  <c r="AA17" i="34"/>
  <c r="S17" i="34"/>
  <c r="S41" i="39"/>
  <c r="AA41" i="39"/>
  <c r="BA582" i="3"/>
  <c r="AZ582" i="3" s="1"/>
  <c r="BL551" i="3"/>
  <c r="AZ540" i="3"/>
  <c r="AZ508" i="3"/>
  <c r="AZ311" i="3"/>
  <c r="BD5" i="3"/>
  <c r="C36" i="71"/>
  <c r="D36" i="71" s="1"/>
  <c r="D35" i="71"/>
  <c r="T76" i="71"/>
  <c r="C75" i="71"/>
  <c r="D76" i="71"/>
  <c r="AZ308" i="3"/>
  <c r="W30" i="36"/>
  <c r="J24" i="35"/>
  <c r="H24" i="35"/>
  <c r="D46" i="71"/>
  <c r="C47" i="71"/>
  <c r="D47" i="71" s="1"/>
  <c r="AC20" i="35"/>
  <c r="AA34" i="33"/>
  <c r="AC12" i="33"/>
  <c r="BL511" i="3"/>
  <c r="AZ511" i="3" s="1"/>
  <c r="AB40" i="21"/>
  <c r="U40" i="21"/>
  <c r="BA571" i="3"/>
  <c r="AZ571" i="3" s="1"/>
  <c r="BA569" i="3"/>
  <c r="BA13" i="3"/>
  <c r="BS5" i="3"/>
  <c r="B13" i="53"/>
  <c r="B29" i="72" s="1"/>
  <c r="J56" i="9"/>
  <c r="J57" i="9" s="1"/>
  <c r="J59" i="9" s="1"/>
  <c r="J61" i="9" s="1"/>
  <c r="U28" i="34"/>
  <c r="W41" i="34"/>
  <c r="F17" i="37"/>
  <c r="AA17" i="37" s="1"/>
  <c r="S20" i="35"/>
  <c r="U16" i="36"/>
  <c r="U14" i="39"/>
  <c r="S17" i="40"/>
  <c r="AC34" i="33"/>
  <c r="W28" i="37"/>
  <c r="M85" i="43"/>
  <c r="N85" i="43" s="1"/>
  <c r="K85" i="43"/>
  <c r="D85" i="43" s="1"/>
  <c r="AZ159" i="3"/>
  <c r="BL543" i="3"/>
  <c r="BL565" i="3"/>
  <c r="AZ565" i="3" s="1"/>
  <c r="BL579" i="3"/>
  <c r="AZ579" i="3" s="1"/>
  <c r="W31" i="34"/>
  <c r="AB11" i="33"/>
  <c r="U11" i="33"/>
  <c r="AB14" i="35"/>
  <c r="U14" i="35"/>
  <c r="J31" i="21"/>
  <c r="H31" i="21"/>
  <c r="F31" i="21"/>
  <c r="AC41" i="33"/>
  <c r="W41" i="33"/>
  <c r="AZ525" i="3"/>
  <c r="BL573" i="3"/>
  <c r="AZ573" i="3" s="1"/>
  <c r="BA577" i="3"/>
  <c r="BA515" i="3"/>
  <c r="AA33" i="35"/>
  <c r="AA28" i="34"/>
  <c r="S28" i="34"/>
  <c r="F66" i="71"/>
  <c r="Q67" i="71"/>
  <c r="AB19" i="71"/>
  <c r="W32" i="39"/>
  <c r="AA12" i="33"/>
  <c r="BL553" i="3"/>
  <c r="BL580" i="3"/>
  <c r="BA570" i="3"/>
  <c r="AZ570" i="3" s="1"/>
  <c r="AA19" i="33"/>
  <c r="AB25" i="33"/>
  <c r="U28" i="21"/>
  <c r="W46" i="33"/>
  <c r="U38" i="34"/>
  <c r="AA39" i="39"/>
  <c r="AA23" i="21"/>
  <c r="S40" i="37"/>
  <c r="U25" i="36"/>
  <c r="W34" i="39"/>
  <c r="S13" i="40"/>
  <c r="AB28" i="40"/>
  <c r="AC39" i="34"/>
  <c r="U22" i="35"/>
  <c r="AB27" i="35"/>
  <c r="U37" i="39"/>
  <c r="BA15" i="3"/>
  <c r="AA43" i="33"/>
  <c r="S43" i="33"/>
  <c r="BL581" i="3"/>
  <c r="AZ581" i="3" s="1"/>
  <c r="AB26" i="33"/>
  <c r="AC35" i="40"/>
  <c r="W35" i="40"/>
  <c r="J45" i="34"/>
  <c r="U40" i="37"/>
  <c r="AB40" i="37"/>
  <c r="H29" i="21"/>
  <c r="F9" i="34"/>
  <c r="AA9" i="34" s="1"/>
  <c r="J9" i="34"/>
  <c r="H9" i="34"/>
  <c r="F47" i="34"/>
  <c r="H47" i="34"/>
  <c r="H27" i="37"/>
  <c r="F27" i="37"/>
  <c r="J27" i="37"/>
  <c r="AA9" i="39"/>
  <c r="S9" i="39"/>
  <c r="J12" i="39"/>
  <c r="H12" i="39"/>
  <c r="H39" i="40"/>
  <c r="BA40" i="3"/>
  <c r="G48" i="3"/>
  <c r="BL48" i="3"/>
  <c r="AZ48" i="3" s="1"/>
  <c r="BA62" i="3"/>
  <c r="AZ329" i="3"/>
  <c r="AA37" i="39"/>
  <c r="S37" i="39"/>
  <c r="BA552" i="3"/>
  <c r="D67" i="71"/>
  <c r="C66" i="71"/>
  <c r="O67" i="71"/>
  <c r="U80" i="71"/>
  <c r="E79" i="71"/>
  <c r="E78" i="71" s="1"/>
  <c r="BL541" i="3"/>
  <c r="AZ541" i="3" s="1"/>
  <c r="AB36" i="71"/>
  <c r="AB35" i="71"/>
  <c r="U13" i="40"/>
  <c r="AB13" i="40"/>
  <c r="F25" i="35"/>
  <c r="H25" i="35"/>
  <c r="BL578" i="3"/>
  <c r="AZ578" i="3" s="1"/>
  <c r="AZ560" i="3"/>
  <c r="U24" i="71"/>
  <c r="S44" i="21"/>
  <c r="BL17" i="3"/>
  <c r="AZ17" i="3" s="1"/>
  <c r="AA45" i="34"/>
  <c r="J17" i="37"/>
  <c r="W17" i="37" s="1"/>
  <c r="BL497" i="3"/>
  <c r="BL515" i="3"/>
  <c r="BL521" i="3"/>
  <c r="AZ521" i="3" s="1"/>
  <c r="U13" i="35"/>
  <c r="AB13" i="35"/>
  <c r="J30" i="21"/>
  <c r="B101" i="43"/>
  <c r="C25" i="39"/>
  <c r="B58" i="43"/>
  <c r="AB40" i="33"/>
  <c r="U40" i="33"/>
  <c r="AA32" i="35"/>
  <c r="S32" i="35"/>
  <c r="H9" i="36"/>
  <c r="AB9" i="36" s="1"/>
  <c r="J9" i="36"/>
  <c r="AB9" i="39"/>
  <c r="U9" i="39"/>
  <c r="H31" i="39"/>
  <c r="F31" i="39"/>
  <c r="J31" i="39"/>
  <c r="AB34" i="40"/>
  <c r="U34" i="40"/>
  <c r="BL554" i="3"/>
  <c r="BL552" i="3"/>
  <c r="BA548" i="3"/>
  <c r="BL538" i="3"/>
  <c r="AZ538" i="3" s="1"/>
  <c r="BA534" i="3"/>
  <c r="AZ534" i="3" s="1"/>
  <c r="BL522" i="3"/>
  <c r="AZ522" i="3" s="1"/>
  <c r="BA520" i="3"/>
  <c r="AZ520" i="3" s="1"/>
  <c r="BA509" i="3"/>
  <c r="AZ509" i="3" s="1"/>
  <c r="BL508" i="3"/>
  <c r="BA502" i="3"/>
  <c r="AZ502" i="3" s="1"/>
  <c r="BA497" i="3"/>
  <c r="BA495" i="3"/>
  <c r="AZ495" i="3" s="1"/>
  <c r="G457" i="3"/>
  <c r="G221" i="3"/>
  <c r="BL230" i="3"/>
  <c r="BL298" i="3"/>
  <c r="BA301" i="3"/>
  <c r="BL116" i="3"/>
  <c r="AZ116" i="3" s="1"/>
  <c r="BA123" i="3"/>
  <c r="BA127" i="3"/>
  <c r="BA33" i="3"/>
  <c r="BA37" i="3"/>
  <c r="G39" i="3"/>
  <c r="BL39" i="3"/>
  <c r="BL54" i="3"/>
  <c r="BA60" i="3"/>
  <c r="AZ304" i="3"/>
  <c r="BL505" i="3"/>
  <c r="AZ505" i="3" s="1"/>
  <c r="BL517" i="3"/>
  <c r="G521" i="3"/>
  <c r="BL577" i="3"/>
  <c r="AB34" i="21"/>
  <c r="U34" i="21"/>
  <c r="BA586" i="3"/>
  <c r="AZ586" i="3" s="1"/>
  <c r="J12" i="34"/>
  <c r="H12" i="34"/>
  <c r="F12" i="34"/>
  <c r="S12" i="34" s="1"/>
  <c r="AB34" i="35"/>
  <c r="U34" i="35"/>
  <c r="S38" i="34"/>
  <c r="AA38" i="34"/>
  <c r="BL575" i="3"/>
  <c r="AZ575" i="3" s="1"/>
  <c r="BA557" i="3"/>
  <c r="AZ557" i="3" s="1"/>
  <c r="BA400" i="3"/>
  <c r="G47" i="3"/>
  <c r="W21" i="21"/>
  <c r="AC21" i="21"/>
  <c r="C64" i="71"/>
  <c r="D63" i="71"/>
  <c r="G14" i="3"/>
  <c r="BL16" i="3"/>
  <c r="AZ16" i="3" s="1"/>
  <c r="BA401" i="3"/>
  <c r="BL412" i="3"/>
  <c r="BA197" i="3"/>
  <c r="BL35" i="3"/>
  <c r="G37" i="3"/>
  <c r="BL399" i="3"/>
  <c r="BA410" i="3"/>
  <c r="BL410" i="3"/>
  <c r="G469" i="3"/>
  <c r="BA220" i="3"/>
  <c r="AZ220" i="3" s="1"/>
  <c r="BA188" i="3"/>
  <c r="AZ188" i="3" s="1"/>
  <c r="BA204" i="3"/>
  <c r="G27" i="3"/>
  <c r="C60" i="71"/>
  <c r="D59" i="71"/>
  <c r="AA34" i="36"/>
  <c r="AZ195" i="3"/>
  <c r="W40" i="37"/>
  <c r="BL527" i="3"/>
  <c r="BL559" i="3"/>
  <c r="AZ559" i="3" s="1"/>
  <c r="BL583" i="3"/>
  <c r="AC28" i="36"/>
  <c r="W28" i="36"/>
  <c r="AB31" i="36"/>
  <c r="U31" i="36"/>
  <c r="BA549" i="3"/>
  <c r="AZ549" i="3" s="1"/>
  <c r="BA533" i="3"/>
  <c r="G527" i="3"/>
  <c r="BA524" i="3"/>
  <c r="AZ524" i="3" s="1"/>
  <c r="BA521" i="3"/>
  <c r="BL518" i="3"/>
  <c r="BL458" i="3"/>
  <c r="BA464" i="3"/>
  <c r="F40" i="68"/>
  <c r="C40" i="68"/>
  <c r="B100" i="43"/>
  <c r="B57" i="43"/>
  <c r="B68" i="43"/>
  <c r="C29" i="39"/>
  <c r="F27" i="71"/>
  <c r="F26" i="71" s="1"/>
  <c r="BL433" i="3"/>
  <c r="BL434" i="3"/>
  <c r="AZ434" i="3" s="1"/>
  <c r="BL445" i="3"/>
  <c r="BL446" i="3"/>
  <c r="BA451" i="3"/>
  <c r="BA231" i="3"/>
  <c r="AZ239" i="3"/>
  <c r="BA255" i="3"/>
  <c r="BL259" i="3"/>
  <c r="BL121" i="3"/>
  <c r="BA125" i="3"/>
  <c r="G138" i="3"/>
  <c r="BA162" i="3"/>
  <c r="BL181" i="3"/>
  <c r="BA186" i="3"/>
  <c r="AZ186" i="3" s="1"/>
  <c r="BL198" i="3"/>
  <c r="G199" i="3"/>
  <c r="BL24" i="3"/>
  <c r="BL34" i="3"/>
  <c r="BA42" i="3"/>
  <c r="BL79" i="3"/>
  <c r="G586" i="3"/>
  <c r="BA431" i="3"/>
  <c r="BL431" i="3"/>
  <c r="G433" i="3"/>
  <c r="BA441" i="3"/>
  <c r="G444" i="3"/>
  <c r="BA452" i="3"/>
  <c r="BL452" i="3"/>
  <c r="G454" i="3"/>
  <c r="G455" i="3"/>
  <c r="BA489" i="3"/>
  <c r="AZ489" i="3" s="1"/>
  <c r="BA246" i="3"/>
  <c r="G302" i="3"/>
  <c r="BA116" i="3"/>
  <c r="BA124" i="3"/>
  <c r="G127" i="3"/>
  <c r="BA133" i="3"/>
  <c r="G136" i="3"/>
  <c r="BL143" i="3"/>
  <c r="BL86" i="3"/>
  <c r="BA109" i="3"/>
  <c r="G112" i="3"/>
  <c r="BL112" i="3"/>
  <c r="X31" i="71"/>
  <c r="Y35" i="71"/>
  <c r="Z35" i="71" s="1"/>
  <c r="C38" i="71"/>
  <c r="D38" i="71" s="1"/>
  <c r="E63" i="71"/>
  <c r="E64" i="71" s="1"/>
  <c r="U64" i="71" s="1"/>
  <c r="N67" i="71"/>
  <c r="B66" i="71"/>
  <c r="G585" i="3"/>
  <c r="BA419" i="3"/>
  <c r="BL419" i="3"/>
  <c r="BL430" i="3"/>
  <c r="BL451" i="3"/>
  <c r="BL490" i="3"/>
  <c r="BA348" i="3"/>
  <c r="BA350" i="3"/>
  <c r="AZ350" i="3" s="1"/>
  <c r="G387" i="3"/>
  <c r="BL222" i="3"/>
  <c r="BL241" i="3"/>
  <c r="BA245" i="3"/>
  <c r="G249" i="3"/>
  <c r="BA270" i="3"/>
  <c r="AZ270" i="3" s="1"/>
  <c r="BL272" i="3"/>
  <c r="BL273" i="3"/>
  <c r="BA296" i="3"/>
  <c r="BA298" i="3"/>
  <c r="AZ298" i="3" s="1"/>
  <c r="BL133" i="3"/>
  <c r="BL93" i="3"/>
  <c r="BL103" i="3"/>
  <c r="BL110" i="3"/>
  <c r="G111" i="3"/>
  <c r="J51" i="15"/>
  <c r="L59" i="15" s="1"/>
  <c r="D62" i="71"/>
  <c r="B27" i="71"/>
  <c r="B26" i="71" s="1"/>
  <c r="S28" i="71"/>
  <c r="AB34" i="71"/>
  <c r="E39" i="71"/>
  <c r="E40" i="71" s="1"/>
  <c r="U40" i="71" s="1"/>
  <c r="F47" i="71"/>
  <c r="F48" i="71" s="1"/>
  <c r="V48" i="71" s="1"/>
  <c r="B51" i="71"/>
  <c r="B52" i="71" s="1"/>
  <c r="S52" i="71" s="1"/>
  <c r="BL495" i="3"/>
  <c r="BL535" i="3"/>
  <c r="AZ535" i="3" s="1"/>
  <c r="H23" i="36"/>
  <c r="F23" i="36"/>
  <c r="BA403" i="3"/>
  <c r="BL443" i="3"/>
  <c r="G460" i="3"/>
  <c r="BL469" i="3"/>
  <c r="G470" i="3"/>
  <c r="G351" i="3"/>
  <c r="BA392" i="3"/>
  <c r="AZ392" i="3" s="1"/>
  <c r="BL211" i="3"/>
  <c r="G212" i="3"/>
  <c r="BA228" i="3"/>
  <c r="G231" i="3"/>
  <c r="BL254" i="3"/>
  <c r="BL256" i="3"/>
  <c r="AZ256" i="3" s="1"/>
  <c r="G93" i="3"/>
  <c r="G102" i="3"/>
  <c r="AB29" i="39"/>
  <c r="U29" i="39"/>
  <c r="BL402" i="3"/>
  <c r="AZ402" i="3" s="1"/>
  <c r="BA406" i="3"/>
  <c r="AZ406" i="3" s="1"/>
  <c r="BL409" i="3"/>
  <c r="BA462" i="3"/>
  <c r="AZ462" i="3" s="1"/>
  <c r="BL462" i="3"/>
  <c r="BL465" i="3"/>
  <c r="BA473" i="3"/>
  <c r="AZ473" i="3" s="1"/>
  <c r="BL473" i="3"/>
  <c r="BL474" i="3"/>
  <c r="BL484" i="3"/>
  <c r="BL340" i="3"/>
  <c r="AZ340" i="3" s="1"/>
  <c r="BL208" i="3"/>
  <c r="BL210" i="3"/>
  <c r="BL216" i="3"/>
  <c r="BA225" i="3"/>
  <c r="BA235" i="3"/>
  <c r="BA250" i="3"/>
  <c r="BA252" i="3"/>
  <c r="AZ252" i="3" s="1"/>
  <c r="G255" i="3"/>
  <c r="BL262" i="3"/>
  <c r="BL264" i="3"/>
  <c r="BA268" i="3"/>
  <c r="BL280" i="3"/>
  <c r="BL282" i="3"/>
  <c r="BL289" i="3"/>
  <c r="G291" i="3"/>
  <c r="BL300" i="3"/>
  <c r="BA149" i="3"/>
  <c r="BL161" i="3"/>
  <c r="BA177" i="3"/>
  <c r="BL69" i="3"/>
  <c r="BA79" i="3"/>
  <c r="G101" i="3"/>
  <c r="G108" i="3"/>
  <c r="G109" i="3"/>
  <c r="AA21" i="34"/>
  <c r="Y26" i="71"/>
  <c r="Z26" i="71" s="1"/>
  <c r="BA420" i="3"/>
  <c r="BL423" i="3"/>
  <c r="G440" i="3"/>
  <c r="BL440" i="3"/>
  <c r="BL449" i="3"/>
  <c r="BL450" i="3"/>
  <c r="BA458" i="3"/>
  <c r="AZ458" i="3" s="1"/>
  <c r="BA469" i="3"/>
  <c r="BL472" i="3"/>
  <c r="BA481" i="3"/>
  <c r="BA335" i="3"/>
  <c r="AZ335" i="3" s="1"/>
  <c r="BA214" i="3"/>
  <c r="AZ214" i="3" s="1"/>
  <c r="BA233" i="3"/>
  <c r="BA241" i="3"/>
  <c r="AZ241" i="3" s="1"/>
  <c r="BA258" i="3"/>
  <c r="AZ258" i="3" s="1"/>
  <c r="BA277" i="3"/>
  <c r="BA288" i="3"/>
  <c r="BA148" i="3"/>
  <c r="AZ148" i="3" s="1"/>
  <c r="BA157" i="3"/>
  <c r="BL169" i="3"/>
  <c r="BL177" i="3"/>
  <c r="BA77" i="3"/>
  <c r="BL77" i="3"/>
  <c r="BL88" i="3"/>
  <c r="AZ88" i="3" s="1"/>
  <c r="BL90" i="3"/>
  <c r="BA95" i="3"/>
  <c r="BA404" i="3"/>
  <c r="BA405" i="3"/>
  <c r="AZ405" i="3" s="1"/>
  <c r="G407" i="3"/>
  <c r="G408" i="3"/>
  <c r="G409" i="3"/>
  <c r="BA422" i="3"/>
  <c r="G438" i="3"/>
  <c r="BL438" i="3"/>
  <c r="BL439" i="3"/>
  <c r="BA443" i="3"/>
  <c r="AZ443" i="3" s="1"/>
  <c r="BA456" i="3"/>
  <c r="AZ456" i="3" s="1"/>
  <c r="BL456" i="3"/>
  <c r="G461" i="3"/>
  <c r="BA470" i="3"/>
  <c r="BL470" i="3"/>
  <c r="G472" i="3"/>
  <c r="BA319" i="3"/>
  <c r="AZ319" i="3" s="1"/>
  <c r="BL328" i="3"/>
  <c r="AZ328" i="3" s="1"/>
  <c r="G329" i="3"/>
  <c r="G362" i="3"/>
  <c r="BA240" i="3"/>
  <c r="BL242" i="3"/>
  <c r="G243" i="3"/>
  <c r="BL244" i="3"/>
  <c r="BA248" i="3"/>
  <c r="G253" i="3"/>
  <c r="BA257" i="3"/>
  <c r="G260" i="3"/>
  <c r="G261" i="3"/>
  <c r="BL278" i="3"/>
  <c r="G279" i="3"/>
  <c r="BA286" i="3"/>
  <c r="AZ286" i="3" s="1"/>
  <c r="BL286" i="3"/>
  <c r="BA120" i="3"/>
  <c r="G123" i="3"/>
  <c r="BL139" i="3"/>
  <c r="AZ139" i="3" s="1"/>
  <c r="G140" i="3"/>
  <c r="BL141" i="3"/>
  <c r="BA156" i="3"/>
  <c r="AZ156" i="3" s="1"/>
  <c r="BL157" i="3"/>
  <c r="BL159" i="3"/>
  <c r="G160" i="3"/>
  <c r="BA47" i="3"/>
  <c r="BA55" i="3"/>
  <c r="BA65" i="3"/>
  <c r="BL76" i="3"/>
  <c r="G80" i="3"/>
  <c r="BA84" i="3"/>
  <c r="AC18" i="35"/>
  <c r="E55" i="71"/>
  <c r="E56" i="71" s="1"/>
  <c r="U56" i="71" s="1"/>
  <c r="P68" i="71"/>
  <c r="U68" i="71"/>
  <c r="E67" i="71"/>
  <c r="BL166" i="3"/>
  <c r="BL186" i="3"/>
  <c r="BL195" i="3"/>
  <c r="BL205" i="3"/>
  <c r="BL23" i="3"/>
  <c r="G44" i="3"/>
  <c r="BA50" i="3"/>
  <c r="BL52" i="3"/>
  <c r="BA70" i="3"/>
  <c r="BA71" i="3"/>
  <c r="BA92" i="3"/>
  <c r="BA94" i="3"/>
  <c r="BL96" i="3"/>
  <c r="AA34" i="71"/>
  <c r="AA38" i="71"/>
  <c r="C23" i="71"/>
  <c r="BA463" i="3"/>
  <c r="G466" i="3"/>
  <c r="G467" i="3"/>
  <c r="BL467" i="3"/>
  <c r="BL468" i="3"/>
  <c r="G478" i="3"/>
  <c r="BL488" i="3"/>
  <c r="G490" i="3"/>
  <c r="BA331" i="3"/>
  <c r="BA339" i="3"/>
  <c r="AZ339" i="3" s="1"/>
  <c r="BL359" i="3"/>
  <c r="BL367" i="3"/>
  <c r="BL375" i="3"/>
  <c r="BL386" i="3"/>
  <c r="BL395" i="3"/>
  <c r="BL397" i="3"/>
  <c r="AZ397" i="3" s="1"/>
  <c r="BL214" i="3"/>
  <c r="G218" i="3"/>
  <c r="BL225" i="3"/>
  <c r="BL226" i="3"/>
  <c r="G229" i="3"/>
  <c r="BA244" i="3"/>
  <c r="AZ244" i="3" s="1"/>
  <c r="BL267" i="3"/>
  <c r="BA282" i="3"/>
  <c r="AZ282" i="3" s="1"/>
  <c r="G135" i="3"/>
  <c r="BA201" i="3"/>
  <c r="G205" i="3"/>
  <c r="G33" i="3"/>
  <c r="G34" i="3"/>
  <c r="G43" i="3"/>
  <c r="BA67" i="3"/>
  <c r="G106" i="3"/>
  <c r="X36" i="71"/>
  <c r="E51" i="71"/>
  <c r="E52" i="71" s="1"/>
  <c r="U52" i="71" s="1"/>
  <c r="B55" i="71"/>
  <c r="B56" i="71" s="1"/>
  <c r="S56" i="71" s="1"/>
  <c r="F63" i="71"/>
  <c r="F64" i="71" s="1"/>
  <c r="V64" i="71" s="1"/>
  <c r="G477" i="3"/>
  <c r="BL487" i="3"/>
  <c r="AZ487" i="3" s="1"/>
  <c r="G488" i="3"/>
  <c r="BL324" i="3"/>
  <c r="AZ324" i="3" s="1"/>
  <c r="BA366" i="3"/>
  <c r="AZ366" i="3" s="1"/>
  <c r="BA385" i="3"/>
  <c r="BL385" i="3"/>
  <c r="BA210" i="3"/>
  <c r="AZ210" i="3" s="1"/>
  <c r="BA212" i="3"/>
  <c r="AZ212" i="3" s="1"/>
  <c r="BL212" i="3"/>
  <c r="G214" i="3"/>
  <c r="BL224" i="3"/>
  <c r="G225" i="3"/>
  <c r="BL237" i="3"/>
  <c r="G238" i="3"/>
  <c r="BL239" i="3"/>
  <c r="G246" i="3"/>
  <c r="BA254" i="3"/>
  <c r="G256" i="3"/>
  <c r="BL266" i="3"/>
  <c r="G276" i="3"/>
  <c r="BL277" i="3"/>
  <c r="G285" i="3"/>
  <c r="BA302" i="3"/>
  <c r="G115" i="3"/>
  <c r="BA121" i="3"/>
  <c r="BA129" i="3"/>
  <c r="BL163" i="3"/>
  <c r="AZ163" i="3" s="1"/>
  <c r="BL183" i="3"/>
  <c r="AZ183" i="3" s="1"/>
  <c r="BA190" i="3"/>
  <c r="BL201" i="3"/>
  <c r="BL203" i="3"/>
  <c r="AZ203" i="3" s="1"/>
  <c r="BA18" i="3"/>
  <c r="G21" i="3"/>
  <c r="BL21" i="3"/>
  <c r="G23" i="3"/>
  <c r="G31" i="3"/>
  <c r="BA56" i="3"/>
  <c r="BA57" i="3"/>
  <c r="BL58" i="3"/>
  <c r="G60" i="3"/>
  <c r="BA66" i="3"/>
  <c r="G69" i="3"/>
  <c r="G70" i="3"/>
  <c r="BL82" i="3"/>
  <c r="G83" i="3"/>
  <c r="BL92" i="3"/>
  <c r="G95" i="3"/>
  <c r="BA101" i="3"/>
  <c r="C40" i="69"/>
  <c r="B35" i="71"/>
  <c r="B36" i="71" s="1"/>
  <c r="S36" i="71" s="1"/>
  <c r="AA35" i="71"/>
  <c r="Y38" i="71"/>
  <c r="Z38" i="71" s="1"/>
  <c r="F51" i="71"/>
  <c r="F52" i="71" s="1"/>
  <c r="V52" i="71" s="1"/>
  <c r="B59" i="71"/>
  <c r="B60" i="71" s="1"/>
  <c r="S60" i="71" s="1"/>
  <c r="C52" i="37"/>
  <c r="D52" i="37" s="1"/>
  <c r="E7" i="37"/>
  <c r="G7" i="37"/>
  <c r="I7" i="37"/>
  <c r="W39" i="37"/>
  <c r="AA38" i="37"/>
  <c r="U38" i="37"/>
  <c r="U39" i="37"/>
  <c r="W38" i="37"/>
  <c r="AB37" i="37"/>
  <c r="U36" i="37"/>
  <c r="J35" i="37"/>
  <c r="AB35" i="37"/>
  <c r="G99" i="37"/>
  <c r="H99" i="37" s="1"/>
  <c r="I99" i="37" s="1"/>
  <c r="J99" i="37" s="1"/>
  <c r="K99" i="37" s="1"/>
  <c r="L99" i="37" s="1"/>
  <c r="M99" i="37" s="1"/>
  <c r="F33" i="37"/>
  <c r="AA33" i="37" s="1"/>
  <c r="J33" i="37"/>
  <c r="AC33" i="37" s="1"/>
  <c r="W37" i="37"/>
  <c r="AA31" i="37"/>
  <c r="S37" i="37"/>
  <c r="AC34" i="37"/>
  <c r="W32" i="37"/>
  <c r="AB31" i="37"/>
  <c r="AA23" i="37"/>
  <c r="U23" i="37"/>
  <c r="AC21" i="37"/>
  <c r="AA19" i="37"/>
  <c r="U19" i="37"/>
  <c r="AB17" i="37"/>
  <c r="AC17" i="37"/>
  <c r="AA35" i="37"/>
  <c r="U32" i="37"/>
  <c r="S32" i="37"/>
  <c r="W31" i="37"/>
  <c r="AC29" i="37"/>
  <c r="AA29" i="37"/>
  <c r="F54" i="9"/>
  <c r="F32" i="15"/>
  <c r="F60" i="15" s="1"/>
  <c r="F52" i="9"/>
  <c r="D68" i="9"/>
  <c r="F30" i="69"/>
  <c r="F48" i="69" s="1"/>
  <c r="F31" i="12"/>
  <c r="C31" i="12" s="1"/>
  <c r="F28" i="15"/>
  <c r="F32" i="67"/>
  <c r="F60" i="67" s="1"/>
  <c r="F28" i="67"/>
  <c r="M18" i="15"/>
  <c r="M18" i="67"/>
  <c r="F30" i="11"/>
  <c r="C48" i="11" s="1"/>
  <c r="C7" i="21"/>
  <c r="C58" i="21" s="1"/>
  <c r="D58" i="21" s="1"/>
  <c r="C42" i="1"/>
  <c r="C24" i="12" s="1"/>
  <c r="G23" i="43"/>
  <c r="C23" i="43" s="1"/>
  <c r="C7" i="33"/>
  <c r="C7" i="36"/>
  <c r="C46" i="36" s="1"/>
  <c r="D46" i="36" s="1"/>
  <c r="E46" i="36" s="1"/>
  <c r="F46" i="36" s="1"/>
  <c r="G46" i="36" s="1"/>
  <c r="H46" i="36" s="1"/>
  <c r="I46" i="36" s="1"/>
  <c r="M47" i="9"/>
  <c r="C7" i="35"/>
  <c r="C48" i="35" s="1"/>
  <c r="D48" i="35" s="1"/>
  <c r="E48" i="35" s="1"/>
  <c r="W27" i="33"/>
  <c r="W23" i="37"/>
  <c r="W17" i="21"/>
  <c r="AA27" i="40"/>
  <c r="AB27" i="40"/>
  <c r="AZ306" i="3"/>
  <c r="AA30" i="40"/>
  <c r="AC31" i="40"/>
  <c r="W31" i="40"/>
  <c r="AZ313" i="3"/>
  <c r="AZ394" i="3"/>
  <c r="AZ513" i="3"/>
  <c r="AC12" i="40"/>
  <c r="W12" i="40"/>
  <c r="S17" i="37"/>
  <c r="AZ14" i="3"/>
  <c r="AZ318" i="3"/>
  <c r="AZ364" i="3"/>
  <c r="AZ378" i="3"/>
  <c r="AC36" i="34"/>
  <c r="AZ531" i="3"/>
  <c r="AZ583" i="3"/>
  <c r="AZ568" i="3"/>
  <c r="AZ576" i="3"/>
  <c r="S44" i="34"/>
  <c r="AA14" i="34"/>
  <c r="AA14" i="37"/>
  <c r="G587" i="3"/>
  <c r="F9" i="33"/>
  <c r="AA9" i="33" s="1"/>
  <c r="J38" i="40"/>
  <c r="BL550" i="3"/>
  <c r="AZ345" i="3"/>
  <c r="AZ334" i="3"/>
  <c r="AZ372" i="3"/>
  <c r="AZ347" i="3"/>
  <c r="AZ337" i="3"/>
  <c r="AZ309" i="3"/>
  <c r="AA11" i="39"/>
  <c r="AZ523" i="3"/>
  <c r="AZ547" i="3"/>
  <c r="AB46" i="34"/>
  <c r="AB30" i="21"/>
  <c r="S41" i="33"/>
  <c r="AB23" i="34"/>
  <c r="BL585" i="3"/>
  <c r="AZ585" i="3" s="1"/>
  <c r="B75" i="43"/>
  <c r="H9" i="33"/>
  <c r="H23" i="35"/>
  <c r="J24" i="36"/>
  <c r="H24" i="36"/>
  <c r="G552" i="3"/>
  <c r="AZ451" i="3"/>
  <c r="AZ351" i="3"/>
  <c r="AZ336" i="3"/>
  <c r="AB33" i="40"/>
  <c r="AC31" i="33"/>
  <c r="AZ539" i="3"/>
  <c r="AZ529" i="3"/>
  <c r="AZ537" i="3"/>
  <c r="AZ518" i="3"/>
  <c r="AZ526" i="3"/>
  <c r="AZ546" i="3"/>
  <c r="AZ564" i="3"/>
  <c r="AB45" i="33"/>
  <c r="AA29" i="35"/>
  <c r="AB17" i="34"/>
  <c r="B79" i="43"/>
  <c r="F38" i="40"/>
  <c r="BL587" i="3"/>
  <c r="J12" i="36"/>
  <c r="H12" i="36"/>
  <c r="BL15" i="3"/>
  <c r="AZ15" i="3" s="1"/>
  <c r="BA398" i="3"/>
  <c r="BA399" i="3"/>
  <c r="AZ399" i="3" s="1"/>
  <c r="BL401" i="3"/>
  <c r="AZ401" i="3" s="1"/>
  <c r="BL404" i="3"/>
  <c r="AZ404" i="3" s="1"/>
  <c r="BL405" i="3"/>
  <c r="BL407" i="3"/>
  <c r="BA412" i="3"/>
  <c r="BA414" i="3"/>
  <c r="BA415" i="3"/>
  <c r="BA416" i="3"/>
  <c r="AZ416" i="3" s="1"/>
  <c r="BA418" i="3"/>
  <c r="BA421" i="3"/>
  <c r="AZ421" i="3" s="1"/>
  <c r="BA423" i="3"/>
  <c r="AZ423" i="3" s="1"/>
  <c r="BA425" i="3"/>
  <c r="BA426" i="3"/>
  <c r="BA427" i="3"/>
  <c r="AZ427" i="3" s="1"/>
  <c r="BA433" i="3"/>
  <c r="BA435" i="3"/>
  <c r="BL437" i="3"/>
  <c r="AZ437" i="3" s="1"/>
  <c r="G439" i="3"/>
  <c r="BL441" i="3"/>
  <c r="BL442" i="3"/>
  <c r="BL444" i="3"/>
  <c r="G446" i="3"/>
  <c r="BL448" i="3"/>
  <c r="G450" i="3"/>
  <c r="BA454" i="3"/>
  <c r="BA457" i="3"/>
  <c r="BA459" i="3"/>
  <c r="BA460" i="3"/>
  <c r="BA461" i="3"/>
  <c r="BL464" i="3"/>
  <c r="BL466" i="3"/>
  <c r="AZ466" i="3" s="1"/>
  <c r="G468" i="3"/>
  <c r="BL476" i="3"/>
  <c r="AZ476" i="3" s="1"/>
  <c r="BL477" i="3"/>
  <c r="AZ477" i="3" s="1"/>
  <c r="G481" i="3"/>
  <c r="BA482" i="3"/>
  <c r="BA484" i="3"/>
  <c r="BA488" i="3"/>
  <c r="G492" i="3"/>
  <c r="BA303" i="3"/>
  <c r="AZ303" i="3" s="1"/>
  <c r="BA307" i="3"/>
  <c r="AZ307" i="3" s="1"/>
  <c r="G311" i="3"/>
  <c r="BL314" i="3"/>
  <c r="AZ314" i="3" s="1"/>
  <c r="G315" i="3"/>
  <c r="AZ407" i="3"/>
  <c r="AZ419" i="3"/>
  <c r="AZ444" i="3"/>
  <c r="AZ448" i="3"/>
  <c r="AZ217" i="3"/>
  <c r="F25" i="37"/>
  <c r="BA551" i="3"/>
  <c r="AZ551" i="3" s="1"/>
  <c r="BA550" i="3"/>
  <c r="AZ550" i="3" s="1"/>
  <c r="BL548" i="3"/>
  <c r="AZ548" i="3" s="1"/>
  <c r="G399" i="3"/>
  <c r="BL400" i="3"/>
  <c r="BL408" i="3"/>
  <c r="BL411" i="3"/>
  <c r="BL413" i="3"/>
  <c r="AZ413" i="3" s="1"/>
  <c r="G416" i="3"/>
  <c r="BL417" i="3"/>
  <c r="BL418" i="3"/>
  <c r="BL420" i="3"/>
  <c r="G423" i="3"/>
  <c r="BL424" i="3"/>
  <c r="G427" i="3"/>
  <c r="BL428" i="3"/>
  <c r="BL429" i="3"/>
  <c r="BL432" i="3"/>
  <c r="BL435" i="3"/>
  <c r="BL436" i="3"/>
  <c r="BA439" i="3"/>
  <c r="BA440" i="3"/>
  <c r="BA442" i="3"/>
  <c r="AZ442" i="3" s="1"/>
  <c r="BA445" i="3"/>
  <c r="AZ445" i="3" s="1"/>
  <c r="BA447" i="3"/>
  <c r="AZ447" i="3" s="1"/>
  <c r="BA449" i="3"/>
  <c r="AZ449" i="3" s="1"/>
  <c r="BL453" i="3"/>
  <c r="BL454" i="3"/>
  <c r="G458" i="3"/>
  <c r="BL459" i="3"/>
  <c r="G462" i="3"/>
  <c r="BA465" i="3"/>
  <c r="AZ465" i="3" s="1"/>
  <c r="BA467" i="3"/>
  <c r="AZ467" i="3" s="1"/>
  <c r="BA468" i="3"/>
  <c r="AZ468" i="3" s="1"/>
  <c r="BL471" i="3"/>
  <c r="BL475" i="3"/>
  <c r="BA477" i="3"/>
  <c r="BA478" i="3"/>
  <c r="BA491" i="3"/>
  <c r="AZ491" i="3" s="1"/>
  <c r="BL317" i="3"/>
  <c r="BL398" i="3"/>
  <c r="G402" i="3"/>
  <c r="BL403" i="3"/>
  <c r="AZ403" i="3" s="1"/>
  <c r="G405" i="3"/>
  <c r="G406" i="3"/>
  <c r="BA408" i="3"/>
  <c r="AZ408" i="3" s="1"/>
  <c r="BA409" i="3"/>
  <c r="BA411" i="3"/>
  <c r="BL414" i="3"/>
  <c r="BL415" i="3"/>
  <c r="BA417" i="3"/>
  <c r="BL421" i="3"/>
  <c r="BL422" i="3"/>
  <c r="AZ422" i="3" s="1"/>
  <c r="BL425" i="3"/>
  <c r="BL426" i="3"/>
  <c r="BA428" i="3"/>
  <c r="AZ428" i="3" s="1"/>
  <c r="BA429" i="3"/>
  <c r="AZ429" i="3" s="1"/>
  <c r="BA430" i="3"/>
  <c r="AZ430" i="3" s="1"/>
  <c r="BA432" i="3"/>
  <c r="BA434" i="3"/>
  <c r="BA436" i="3"/>
  <c r="BA438" i="3"/>
  <c r="G442" i="3"/>
  <c r="G443" i="3"/>
  <c r="BA446" i="3"/>
  <c r="AZ446" i="3" s="1"/>
  <c r="BA450" i="3"/>
  <c r="AZ450" i="3" s="1"/>
  <c r="BA453" i="3"/>
  <c r="AZ453" i="3" s="1"/>
  <c r="BA455" i="3"/>
  <c r="AZ455" i="3" s="1"/>
  <c r="BL457" i="3"/>
  <c r="BL460" i="3"/>
  <c r="BL461" i="3"/>
  <c r="BL463" i="3"/>
  <c r="AZ463" i="3" s="1"/>
  <c r="G465" i="3"/>
  <c r="BA471" i="3"/>
  <c r="BA48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BL251" i="3"/>
  <c r="BA253" i="3"/>
  <c r="BL260" i="3"/>
  <c r="AZ260" i="3" s="1"/>
  <c r="G262" i="3"/>
  <c r="BL263" i="3"/>
  <c r="G264" i="3"/>
  <c r="BL270" i="3"/>
  <c r="BA272" i="3"/>
  <c r="BL275" i="3"/>
  <c r="AZ275" i="3" s="1"/>
  <c r="G277" i="3"/>
  <c r="G280" i="3"/>
  <c r="BA283" i="3"/>
  <c r="BA284" i="3"/>
  <c r="BL290" i="3"/>
  <c r="BL291" i="3"/>
  <c r="AZ291" i="3" s="1"/>
  <c r="BL293" i="3"/>
  <c r="BL294" i="3"/>
  <c r="BA297" i="3"/>
  <c r="BL297" i="3"/>
  <c r="G116" i="3"/>
  <c r="BA117" i="3"/>
  <c r="BL127" i="3"/>
  <c r="BA145" i="3"/>
  <c r="BA134" i="3"/>
  <c r="AZ134" i="3" s="1"/>
  <c r="BA349" i="3"/>
  <c r="AZ349" i="3" s="1"/>
  <c r="BA353" i="3"/>
  <c r="BL353" i="3"/>
  <c r="BA358" i="3"/>
  <c r="AZ358" i="3" s="1"/>
  <c r="BL365" i="3"/>
  <c r="AZ365" i="3" s="1"/>
  <c r="BA368" i="3"/>
  <c r="BL368" i="3"/>
  <c r="BA374" i="3"/>
  <c r="AZ374" i="3" s="1"/>
  <c r="BA388" i="3"/>
  <c r="AZ388" i="3" s="1"/>
  <c r="BA396" i="3"/>
  <c r="BA209" i="3"/>
  <c r="BL217" i="3"/>
  <c r="BA219" i="3"/>
  <c r="AZ219" i="3" s="1"/>
  <c r="BA221" i="3"/>
  <c r="AZ221" i="3" s="1"/>
  <c r="BA223" i="3"/>
  <c r="AZ223" i="3" s="1"/>
  <c r="BL228" i="3"/>
  <c r="AZ228" i="3" s="1"/>
  <c r="BA230" i="3"/>
  <c r="AZ230" i="3" s="1"/>
  <c r="BL232" i="3"/>
  <c r="BL234" i="3"/>
  <c r="BA236" i="3"/>
  <c r="BA238" i="3"/>
  <c r="BA243" i="3"/>
  <c r="BL248" i="3"/>
  <c r="AZ248" i="3" s="1"/>
  <c r="BL250" i="3"/>
  <c r="AZ250" i="3" s="1"/>
  <c r="BA259" i="3"/>
  <c r="AZ259" i="3" s="1"/>
  <c r="BL261" i="3"/>
  <c r="BA263" i="3"/>
  <c r="AZ263" i="3" s="1"/>
  <c r="BA267" i="3"/>
  <c r="BA269" i="3"/>
  <c r="AZ269" i="3" s="1"/>
  <c r="BA271" i="3"/>
  <c r="BL271" i="3"/>
  <c r="BA274" i="3"/>
  <c r="BL274" i="3"/>
  <c r="BA276" i="3"/>
  <c r="BA279" i="3"/>
  <c r="BA281" i="3"/>
  <c r="BL283" i="3"/>
  <c r="BL284" i="3"/>
  <c r="G288" i="3"/>
  <c r="BL292" i="3"/>
  <c r="BA294" i="3"/>
  <c r="AZ294" i="3" s="1"/>
  <c r="BL295" i="3"/>
  <c r="BL478" i="3"/>
  <c r="G479" i="3"/>
  <c r="G480" i="3"/>
  <c r="BL480" i="3"/>
  <c r="AZ480" i="3" s="1"/>
  <c r="G482" i="3"/>
  <c r="BA483" i="3"/>
  <c r="BL483" i="3"/>
  <c r="AZ483" i="3" s="1"/>
  <c r="BA486" i="3"/>
  <c r="BL489" i="3"/>
  <c r="BL491" i="3"/>
  <c r="BL492" i="3"/>
  <c r="G307" i="3"/>
  <c r="BA315" i="3"/>
  <c r="AZ315" i="3" s="1"/>
  <c r="BA333" i="3"/>
  <c r="BL346" i="3"/>
  <c r="AZ346" i="3" s="1"/>
  <c r="G349" i="3"/>
  <c r="G374" i="3"/>
  <c r="BA384" i="3"/>
  <c r="BA395" i="3"/>
  <c r="BA208" i="3"/>
  <c r="BA211" i="3"/>
  <c r="AZ211" i="3" s="1"/>
  <c r="BL213" i="3"/>
  <c r="BL215" i="3"/>
  <c r="BA222" i="3"/>
  <c r="AZ222" i="3" s="1"/>
  <c r="BA224" i="3"/>
  <c r="BA226" i="3"/>
  <c r="BA237" i="3"/>
  <c r="AZ237" i="3" s="1"/>
  <c r="BL240" i="3"/>
  <c r="BA242" i="3"/>
  <c r="AZ242" i="3" s="1"/>
  <c r="BL245" i="3"/>
  <c r="AZ245" i="3" s="1"/>
  <c r="G247" i="3"/>
  <c r="BL255" i="3"/>
  <c r="G257" i="3"/>
  <c r="BL257" i="3"/>
  <c r="BL258" i="3"/>
  <c r="G259" i="3"/>
  <c r="BA262" i="3"/>
  <c r="G265" i="3"/>
  <c r="BL265" i="3"/>
  <c r="AZ265" i="3" s="1"/>
  <c r="G267" i="3"/>
  <c r="G269" i="3"/>
  <c r="BA273" i="3"/>
  <c r="BA278" i="3"/>
  <c r="AZ278" i="3" s="1"/>
  <c r="BA280" i="3"/>
  <c r="AZ280" i="3" s="1"/>
  <c r="BL301" i="3"/>
  <c r="AZ301" i="3" s="1"/>
  <c r="BL302" i="3"/>
  <c r="AZ302" i="3" s="1"/>
  <c r="BL122" i="3"/>
  <c r="BA126" i="3"/>
  <c r="BA132" i="3"/>
  <c r="AZ132" i="3" s="1"/>
  <c r="BL135" i="3"/>
  <c r="AZ135" i="3" s="1"/>
  <c r="G282" i="3"/>
  <c r="BL285" i="3"/>
  <c r="BL287" i="3"/>
  <c r="BA290" i="3"/>
  <c r="AZ290" i="3" s="1"/>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G42" i="3"/>
  <c r="BA45" i="3"/>
  <c r="BA46" i="3"/>
  <c r="BL49" i="3"/>
  <c r="BL50" i="3"/>
  <c r="BL51" i="3"/>
  <c r="BL100"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G204" i="3"/>
  <c r="BL206" i="3"/>
  <c r="BA19" i="3"/>
  <c r="AZ19" i="3" s="1"/>
  <c r="G22" i="3"/>
  <c r="G24" i="3"/>
  <c r="G25" i="3"/>
  <c r="BA27" i="3"/>
  <c r="G30" i="3"/>
  <c r="BL30" i="3"/>
  <c r="BL31" i="3"/>
  <c r="G35" i="3"/>
  <c r="G36" i="3"/>
  <c r="G40" i="3"/>
  <c r="G41" i="3"/>
  <c r="BL47" i="3"/>
  <c r="G49" i="3"/>
  <c r="BL99" i="3"/>
  <c r="BA105" i="3"/>
  <c r="D31" i="71"/>
  <c r="C32" i="71"/>
  <c r="C55" i="71"/>
  <c r="D54" i="71"/>
  <c r="G98" i="3"/>
  <c r="C44" i="71"/>
  <c r="D43" i="71"/>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A41" i="3"/>
  <c r="BL53" i="3"/>
  <c r="D50" i="71"/>
  <c r="C51" i="71"/>
  <c r="BL55" i="3"/>
  <c r="BA59" i="3"/>
  <c r="BL61" i="3"/>
  <c r="BA64" i="3"/>
  <c r="AZ64" i="3" s="1"/>
  <c r="G67" i="3"/>
  <c r="BL68" i="3"/>
  <c r="BA69" i="3"/>
  <c r="AZ69" i="3" s="1"/>
  <c r="G72" i="3"/>
  <c r="BL73" i="3"/>
  <c r="BA74" i="3"/>
  <c r="AZ74" i="3" s="1"/>
  <c r="BA75" i="3"/>
  <c r="G81" i="3"/>
  <c r="G85" i="3"/>
  <c r="BL85" i="3"/>
  <c r="BA86" i="3"/>
  <c r="BA87" i="3"/>
  <c r="BA91" i="3"/>
  <c r="AZ91" i="3" s="1"/>
  <c r="G96" i="3"/>
  <c r="BL97" i="3"/>
  <c r="AZ97" i="3" s="1"/>
  <c r="BL101" i="3"/>
  <c r="AZ101" i="3" s="1"/>
  <c r="BL102" i="3"/>
  <c r="G104" i="3"/>
  <c r="G105" i="3"/>
  <c r="BL106" i="3"/>
  <c r="BA108" i="3"/>
  <c r="BA110" i="3"/>
  <c r="F3" i="35"/>
  <c r="S21" i="33"/>
  <c r="S21" i="37"/>
  <c r="W29" i="39"/>
  <c r="B77" i="43"/>
  <c r="AA18" i="35"/>
  <c r="AA28" i="71"/>
  <c r="AB27" i="71"/>
  <c r="E75" i="71"/>
  <c r="E74" i="71" s="1"/>
  <c r="AB25" i="71"/>
  <c r="X26" i="71"/>
  <c r="Y25" i="71"/>
  <c r="Z25" i="71" s="1"/>
  <c r="X38" i="71"/>
  <c r="Y29" i="71"/>
  <c r="Z29" i="71" s="1"/>
  <c r="AB32" i="71"/>
  <c r="X33" i="71"/>
  <c r="AB37" i="71"/>
  <c r="BL40" i="3"/>
  <c r="AZ40" i="3" s="1"/>
  <c r="BL41" i="3"/>
  <c r="G45" i="3"/>
  <c r="BL45" i="3"/>
  <c r="BA48" i="3"/>
  <c r="BA49" i="3"/>
  <c r="AZ49" i="3" s="1"/>
  <c r="BA51" i="3"/>
  <c r="AZ51" i="3" s="1"/>
  <c r="G54" i="3"/>
  <c r="G55" i="3"/>
  <c r="BL56" i="3"/>
  <c r="AZ56" i="3" s="1"/>
  <c r="BA58" i="3"/>
  <c r="AZ58" i="3" s="1"/>
  <c r="BL59" i="3"/>
  <c r="BL60" i="3"/>
  <c r="BA61" i="3"/>
  <c r="BA68" i="3"/>
  <c r="AZ68" i="3" s="1"/>
  <c r="BA73" i="3"/>
  <c r="AZ73" i="3" s="1"/>
  <c r="BA80" i="3"/>
  <c r="G84" i="3"/>
  <c r="BL84" i="3"/>
  <c r="AZ84" i="3" s="1"/>
  <c r="BA89" i="3"/>
  <c r="G99" i="3"/>
  <c r="BA103" i="3"/>
  <c r="BA104" i="3"/>
  <c r="BA106" i="3"/>
  <c r="AZ106" i="3" s="1"/>
  <c r="BL108" i="3"/>
  <c r="G110" i="3"/>
  <c r="BL111" i="3"/>
  <c r="C21" i="68"/>
  <c r="AA27" i="71"/>
  <c r="AB26" i="71"/>
  <c r="C83" i="71"/>
  <c r="C79" i="71"/>
  <c r="C71" i="71"/>
  <c r="X25" i="71"/>
  <c r="Y28" i="71"/>
  <c r="Z28" i="71" s="1"/>
  <c r="C28" i="71"/>
  <c r="Y37" i="71"/>
  <c r="Z37" i="71" s="1"/>
  <c r="X35" i="71"/>
  <c r="AA37" i="71"/>
  <c r="Y30" i="71"/>
  <c r="Z30" i="71" s="1"/>
  <c r="X28" i="71"/>
  <c r="X32" i="71"/>
  <c r="F38" i="71"/>
  <c r="F39" i="71" s="1"/>
  <c r="F40" i="71" s="1"/>
  <c r="V40" i="71" s="1"/>
  <c r="AB38" i="71"/>
  <c r="AA39" i="71"/>
  <c r="F75" i="71"/>
  <c r="F74" i="71" s="1"/>
  <c r="B79" i="71"/>
  <c r="B78" i="71" s="1"/>
  <c r="E22" i="71"/>
  <c r="E21" i="71" s="1"/>
  <c r="E20" i="71" s="1"/>
  <c r="V20" i="71" s="1"/>
  <c r="G52" i="3"/>
  <c r="BA52" i="3"/>
  <c r="BA53" i="3"/>
  <c r="AZ53" i="3" s="1"/>
  <c r="BA54" i="3"/>
  <c r="BL57" i="3"/>
  <c r="AZ57" i="3" s="1"/>
  <c r="G59" i="3"/>
  <c r="G62" i="3"/>
  <c r="BL62" i="3"/>
  <c r="AZ62" i="3" s="1"/>
  <c r="BL63" i="3"/>
  <c r="AZ63" i="3" s="1"/>
  <c r="G65" i="3"/>
  <c r="BL65" i="3"/>
  <c r="BL66" i="3"/>
  <c r="BL67" i="3"/>
  <c r="BL70" i="3"/>
  <c r="AZ70" i="3" s="1"/>
  <c r="BL71" i="3"/>
  <c r="AZ71" i="3" s="1"/>
  <c r="BL72" i="3"/>
  <c r="AZ72" i="3" s="1"/>
  <c r="BL75" i="3"/>
  <c r="BL81" i="3"/>
  <c r="BA82" i="3"/>
  <c r="AZ82" i="3" s="1"/>
  <c r="BL83" i="3"/>
  <c r="G88" i="3"/>
  <c r="BA90" i="3"/>
  <c r="AZ90" i="3" s="1"/>
  <c r="BL94" i="3"/>
  <c r="AZ94" i="3" s="1"/>
  <c r="BA100" i="3"/>
  <c r="AZ100" i="3" s="1"/>
  <c r="BA102" i="3"/>
  <c r="BL105" i="3"/>
  <c r="BL107" i="3"/>
  <c r="BA111" i="3"/>
  <c r="K13" i="1"/>
  <c r="M13" i="1" s="1"/>
  <c r="O13" i="1" s="1"/>
  <c r="P13" i="1" s="1"/>
  <c r="S18" i="36"/>
  <c r="AB28" i="71"/>
  <c r="AB33" i="71"/>
  <c r="AA30" i="71"/>
  <c r="E35" i="71"/>
  <c r="E36" i="71" s="1"/>
  <c r="U36" i="71" s="1"/>
  <c r="AB31" i="71"/>
  <c r="AA36" i="7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C13" i="36"/>
  <c r="W13" i="36"/>
  <c r="AB31" i="33"/>
  <c r="U31" i="33"/>
  <c r="S15" i="34"/>
  <c r="AB33" i="35"/>
  <c r="U33" i="35"/>
  <c r="AB43" i="33"/>
  <c r="U43" i="33"/>
  <c r="AZ545" i="3"/>
  <c r="AZ555" i="3"/>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52" i="3"/>
  <c r="AZ470" i="3"/>
  <c r="W35" i="39"/>
  <c r="F27" i="34"/>
  <c r="C21" i="39"/>
  <c r="U9" i="36"/>
  <c r="U14" i="37"/>
  <c r="H12" i="21"/>
  <c r="G526" i="3"/>
  <c r="AZ420" i="3"/>
  <c r="AZ424" i="3"/>
  <c r="AZ436" i="3"/>
  <c r="AZ438" i="3"/>
  <c r="U26" i="21"/>
  <c r="W36" i="39"/>
  <c r="U23" i="40"/>
  <c r="AA39" i="37"/>
  <c r="AC16" i="36"/>
  <c r="AB12" i="33"/>
  <c r="C27" i="39"/>
  <c r="U40" i="40"/>
  <c r="AC9" i="40"/>
  <c r="W36" i="35"/>
  <c r="J12" i="21"/>
  <c r="B73" i="43"/>
  <c r="B76" i="43"/>
  <c r="F9" i="36"/>
  <c r="J40" i="40"/>
  <c r="G562" i="3"/>
  <c r="AZ426" i="3"/>
  <c r="AZ385" i="3"/>
  <c r="AZ231" i="3"/>
  <c r="AZ255" i="3"/>
  <c r="AZ293"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G219"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BL396" i="3"/>
  <c r="AZ396" i="3" s="1"/>
  <c r="BL209" i="3"/>
  <c r="AZ209" i="3" s="1"/>
  <c r="AZ226" i="3"/>
  <c r="G240" i="3"/>
  <c r="G242" i="3"/>
  <c r="G245" i="3"/>
  <c r="BL246" i="3"/>
  <c r="BL253" i="3"/>
  <c r="BA261" i="3"/>
  <c r="AZ261" i="3" s="1"/>
  <c r="BA264" i="3"/>
  <c r="AZ264" i="3" s="1"/>
  <c r="BA266" i="3"/>
  <c r="G272" i="3"/>
  <c r="G275" i="3"/>
  <c r="BL276" i="3"/>
  <c r="AZ276" i="3" s="1"/>
  <c r="BL279" i="3"/>
  <c r="AZ279" i="3" s="1"/>
  <c r="BL281" i="3"/>
  <c r="AZ281" i="3" s="1"/>
  <c r="BA285" i="3"/>
  <c r="BA287"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G200" i="3"/>
  <c r="G207" i="3"/>
  <c r="BA23" i="3"/>
  <c r="AZ23" i="3" s="1"/>
  <c r="BA24" i="3"/>
  <c r="BL26" i="3"/>
  <c r="AZ26" i="3" s="1"/>
  <c r="BL32" i="3"/>
  <c r="AZ32" i="3" s="1"/>
  <c r="BA34" i="3"/>
  <c r="AZ34" i="3" s="1"/>
  <c r="BA35" i="3"/>
  <c r="AZ35" i="3" s="1"/>
  <c r="BL37" i="3"/>
  <c r="BL42" i="3"/>
  <c r="AZ42" i="3" s="1"/>
  <c r="BA44" i="3"/>
  <c r="AZ44" i="3" s="1"/>
  <c r="AZ60" i="3"/>
  <c r="BA206" i="3"/>
  <c r="BL22" i="3"/>
  <c r="AZ22" i="3" s="1"/>
  <c r="BL33" i="3"/>
  <c r="BL43" i="3"/>
  <c r="AZ43" i="3" s="1"/>
  <c r="BL46" i="3"/>
  <c r="AZ46" i="3" s="1"/>
  <c r="AZ54"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G3" i="43" s="1"/>
  <c r="J26" i="43" s="1"/>
  <c r="L19" i="6"/>
  <c r="L27" i="6"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30" i="11"/>
  <c r="C21" i="69"/>
  <c r="J85" i="43"/>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G90" i="43" s="1"/>
  <c r="O23" i="43"/>
  <c r="I18" i="43"/>
  <c r="E17" i="43" s="1"/>
  <c r="C17" i="43" s="1"/>
  <c r="H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63" i="40"/>
  <c r="C65" i="40"/>
  <c r="K4" i="4"/>
  <c r="B46" i="48" s="1"/>
  <c r="B4" i="72" s="1"/>
  <c r="B4" i="62"/>
  <c r="B71" i="72" s="1"/>
  <c r="D9" i="53"/>
  <c r="B25" i="72" s="1"/>
  <c r="B24" i="72"/>
  <c r="K120" i="9"/>
  <c r="Y16" i="71"/>
  <c r="Z16" i="71" s="1"/>
  <c r="Y15" i="71"/>
  <c r="Z15" i="71" s="1"/>
  <c r="AA16" i="71"/>
  <c r="AB3" i="71"/>
  <c r="X16" i="71"/>
  <c r="AB16" i="71"/>
  <c r="Y3" i="71"/>
  <c r="Z3" i="71" s="1"/>
  <c r="F16" i="71"/>
  <c r="AF3" i="71"/>
  <c r="P26" i="43" s="1"/>
  <c r="B20" i="31"/>
  <c r="B21" i="31" s="1"/>
  <c r="I1" i="73"/>
  <c r="B39" i="1" s="1"/>
  <c r="M7" i="15"/>
  <c r="F50" i="15"/>
  <c r="F71" i="15"/>
  <c r="F66" i="67"/>
  <c r="F66" i="15"/>
  <c r="F64" i="15"/>
  <c r="C27" i="67"/>
  <c r="C27" i="15"/>
  <c r="N59" i="67"/>
  <c r="L59" i="67"/>
  <c r="M59" i="67"/>
  <c r="B13" i="70"/>
  <c r="M7" i="67"/>
  <c r="F50" i="67"/>
  <c r="F68" i="15"/>
  <c r="D9" i="69"/>
  <c r="C36" i="69"/>
  <c r="D9" i="68"/>
  <c r="D5" i="73"/>
  <c r="F36" i="67"/>
  <c r="F16" i="15"/>
  <c r="J15" i="67"/>
  <c r="C76" i="15"/>
  <c r="M6" i="15"/>
  <c r="F9" i="15"/>
  <c r="F43" i="67"/>
  <c r="F42" i="67"/>
  <c r="F37" i="15"/>
  <c r="F8" i="15"/>
  <c r="D7" i="73"/>
  <c r="M22" i="15"/>
  <c r="F37" i="67"/>
  <c r="F13" i="67"/>
  <c r="M26" i="67"/>
  <c r="F8" i="67"/>
  <c r="L48" i="15"/>
  <c r="F6" i="67"/>
  <c r="M9" i="67"/>
  <c r="M8" i="67"/>
  <c r="M23" i="15"/>
  <c r="C76" i="67"/>
  <c r="F6" i="15"/>
  <c r="D3" i="73"/>
  <c r="F40" i="67"/>
  <c r="M24" i="67"/>
  <c r="F42" i="15"/>
  <c r="M28" i="15"/>
  <c r="D4" i="73"/>
  <c r="M23" i="67"/>
  <c r="L48" i="67"/>
  <c r="M9" i="15"/>
  <c r="L58" i="67" l="1"/>
  <c r="J53" i="67"/>
  <c r="J57" i="67"/>
  <c r="J55" i="67" s="1"/>
  <c r="J58" i="67" s="1"/>
  <c r="Q50" i="67" s="1"/>
  <c r="L56" i="67"/>
  <c r="I54" i="67"/>
  <c r="F68" i="67"/>
  <c r="Q71" i="67"/>
  <c r="C6" i="67"/>
  <c r="C32" i="67" s="1"/>
  <c r="F51" i="67"/>
  <c r="F65" i="67"/>
  <c r="F65" i="15"/>
  <c r="F71" i="67"/>
  <c r="Q71" i="15"/>
  <c r="F64" i="67"/>
  <c r="E29" i="6"/>
  <c r="K15" i="1" s="1"/>
  <c r="F30" i="6"/>
  <c r="E28" i="6"/>
  <c r="K14" i="1" s="1"/>
  <c r="G30" i="6"/>
  <c r="G31" i="6" s="1"/>
  <c r="N65" i="71"/>
  <c r="N66" i="71"/>
  <c r="AB25" i="35"/>
  <c r="U25" i="35"/>
  <c r="AB31" i="21"/>
  <c r="U31" i="21"/>
  <c r="AZ197" i="3"/>
  <c r="AZ121" i="3"/>
  <c r="U12" i="34"/>
  <c r="AB12" i="34"/>
  <c r="C77" i="9"/>
  <c r="C74" i="9" s="1"/>
  <c r="AZ33" i="3"/>
  <c r="AZ266" i="3"/>
  <c r="AZ67" i="3"/>
  <c r="AZ110" i="3"/>
  <c r="AZ208" i="3"/>
  <c r="AZ272" i="3"/>
  <c r="AZ251" i="3"/>
  <c r="AZ433" i="3"/>
  <c r="W12" i="34"/>
  <c r="AC12" i="34"/>
  <c r="AZ515" i="3"/>
  <c r="W27" i="37"/>
  <c r="AC27" i="37"/>
  <c r="AB24" i="35"/>
  <c r="U24" i="35"/>
  <c r="AZ383" i="3"/>
  <c r="AZ375" i="3"/>
  <c r="AZ369" i="3"/>
  <c r="AZ360" i="3"/>
  <c r="M88" i="43"/>
  <c r="N88" i="43" s="1"/>
  <c r="K88" i="43"/>
  <c r="C30" i="68"/>
  <c r="E14" i="6"/>
  <c r="E63" i="39" s="1"/>
  <c r="S9" i="34"/>
  <c r="AZ300" i="3"/>
  <c r="AZ129" i="3"/>
  <c r="AZ287" i="3"/>
  <c r="AZ111" i="3"/>
  <c r="AZ66" i="3"/>
  <c r="AZ103" i="3"/>
  <c r="AZ61" i="3"/>
  <c r="AZ108" i="3"/>
  <c r="AZ55" i="3"/>
  <c r="AZ198" i="3"/>
  <c r="AZ149" i="3"/>
  <c r="AZ395" i="3"/>
  <c r="AZ238" i="3"/>
  <c r="AZ440" i="3"/>
  <c r="AZ488" i="3"/>
  <c r="AZ464" i="3"/>
  <c r="S15" i="37"/>
  <c r="AZ157" i="3"/>
  <c r="AZ79" i="3"/>
  <c r="AZ133" i="3"/>
  <c r="AZ497" i="3"/>
  <c r="O65" i="71"/>
  <c r="D66" i="71"/>
  <c r="O66" i="71"/>
  <c r="AA27" i="37"/>
  <c r="S27" i="37"/>
  <c r="AC24" i="35"/>
  <c r="W24" i="35"/>
  <c r="AZ359" i="3"/>
  <c r="AC32" i="40"/>
  <c r="W32" i="40"/>
  <c r="M86" i="43"/>
  <c r="N86" i="43" s="1"/>
  <c r="K86" i="43"/>
  <c r="P67" i="71"/>
  <c r="E66" i="71"/>
  <c r="W12" i="39"/>
  <c r="AC12" i="39"/>
  <c r="S31" i="21"/>
  <c r="AA31" i="21"/>
  <c r="D75" i="71"/>
  <c r="C74" i="71"/>
  <c r="D74" i="71" s="1"/>
  <c r="E11" i="6"/>
  <c r="E60" i="39" s="1"/>
  <c r="AC9" i="34"/>
  <c r="W9" i="34"/>
  <c r="AZ37" i="3"/>
  <c r="AA12" i="34"/>
  <c r="E19" i="71"/>
  <c r="E18" i="71" s="1"/>
  <c r="E17" i="71" s="1"/>
  <c r="E16" i="71" s="1"/>
  <c r="AZ262" i="3"/>
  <c r="AZ254" i="3"/>
  <c r="AZ182" i="3"/>
  <c r="AZ409" i="3"/>
  <c r="D20" i="53"/>
  <c r="B40" i="72" s="1"/>
  <c r="M89" i="43"/>
  <c r="N89" i="43" s="1"/>
  <c r="K89" i="43"/>
  <c r="C48" i="68"/>
  <c r="K83" i="43"/>
  <c r="M83" i="43"/>
  <c r="N83" i="43" s="1"/>
  <c r="AZ80" i="3"/>
  <c r="T36" i="71"/>
  <c r="AZ206" i="3"/>
  <c r="AZ285" i="3"/>
  <c r="AZ65" i="3"/>
  <c r="AZ47" i="3"/>
  <c r="AZ50" i="3"/>
  <c r="AZ273" i="3"/>
  <c r="AZ257" i="3"/>
  <c r="AZ384" i="3"/>
  <c r="AZ267" i="3"/>
  <c r="AZ127" i="3"/>
  <c r="AZ249" i="3"/>
  <c r="AZ400" i="3"/>
  <c r="AZ484" i="3"/>
  <c r="AZ412" i="3"/>
  <c r="AC15" i="37"/>
  <c r="AA23" i="36"/>
  <c r="S23" i="36"/>
  <c r="T60" i="71"/>
  <c r="D60" i="71"/>
  <c r="U27" i="37"/>
  <c r="AB27" i="37"/>
  <c r="C28" i="15"/>
  <c r="AZ297" i="3"/>
  <c r="AZ77" i="3"/>
  <c r="C36" i="68"/>
  <c r="J6" i="15"/>
  <c r="E15" i="6"/>
  <c r="E64" i="39" s="1"/>
  <c r="AB31" i="39"/>
  <c r="U31" i="39"/>
  <c r="U29" i="21"/>
  <c r="AB29" i="21"/>
  <c r="AB32" i="40"/>
  <c r="U32" i="40"/>
  <c r="M59" i="15"/>
  <c r="N59" i="15"/>
  <c r="F15" i="71"/>
  <c r="F14" i="71" s="1"/>
  <c r="F13" i="71" s="1"/>
  <c r="F12" i="71" s="1"/>
  <c r="F11" i="71" s="1"/>
  <c r="F10" i="71" s="1"/>
  <c r="F9" i="71" s="1"/>
  <c r="F8" i="71" s="1"/>
  <c r="F7" i="71" s="1"/>
  <c r="F6" i="71" s="1"/>
  <c r="F5" i="71" s="1"/>
  <c r="M23" i="43"/>
  <c r="D17" i="53"/>
  <c r="B36" i="72" s="1"/>
  <c r="N370" i="46"/>
  <c r="M90" i="43"/>
  <c r="N90" i="43" s="1"/>
  <c r="K90" i="43"/>
  <c r="W33" i="37"/>
  <c r="C28" i="67"/>
  <c r="AZ170" i="3"/>
  <c r="AZ153" i="3"/>
  <c r="AZ253" i="3"/>
  <c r="AZ393" i="3"/>
  <c r="AZ215" i="3"/>
  <c r="AZ348" i="3"/>
  <c r="AZ317" i="3"/>
  <c r="AZ52" i="3"/>
  <c r="AZ86" i="3"/>
  <c r="AZ224" i="3"/>
  <c r="AZ460" i="3"/>
  <c r="AZ425" i="3"/>
  <c r="AZ201" i="3"/>
  <c r="AZ177" i="3"/>
  <c r="U23" i="36"/>
  <c r="AB23" i="36"/>
  <c r="AC9" i="36"/>
  <c r="W9" i="36"/>
  <c r="AZ552" i="3"/>
  <c r="U39" i="40"/>
  <c r="AB39" i="40"/>
  <c r="U47" i="34"/>
  <c r="AB47" i="34"/>
  <c r="AC45" i="34"/>
  <c r="W45" i="34"/>
  <c r="AC29" i="21"/>
  <c r="W29" i="21"/>
  <c r="AB15" i="37"/>
  <c r="U15" i="37"/>
  <c r="C86" i="71"/>
  <c r="D86" i="71" s="1"/>
  <c r="D87" i="71"/>
  <c r="D23" i="71"/>
  <c r="C22" i="71"/>
  <c r="U9" i="34"/>
  <c r="AB9" i="34"/>
  <c r="AC31" i="39"/>
  <c r="W31" i="39"/>
  <c r="AZ361" i="3"/>
  <c r="AA31" i="39"/>
  <c r="S31" i="39"/>
  <c r="S25" i="35"/>
  <c r="AA25" i="35"/>
  <c r="AC31" i="21"/>
  <c r="W31" i="21"/>
  <c r="M84" i="43"/>
  <c r="N84" i="43" s="1"/>
  <c r="K84" i="43"/>
  <c r="E12" i="6"/>
  <c r="E57" i="40" s="1"/>
  <c r="AZ240" i="3"/>
  <c r="J6" i="67"/>
  <c r="J18" i="67" s="1"/>
  <c r="K87" i="43"/>
  <c r="M87" i="43"/>
  <c r="N87" i="43" s="1"/>
  <c r="C48" i="69"/>
  <c r="AZ24" i="3"/>
  <c r="AZ246" i="3"/>
  <c r="AZ213" i="3"/>
  <c r="AZ102" i="3"/>
  <c r="C39" i="71"/>
  <c r="AZ25" i="3"/>
  <c r="AZ5" i="3" s="1"/>
  <c r="AY6" i="3" s="1"/>
  <c r="AZ169" i="3"/>
  <c r="AZ432" i="3"/>
  <c r="AZ417" i="3"/>
  <c r="AZ441" i="3"/>
  <c r="AZ587" i="3"/>
  <c r="AZ277" i="3"/>
  <c r="AZ469" i="3"/>
  <c r="AZ577" i="3"/>
  <c r="AC30" i="21"/>
  <c r="W30" i="21"/>
  <c r="U12" i="39"/>
  <c r="AB12" i="39"/>
  <c r="S47" i="34"/>
  <c r="AA47" i="34"/>
  <c r="AZ387" i="3"/>
  <c r="B23" i="71"/>
  <c r="B22" i="71" s="1"/>
  <c r="B21" i="71" s="1"/>
  <c r="B20" i="71" s="1"/>
  <c r="S24" i="71"/>
  <c r="AZ569" i="3"/>
  <c r="S33" i="37"/>
  <c r="F26" i="43"/>
  <c r="W35" i="37"/>
  <c r="AC35" i="37"/>
  <c r="E26" i="43"/>
  <c r="G26" i="43"/>
  <c r="N94" i="46"/>
  <c r="P6" i="1"/>
  <c r="C13" i="12" s="1"/>
  <c r="K16" i="1"/>
  <c r="H16" i="1"/>
  <c r="Q16" i="1"/>
  <c r="F51" i="15"/>
  <c r="C49" i="15" s="1"/>
  <c r="C6" i="15"/>
  <c r="C32" i="15" s="1"/>
  <c r="F31" i="15"/>
  <c r="J57" i="15"/>
  <c r="J55" i="15" s="1"/>
  <c r="J58" i="15" s="1"/>
  <c r="Q50" i="15" s="1"/>
  <c r="I54" i="15"/>
  <c r="J53" i="15"/>
  <c r="L56" i="15" s="1"/>
  <c r="L58" i="15"/>
  <c r="Q73" i="15" s="1"/>
  <c r="T28" i="71"/>
  <c r="D28" i="71"/>
  <c r="U28" i="71" s="1"/>
  <c r="C27" i="71"/>
  <c r="C70" i="71"/>
  <c r="D70" i="71" s="1"/>
  <c r="D71" i="71"/>
  <c r="AZ59" i="3"/>
  <c r="AZ38" i="3"/>
  <c r="AZ137" i="3"/>
  <c r="AZ27" i="3"/>
  <c r="AZ178" i="3"/>
  <c r="AZ118" i="3"/>
  <c r="AZ126" i="3"/>
  <c r="AZ271" i="3"/>
  <c r="AZ243" i="3"/>
  <c r="AZ368" i="3"/>
  <c r="AZ353" i="3"/>
  <c r="AZ284" i="3"/>
  <c r="AZ332" i="3"/>
  <c r="AZ411" i="3"/>
  <c r="AA25" i="37"/>
  <c r="S25" i="37"/>
  <c r="AZ461" i="3"/>
  <c r="AZ454" i="3"/>
  <c r="AZ418" i="3"/>
  <c r="U12" i="36"/>
  <c r="AB12" i="36"/>
  <c r="AA38" i="40"/>
  <c r="S38" i="40"/>
  <c r="U23" i="35"/>
  <c r="AB23" i="35"/>
  <c r="D79" i="71"/>
  <c r="C78" i="71"/>
  <c r="D78" i="71" s="1"/>
  <c r="AZ105" i="3"/>
  <c r="AZ45" i="3"/>
  <c r="AZ283" i="3"/>
  <c r="AZ435" i="3"/>
  <c r="W12" i="36"/>
  <c r="AC12" i="36"/>
  <c r="AB9" i="33"/>
  <c r="U9" i="33"/>
  <c r="G5" i="3"/>
  <c r="B3" i="3" s="1"/>
  <c r="AP6" i="3" s="1"/>
  <c r="D83" i="71"/>
  <c r="C82" i="71"/>
  <c r="D82" i="71" s="1"/>
  <c r="C52" i="71"/>
  <c r="D51" i="71"/>
  <c r="AZ41" i="3"/>
  <c r="AZ150" i="3"/>
  <c r="D44" i="71"/>
  <c r="T44" i="71"/>
  <c r="C56" i="71"/>
  <c r="D55" i="71"/>
  <c r="AZ130" i="3"/>
  <c r="AZ31" i="3"/>
  <c r="AZ20" i="3"/>
  <c r="AZ122" i="3"/>
  <c r="AZ274" i="3"/>
  <c r="AZ229" i="3"/>
  <c r="AZ218" i="3"/>
  <c r="AZ471" i="3"/>
  <c r="AZ459" i="3"/>
  <c r="AZ415" i="3"/>
  <c r="AZ398" i="3"/>
  <c r="AB24" i="36"/>
  <c r="U24" i="36"/>
  <c r="AC38" i="40"/>
  <c r="W38" i="40"/>
  <c r="C40" i="71"/>
  <c r="D39" i="71"/>
  <c r="AZ75" i="3"/>
  <c r="T32" i="71"/>
  <c r="D32" i="71"/>
  <c r="AZ28" i="3"/>
  <c r="AZ457" i="3"/>
  <c r="AZ414" i="3"/>
  <c r="AC24" i="36"/>
  <c r="W24" i="36"/>
  <c r="G16" i="1"/>
  <c r="F10" i="39" s="1"/>
  <c r="S10" i="39" s="1"/>
  <c r="J7" i="37"/>
  <c r="AC7" i="37" s="1"/>
  <c r="K1" i="73"/>
  <c r="E144" i="3"/>
  <c r="E68" i="3"/>
  <c r="E251" i="3"/>
  <c r="E490" i="3"/>
  <c r="E498" i="3"/>
  <c r="E540" i="3"/>
  <c r="E323" i="3"/>
  <c r="E582" i="3"/>
  <c r="E488" i="3"/>
  <c r="E574" i="3"/>
  <c r="E359" i="3"/>
  <c r="E302" i="3"/>
  <c r="E164" i="3"/>
  <c r="AG6" i="3"/>
  <c r="E121" i="3"/>
  <c r="E166" i="3"/>
  <c r="E117" i="3"/>
  <c r="E290" i="3"/>
  <c r="E453" i="3"/>
  <c r="E85" i="3"/>
  <c r="E478" i="3"/>
  <c r="E414" i="3"/>
  <c r="E162" i="3"/>
  <c r="E186" i="3"/>
  <c r="E561" i="3"/>
  <c r="E538" i="3"/>
  <c r="E216" i="3"/>
  <c r="E261" i="3"/>
  <c r="E495" i="3"/>
  <c r="E124" i="3"/>
  <c r="E77" i="3"/>
  <c r="E568" i="3"/>
  <c r="E465" i="3"/>
  <c r="E587" i="3"/>
  <c r="E454" i="3"/>
  <c r="E106" i="3"/>
  <c r="E327" i="3"/>
  <c r="Z6" i="3"/>
  <c r="E400" i="3"/>
  <c r="E345" i="3"/>
  <c r="E109" i="3"/>
  <c r="E217" i="3"/>
  <c r="E322" i="3"/>
  <c r="AJ6" i="3"/>
  <c r="E387" i="3"/>
  <c r="E335" i="3"/>
  <c r="E69" i="3"/>
  <c r="E278" i="3"/>
  <c r="E385" i="3"/>
  <c r="E246" i="3"/>
  <c r="E200" i="3"/>
  <c r="E148" i="3"/>
  <c r="AA26" i="37"/>
  <c r="S26" i="37"/>
  <c r="BA5" i="3"/>
  <c r="E27" i="6" s="1"/>
  <c r="K26" i="6" s="1"/>
  <c r="M26" i="6" s="1"/>
  <c r="I26" i="6" s="1"/>
  <c r="S26" i="6" s="1"/>
  <c r="W40" i="40"/>
  <c r="AC40" i="40"/>
  <c r="AC12" i="21"/>
  <c r="W12" i="21"/>
  <c r="AB12" i="21"/>
  <c r="U12" i="21"/>
  <c r="AA27" i="34"/>
  <c r="S27" i="34"/>
  <c r="AC26" i="37"/>
  <c r="W26" i="37"/>
  <c r="BL5" i="3"/>
  <c r="F7" i="36"/>
  <c r="AA7" i="36" s="1"/>
  <c r="H7" i="36"/>
  <c r="U7" i="36" s="1"/>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31" i="6"/>
  <c r="E51" i="40"/>
  <c r="E58" i="40"/>
  <c r="E62" i="39"/>
  <c r="M14" i="1"/>
  <c r="D5" i="43"/>
  <c r="C7" i="43"/>
  <c r="C5" i="43" s="1"/>
  <c r="D10" i="52"/>
  <c r="D125" i="9"/>
  <c r="D11" i="52" s="1"/>
  <c r="B7" i="74"/>
  <c r="C7" i="74" s="1"/>
  <c r="F67" i="39"/>
  <c r="F59" i="67"/>
  <c r="H7" i="37"/>
  <c r="AB7" i="37" s="1"/>
  <c r="H7" i="33"/>
  <c r="J7" i="33"/>
  <c r="D65" i="40"/>
  <c r="E63" i="40"/>
  <c r="F48" i="35"/>
  <c r="S7" i="36"/>
  <c r="AB7" i="36"/>
  <c r="T36" i="36" s="1"/>
  <c r="G36" i="36" s="1"/>
  <c r="F7" i="33"/>
  <c r="E58" i="21"/>
  <c r="AC7" i="36"/>
  <c r="V36" i="36" s="1"/>
  <c r="I36" i="36" s="1"/>
  <c r="W7" i="36"/>
  <c r="F7" i="37"/>
  <c r="M17" i="67"/>
  <c r="M17" i="15"/>
  <c r="F59" i="15"/>
  <c r="P28" i="43"/>
  <c r="B66" i="40" s="1"/>
  <c r="P25" i="43"/>
  <c r="C49" i="67"/>
  <c r="P29" i="43"/>
  <c r="P27" i="43"/>
  <c r="B70" i="39" s="1"/>
  <c r="J18" i="15"/>
  <c r="Q60" i="67"/>
  <c r="Q73" i="67"/>
  <c r="M11" i="67"/>
  <c r="J10" i="67" s="1"/>
  <c r="J5" i="67" s="1"/>
  <c r="F11" i="15"/>
  <c r="M11" i="15"/>
  <c r="J10" i="15" s="1"/>
  <c r="J5" i="15" s="1"/>
  <c r="J24" i="15" s="1"/>
  <c r="F11" i="67"/>
  <c r="F1" i="67"/>
  <c r="Q52" i="67"/>
  <c r="Q61" i="67"/>
  <c r="Q74" i="67"/>
  <c r="Q74" i="15"/>
  <c r="Q61" i="15"/>
  <c r="AE11" i="1"/>
  <c r="AE9" i="1"/>
  <c r="AE7" i="1"/>
  <c r="AE8" i="1"/>
  <c r="AE12" i="1"/>
  <c r="AE10" i="1"/>
  <c r="G1" i="73"/>
  <c r="C16" i="67"/>
  <c r="C16" i="15"/>
  <c r="D86" i="43" l="1"/>
  <c r="J86" i="43"/>
  <c r="E16" i="6"/>
  <c r="E131" i="3"/>
  <c r="E263" i="3"/>
  <c r="E570" i="3"/>
  <c r="E273" i="3"/>
  <c r="E368" i="3"/>
  <c r="E560" i="3"/>
  <c r="E301" i="3"/>
  <c r="E143" i="3"/>
  <c r="E31" i="3"/>
  <c r="E320" i="3"/>
  <c r="E203" i="3"/>
  <c r="E432" i="3"/>
  <c r="E51" i="3"/>
  <c r="E80" i="3"/>
  <c r="E37" i="3"/>
  <c r="F27" i="69"/>
  <c r="C47" i="69" s="1"/>
  <c r="D45" i="69" s="1"/>
  <c r="Q17" i="1"/>
  <c r="D89" i="43"/>
  <c r="J89" i="43"/>
  <c r="E94" i="3"/>
  <c r="E219" i="3"/>
  <c r="E191" i="3"/>
  <c r="E514" i="3"/>
  <c r="E211" i="3"/>
  <c r="E227" i="3"/>
  <c r="K6" i="3"/>
  <c r="E134" i="3"/>
  <c r="E337" i="3"/>
  <c r="E318" i="3"/>
  <c r="V6" i="3"/>
  <c r="E73" i="3"/>
  <c r="U6" i="3"/>
  <c r="E65" i="3"/>
  <c r="E370" i="3"/>
  <c r="E286" i="3"/>
  <c r="E59" i="40"/>
  <c r="D88" i="43"/>
  <c r="J88" i="43"/>
  <c r="D84" i="43"/>
  <c r="J84" i="43"/>
  <c r="D90" i="43"/>
  <c r="J90" i="43"/>
  <c r="B19" i="71"/>
  <c r="B18" i="71" s="1"/>
  <c r="B17" i="71" s="1"/>
  <c r="B16" i="71" s="1"/>
  <c r="S20" i="71"/>
  <c r="D87" i="43"/>
  <c r="J87" i="43"/>
  <c r="J83" i="43"/>
  <c r="D83" i="43"/>
  <c r="C21" i="71"/>
  <c r="D22" i="71"/>
  <c r="E487" i="3"/>
  <c r="E275" i="3"/>
  <c r="E535" i="3"/>
  <c r="E247" i="3"/>
  <c r="E28" i="3"/>
  <c r="E315" i="3"/>
  <c r="E228" i="3"/>
  <c r="E503" i="3"/>
  <c r="E343" i="3"/>
  <c r="E562" i="3"/>
  <c r="E239" i="3"/>
  <c r="E177" i="3"/>
  <c r="E288" i="3"/>
  <c r="E20" i="3"/>
  <c r="E452" i="3"/>
  <c r="E60" i="40"/>
  <c r="E296" i="3"/>
  <c r="E445" i="3"/>
  <c r="E431" i="3"/>
  <c r="E489" i="3"/>
  <c r="E214" i="3"/>
  <c r="AK6" i="3"/>
  <c r="E361" i="3"/>
  <c r="E530" i="3"/>
  <c r="E527" i="3"/>
  <c r="N6" i="3"/>
  <c r="E120" i="3"/>
  <c r="E532" i="3"/>
  <c r="E50" i="3"/>
  <c r="E556" i="3"/>
  <c r="P65" i="71"/>
  <c r="P66" i="71"/>
  <c r="E159" i="3"/>
  <c r="E195" i="3"/>
  <c r="E455" i="3"/>
  <c r="E287" i="3"/>
  <c r="D26" i="43"/>
  <c r="C25" i="43" s="1"/>
  <c r="W7" i="37"/>
  <c r="F27" i="68"/>
  <c r="F45" i="68" s="1"/>
  <c r="J10" i="39"/>
  <c r="W10" i="39" s="1"/>
  <c r="F10" i="40"/>
  <c r="S10" i="40" s="1"/>
  <c r="F28" i="12"/>
  <c r="C29" i="12" s="1"/>
  <c r="D28" i="12" s="1"/>
  <c r="AA10" i="39"/>
  <c r="F27" i="11"/>
  <c r="C29" i="11" s="1"/>
  <c r="D27" i="11" s="1"/>
  <c r="H10" i="39"/>
  <c r="U10" i="39"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31" i="3"/>
  <c r="AR6" i="3"/>
  <c r="E555" i="3"/>
  <c r="E44" i="3"/>
  <c r="E476" i="3"/>
  <c r="E107" i="3"/>
  <c r="E111" i="3"/>
  <c r="E193" i="3"/>
  <c r="E293" i="3"/>
  <c r="E415" i="3"/>
  <c r="E151" i="3"/>
  <c r="E125" i="3"/>
  <c r="E581" i="3"/>
  <c r="E32" i="3"/>
  <c r="AE6" i="3"/>
  <c r="E156" i="3"/>
  <c r="E169" i="3"/>
  <c r="E29" i="3"/>
  <c r="E357" i="3"/>
  <c r="E122" i="3"/>
  <c r="E259" i="3"/>
  <c r="E110" i="3"/>
  <c r="E398" i="3"/>
  <c r="E52" i="3"/>
  <c r="E226" i="3"/>
  <c r="E493" i="3"/>
  <c r="E78" i="3"/>
  <c r="T6" i="3"/>
  <c r="E482" i="3"/>
  <c r="E16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380" i="3"/>
  <c r="E270" i="3"/>
  <c r="E388" i="3"/>
  <c r="E384" i="3"/>
  <c r="AS6" i="3"/>
  <c r="E271" i="3"/>
  <c r="E72" i="3"/>
  <c r="E45" i="3"/>
  <c r="E578" i="3"/>
  <c r="E114" i="3"/>
  <c r="E229" i="3"/>
  <c r="E30" i="3"/>
  <c r="E558" i="3"/>
  <c r="E580" i="3"/>
  <c r="E424" i="3"/>
  <c r="E280" i="3"/>
  <c r="E338" i="3"/>
  <c r="E272" i="3"/>
  <c r="E257" i="3"/>
  <c r="E307" i="3"/>
  <c r="E373" i="3"/>
  <c r="E57" i="3"/>
  <c r="E165" i="3"/>
  <c r="E339" i="3"/>
  <c r="E202" i="3"/>
  <c r="E116" i="3"/>
  <c r="E243" i="3"/>
  <c r="E534" i="3"/>
  <c r="E332" i="3"/>
  <c r="E425" i="3"/>
  <c r="F45" i="69"/>
  <c r="C29" i="69"/>
  <c r="D27" i="69" s="1"/>
  <c r="E185" i="3"/>
  <c r="E439" i="3"/>
  <c r="E533" i="3"/>
  <c r="E410" i="3"/>
  <c r="E305" i="3"/>
  <c r="E441" i="3"/>
  <c r="E210" i="3"/>
  <c r="E447" i="3"/>
  <c r="E477" i="3"/>
  <c r="E585" i="3"/>
  <c r="E549" i="3"/>
  <c r="E150" i="3"/>
  <c r="E571" i="3"/>
  <c r="E573" i="3"/>
  <c r="E314" i="3"/>
  <c r="E336" i="3"/>
  <c r="E245" i="3"/>
  <c r="E395" i="3"/>
  <c r="E294" i="3"/>
  <c r="E559" i="3"/>
  <c r="E516" i="3"/>
  <c r="E366" i="3"/>
  <c r="E316" i="3"/>
  <c r="E444" i="3"/>
  <c r="E448" i="3"/>
  <c r="E236" i="3"/>
  <c r="E256" i="3"/>
  <c r="E429" i="3"/>
  <c r="E437" i="3"/>
  <c r="E238" i="3"/>
  <c r="E303" i="3"/>
  <c r="E213" i="3"/>
  <c r="E390" i="3"/>
  <c r="E53" i="3"/>
  <c r="E546" i="3"/>
  <c r="E397" i="3"/>
  <c r="W6" i="3"/>
  <c r="E306" i="3"/>
  <c r="E167" i="3"/>
  <c r="E462" i="3"/>
  <c r="E47" i="3"/>
  <c r="E209" i="3"/>
  <c r="E222" i="3"/>
  <c r="E155" i="3"/>
  <c r="E218" i="3"/>
  <c r="E36" i="3"/>
  <c r="E137" i="3"/>
  <c r="E333" i="3"/>
  <c r="E419" i="3"/>
  <c r="E486" i="3"/>
  <c r="E83" i="3"/>
  <c r="E190" i="3"/>
  <c r="E104" i="3"/>
  <c r="E469" i="3"/>
  <c r="E308" i="3"/>
  <c r="E129" i="3"/>
  <c r="E264" i="3"/>
  <c r="E300" i="3"/>
  <c r="E258" i="3"/>
  <c r="E508" i="3"/>
  <c r="E175" i="3"/>
  <c r="E331" i="3"/>
  <c r="E27" i="3"/>
  <c r="E505" i="3"/>
  <c r="E515" i="3"/>
  <c r="E269" i="3"/>
  <c r="E351" i="3"/>
  <c r="E450" i="3"/>
  <c r="E458" i="3"/>
  <c r="E99" i="3"/>
  <c r="E583" i="3"/>
  <c r="E382" i="3"/>
  <c r="E550" i="3"/>
  <c r="E230" i="3"/>
  <c r="E551" i="3"/>
  <c r="E396" i="3"/>
  <c r="E553" i="3"/>
  <c r="E334" i="3"/>
  <c r="E88" i="3"/>
  <c r="P6" i="3"/>
  <c r="E252" i="3"/>
  <c r="E394" i="3"/>
  <c r="E496" i="3"/>
  <c r="E481" i="3"/>
  <c r="E262" i="3"/>
  <c r="AN6" i="3"/>
  <c r="E17" i="3"/>
  <c r="E418" i="3"/>
  <c r="E153" i="3"/>
  <c r="E71" i="3"/>
  <c r="E379" i="3"/>
  <c r="E475" i="3"/>
  <c r="E157" i="3"/>
  <c r="E98" i="3"/>
  <c r="Y6" i="3"/>
  <c r="E266" i="3"/>
  <c r="E19" i="3"/>
  <c r="E421" i="3"/>
  <c r="E348" i="3"/>
  <c r="E101" i="3"/>
  <c r="E147" i="3"/>
  <c r="E194" i="3"/>
  <c r="E43" i="3"/>
  <c r="E40" i="3"/>
  <c r="E507" i="3"/>
  <c r="E223" i="3"/>
  <c r="E342" i="3"/>
  <c r="E41" i="3"/>
  <c r="E360" i="3"/>
  <c r="E140" i="3"/>
  <c r="E86" i="3"/>
  <c r="E494" i="3"/>
  <c r="E84" i="3"/>
  <c r="E76" i="3"/>
  <c r="E567" i="3"/>
  <c r="E279" i="3"/>
  <c r="E433" i="3"/>
  <c r="E457" i="3"/>
  <c r="E519" i="3"/>
  <c r="E511" i="3"/>
  <c r="E253" i="3"/>
  <c r="E518" i="3"/>
  <c r="E61" i="3"/>
  <c r="E260" i="3"/>
  <c r="E130" i="3"/>
  <c r="E407" i="3"/>
  <c r="E358" i="3"/>
  <c r="E569" i="3"/>
  <c r="E282" i="3"/>
  <c r="E480" i="3"/>
  <c r="E295" i="3"/>
  <c r="E404" i="3"/>
  <c r="E443" i="3"/>
  <c r="E576" i="3"/>
  <c r="I6" i="3"/>
  <c r="E274" i="3"/>
  <c r="E55" i="3"/>
  <c r="E344" i="3"/>
  <c r="Q6" i="3"/>
  <c r="E434" i="3"/>
  <c r="E353" i="3"/>
  <c r="E254"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E435" i="3"/>
  <c r="E536" i="3"/>
  <c r="E502" i="3"/>
  <c r="E491" i="3"/>
  <c r="E95" i="3"/>
  <c r="E363" i="3"/>
  <c r="E5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430" i="3"/>
  <c r="E417"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3" i="6"/>
  <c r="E522" i="3"/>
  <c r="E75" i="3"/>
  <c r="E21" i="3"/>
  <c r="E381" i="3"/>
  <c r="E23" i="3"/>
  <c r="E103" i="3"/>
  <c r="E389" i="3"/>
  <c r="E56" i="3"/>
  <c r="E539" i="3"/>
  <c r="Q60" i="15"/>
  <c r="H10" i="40"/>
  <c r="AB10" i="40" s="1"/>
  <c r="J10" i="40"/>
  <c r="AC10" i="40" s="1"/>
  <c r="F1" i="15"/>
  <c r="Q52" i="15"/>
  <c r="R36" i="36"/>
  <c r="I3" i="6"/>
  <c r="E541" i="3"/>
  <c r="R6" i="3"/>
  <c r="E199" i="3"/>
  <c r="E510" i="3"/>
  <c r="T52" i="71"/>
  <c r="D52" i="71"/>
  <c r="E484" i="3"/>
  <c r="E544" i="3"/>
  <c r="E292" i="3"/>
  <c r="E152" i="3"/>
  <c r="E479" i="3"/>
  <c r="E517" i="3"/>
  <c r="E255" i="3"/>
  <c r="E466" i="3"/>
  <c r="E499" i="3"/>
  <c r="E212" i="3"/>
  <c r="T40" i="71"/>
  <c r="D40" i="71"/>
  <c r="C26" i="71"/>
  <c r="D26" i="71" s="1"/>
  <c r="D27" i="71"/>
  <c r="E554" i="3"/>
  <c r="E449" i="3"/>
  <c r="E442" i="3"/>
  <c r="E575" i="3"/>
  <c r="D56" i="71"/>
  <c r="T56" i="71"/>
  <c r="B40" i="1"/>
  <c r="L36" i="43" s="1"/>
  <c r="L37" i="43" s="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U7" i="37"/>
  <c r="G67" i="39"/>
  <c r="F69" i="39"/>
  <c r="I53" i="34"/>
  <c r="J53" i="34" s="1"/>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M27" i="15"/>
  <c r="AE6" i="1"/>
  <c r="F41" i="15" s="1"/>
  <c r="M27" i="67"/>
  <c r="E83" i="43" l="1"/>
  <c r="B81" i="43" s="1"/>
  <c r="C28" i="43" s="1"/>
  <c r="S16" i="71"/>
  <c r="B15" i="71"/>
  <c r="B14" i="71" s="1"/>
  <c r="B13" i="71" s="1"/>
  <c r="B12" i="71" s="1"/>
  <c r="W10" i="40"/>
  <c r="B14" i="74"/>
  <c r="B1" i="74" s="1"/>
  <c r="C30" i="37"/>
  <c r="AA10" i="40"/>
  <c r="D21" i="71"/>
  <c r="C20" i="71"/>
  <c r="AC6" i="3"/>
  <c r="AC10" i="39"/>
  <c r="U10" i="40"/>
  <c r="C29" i="68"/>
  <c r="D27" i="68" s="1"/>
  <c r="C47" i="68"/>
  <c r="D45" i="68" s="1"/>
  <c r="F25" i="12"/>
  <c r="C26" i="12" s="1"/>
  <c r="D25" i="12" s="1"/>
  <c r="H6" i="3"/>
  <c r="D116" i="43"/>
  <c r="F22" i="68"/>
  <c r="F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C49" i="34"/>
  <c r="C50" i="34"/>
  <c r="I41" i="36"/>
  <c r="J41" i="36" s="1"/>
  <c r="G63" i="40"/>
  <c r="F65" i="40"/>
  <c r="C37" i="36"/>
  <c r="C36" i="36"/>
  <c r="G58" i="21"/>
  <c r="C60" i="15"/>
  <c r="C66" i="67"/>
  <c r="C60" i="67"/>
  <c r="D10" i="69"/>
  <c r="C34" i="69"/>
  <c r="D10" i="68"/>
  <c r="C14" i="67"/>
  <c r="F41" i="67"/>
  <c r="C17" i="67"/>
  <c r="C17" i="15"/>
  <c r="H25" i="6" l="1"/>
  <c r="S12" i="71"/>
  <c r="B11" i="71"/>
  <c r="B10" i="71" s="1"/>
  <c r="B9" i="71" s="1"/>
  <c r="B8" i="71" s="1"/>
  <c r="B7" i="71" s="1"/>
  <c r="B6" i="71" s="1"/>
  <c r="B5" i="71" s="1"/>
  <c r="D30" i="6"/>
  <c r="D20" i="71"/>
  <c r="U20" i="71" s="1"/>
  <c r="C19" i="71"/>
  <c r="T20" i="71"/>
  <c r="H30" i="37"/>
  <c r="J30" i="37"/>
  <c r="F30" i="37"/>
  <c r="E54" i="34"/>
  <c r="F54" i="34" s="1"/>
  <c r="H21" i="6"/>
  <c r="E6" i="3"/>
  <c r="T12" i="43"/>
  <c r="V12" i="43" s="1"/>
  <c r="C33" i="43"/>
  <c r="T3" i="43"/>
  <c r="V3" i="43" s="1"/>
  <c r="T16" i="43"/>
  <c r="V16" i="43" s="1"/>
  <c r="C42" i="43"/>
  <c r="T14" i="43"/>
  <c r="V14" i="43" s="1"/>
  <c r="T5" i="43"/>
  <c r="V5" i="43" s="1"/>
  <c r="T15" i="43"/>
  <c r="V15" i="43" s="1"/>
  <c r="T10" i="43"/>
  <c r="V10" i="43" s="1"/>
  <c r="C40" i="43"/>
  <c r="T2" i="43"/>
  <c r="V2" i="43" s="1"/>
  <c r="T13" i="43"/>
  <c r="V13" i="43" s="1"/>
  <c r="T8" i="43"/>
  <c r="V8" i="43" s="1"/>
  <c r="C37" i="43"/>
  <c r="T7" i="43"/>
  <c r="V7" i="43" s="1"/>
  <c r="C39" i="43"/>
  <c r="T6" i="43"/>
  <c r="V6" i="43" s="1"/>
  <c r="C38" i="43"/>
  <c r="T11" i="43"/>
  <c r="V11" i="43" s="1"/>
  <c r="T4" i="43"/>
  <c r="V4" i="43" s="1"/>
  <c r="C41" i="43"/>
  <c r="T9" i="43"/>
  <c r="V9" i="43" s="1"/>
  <c r="I54" i="34"/>
  <c r="J54" i="34" s="1"/>
  <c r="F69" i="67"/>
  <c r="C44" i="68"/>
  <c r="D41" i="68" s="1"/>
  <c r="C26" i="11"/>
  <c r="D22" i="11" s="1"/>
  <c r="C44" i="11"/>
  <c r="D41" i="11" s="1"/>
  <c r="C26" i="68"/>
  <c r="D22" i="68" s="1"/>
  <c r="C25" i="11"/>
  <c r="C24" i="11"/>
  <c r="C44" i="69"/>
  <c r="D41" i="69" s="1"/>
  <c r="C26" i="69"/>
  <c r="D22" i="6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C48" i="33"/>
  <c r="C49" i="33"/>
  <c r="H58" i="21"/>
  <c r="E53" i="33"/>
  <c r="F53" i="33" s="1"/>
  <c r="E52" i="33"/>
  <c r="F52" i="33" s="1"/>
  <c r="C33" i="15"/>
  <c r="C33" i="67"/>
  <c r="J19" i="67"/>
  <c r="C34" i="68"/>
  <c r="C14" i="15"/>
  <c r="AB30" i="37" l="1"/>
  <c r="U30" i="37"/>
  <c r="E2" i="70"/>
  <c r="D19" i="71"/>
  <c r="C18" i="71"/>
  <c r="G39" i="43"/>
  <c r="I39" i="43" s="1"/>
  <c r="E39" i="43"/>
  <c r="E37" i="43"/>
  <c r="G37" i="43"/>
  <c r="I37" i="43" s="1"/>
  <c r="G38" i="43"/>
  <c r="I38" i="43" s="1"/>
  <c r="E38" i="43"/>
  <c r="E40" i="43"/>
  <c r="G40" i="43"/>
  <c r="I40" i="43" s="1"/>
  <c r="E41" i="43"/>
  <c r="G41" i="43"/>
  <c r="I41" i="43" s="1"/>
  <c r="E42" i="43"/>
  <c r="G42" i="43"/>
  <c r="I42" i="43" s="1"/>
  <c r="AA30" i="37"/>
  <c r="R42" i="37" s="1"/>
  <c r="E42" i="37" s="1"/>
  <c r="E46" i="37" s="1"/>
  <c r="F46" i="37" s="1"/>
  <c r="S30" i="37"/>
  <c r="E33" i="43"/>
  <c r="C34" i="43"/>
  <c r="E34" i="43" s="1"/>
  <c r="AC30" i="37"/>
  <c r="V42" i="37" s="1"/>
  <c r="I42" i="37" s="1"/>
  <c r="W30" i="37"/>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I46" i="37" l="1"/>
  <c r="J46" i="37" s="1"/>
  <c r="I47" i="37"/>
  <c r="J47" i="37" s="1"/>
  <c r="C31" i="43"/>
  <c r="C17" i="71"/>
  <c r="D18" i="71"/>
  <c r="C30" i="43"/>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D17" i="71"/>
  <c r="C16" i="71"/>
  <c r="C30" i="12"/>
  <c r="C28" i="12" s="1"/>
  <c r="C32" i="12" s="1"/>
  <c r="B2" i="12" s="1"/>
  <c r="B3"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3" i="37"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B6" i="76"/>
  <c r="M21" i="67"/>
  <c r="B2" i="76" l="1"/>
  <c r="B3" i="76" s="1"/>
  <c r="D16" i="71"/>
  <c r="U16" i="71" s="1"/>
  <c r="C15" i="71"/>
  <c r="T16" i="71"/>
  <c r="C6" i="68"/>
  <c r="B3" i="43"/>
  <c r="AB33" i="37"/>
  <c r="T42" i="37" s="1"/>
  <c r="U33" i="37"/>
  <c r="E48" i="2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7" i="68" l="1"/>
  <c r="C5" i="68"/>
  <c r="C14" i="71"/>
  <c r="D15" i="71"/>
  <c r="G42" i="37"/>
  <c r="R43" i="37"/>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23" i="68"/>
  <c r="C20" i="68"/>
  <c r="C43" i="37"/>
  <c r="U18" i="1" s="1"/>
  <c r="C42" i="37"/>
  <c r="G46" i="37"/>
  <c r="H46" i="37" s="1"/>
  <c r="G47" i="37"/>
  <c r="H47" i="37" s="1"/>
  <c r="E47" i="37"/>
  <c r="F47" i="3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28" i="68" l="1"/>
  <c r="C27" i="68" s="1"/>
  <c r="C25" i="68"/>
  <c r="C22" i="68" s="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4"/>
  <c r="D2" i="37"/>
  <c r="C31" i="68" l="1"/>
  <c r="C52" i="68" s="1"/>
  <c r="C11" i="71"/>
  <c r="T12" i="71"/>
  <c r="D12" i="71"/>
  <c r="U12" i="71" s="1"/>
  <c r="B2" i="68"/>
  <c r="B3" i="68" s="1"/>
  <c r="C57" i="68"/>
  <c r="C56" i="68" s="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C19" i="9"/>
  <c r="AO11" i="1"/>
  <c r="AO9" i="1"/>
  <c r="AO12" i="1"/>
  <c r="C10" i="71" l="1"/>
  <c r="D11" i="71"/>
  <c r="C102" i="9"/>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D10" i="71" l="1"/>
  <c r="C9" i="71"/>
  <c r="C103" i="9"/>
  <c r="G19" i="9"/>
  <c r="D102" i="9"/>
  <c r="D2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C8" i="71" l="1"/>
  <c r="D9" i="71"/>
  <c r="G21" i="9"/>
  <c r="D14" i="74"/>
  <c r="G14" i="74" s="1"/>
  <c r="D103" i="9"/>
  <c r="G20" i="9"/>
  <c r="C42" i="40"/>
  <c r="C43" i="40"/>
  <c r="E47" i="40"/>
  <c r="F47" i="40" s="1"/>
  <c r="E46" i="40"/>
  <c r="F46" i="40" s="1"/>
  <c r="I47" i="40"/>
  <c r="J47" i="40" s="1"/>
  <c r="C7" i="71" l="1"/>
  <c r="D8" i="71"/>
  <c r="C32" i="9"/>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C5" i="71" l="1"/>
  <c r="D5" i="71" s="1"/>
  <c r="M24" i="43" s="1"/>
  <c r="D6" i="71"/>
  <c r="B6" i="74"/>
  <c r="D6" i="74" s="1"/>
  <c r="G118" i="9"/>
  <c r="F118" i="9" s="1"/>
  <c r="I118" i="9"/>
  <c r="I4" i="52" s="1"/>
  <c r="G4" i="52" l="1"/>
  <c r="B52" i="72" s="1"/>
  <c r="E118" i="9"/>
  <c r="E4" i="52" s="1"/>
  <c r="B48" i="72" s="1"/>
  <c r="F4" i="52"/>
  <c r="B51" i="72" s="1"/>
  <c r="F119" i="9"/>
  <c r="F5" i="52" s="1"/>
  <c r="B53" i="72" s="1"/>
  <c r="H102" i="9"/>
  <c r="C105" i="9"/>
  <c r="H118" i="9"/>
  <c r="D118" i="9" l="1"/>
  <c r="D119" i="9" s="1"/>
  <c r="D5" i="52" s="1"/>
  <c r="B49" i="72" s="1"/>
  <c r="C5" i="74"/>
  <c r="D7" i="53"/>
  <c r="B21" i="72" s="1"/>
  <c r="C104" i="9"/>
  <c r="H119" i="9"/>
  <c r="H5" i="52" s="1"/>
  <c r="H101" i="9"/>
  <c r="H4" i="52"/>
  <c r="D4" i="52" l="1"/>
  <c r="B47" i="72" s="1"/>
  <c r="D5" i="53"/>
  <c r="M48" i="9"/>
  <c r="H107" i="9"/>
  <c r="D45" i="9"/>
  <c r="D52" i="9" l="1"/>
  <c r="C72" i="9"/>
  <c r="C64" i="9"/>
  <c r="C63" i="9" s="1"/>
  <c r="C67" i="9" s="1"/>
  <c r="C78" i="9"/>
  <c r="C73" i="9" s="1"/>
  <c r="C93" i="9"/>
  <c r="C86" i="9" s="1"/>
  <c r="C85" i="9"/>
  <c r="D53" i="9"/>
  <c r="D55" i="9"/>
  <c r="M53" i="9" s="1"/>
  <c r="M49" i="9"/>
  <c r="D122" i="9"/>
  <c r="H108" i="9"/>
  <c r="D13" i="53"/>
  <c r="B20" i="72"/>
  <c r="D6" i="53"/>
  <c r="B22" i="72" s="1"/>
  <c r="D15" i="53" l="1"/>
  <c r="B31" i="72" s="1"/>
  <c r="C6" i="74"/>
  <c r="C68" i="9"/>
  <c r="D54" i="9" s="1"/>
  <c r="D59" i="9"/>
  <c r="M55" i="9" s="1"/>
  <c r="D8" i="52"/>
  <c r="D123" i="9"/>
  <c r="D9" i="52" s="1"/>
  <c r="C95" i="9"/>
  <c r="C79" i="9"/>
  <c r="B30" i="72"/>
  <c r="D14" i="53"/>
  <c r="B32" i="72" s="1"/>
  <c r="L67" i="9"/>
  <c r="M67" i="9" s="1"/>
  <c r="L68" i="9"/>
  <c r="M68" i="9" s="1"/>
  <c r="L65" i="9"/>
  <c r="M65" i="9" s="1"/>
  <c r="L64" i="9"/>
  <c r="M64" i="9" s="1"/>
  <c r="L63" i="9"/>
  <c r="M63" i="9" s="1"/>
  <c r="L66" i="9"/>
  <c r="M66" i="9"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<sst xmlns="http://schemas.openxmlformats.org/spreadsheetml/2006/main" count="8023" uniqueCount="3513">
  <si>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</si>
  <si>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</si>
  <si>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</si>
  <si>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</si>
  <si>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</si>
  <si>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</si>
  <si>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</si>
  <si>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</si>
  <si>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</si>
  <si>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</si>
  <si>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</si>
  <si>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</si>
  <si>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</si>
  <si>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</si>
  <si>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</si>
  <si>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</si>
  <si>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</si>
  <si>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</si>
  <si>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</si>
  <si>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</si>
  <si>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</si>
  <si>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</si>
  <si>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</si>
  <si>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</si>
  <si>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</si>
  <si>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</si>
  <si>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</si>
  <si>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</si>
  <si>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</si>
  <si>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</si>
  <si>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</si>
  <si>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</si>
  <si>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</si>
  <si>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</si>
  <si>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</si>
  <si>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</si>
  <si>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</si>
  <si>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</si>
  <si>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</si>
  <si>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</si>
  <si>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</si>
  <si>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</si>
  <si>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</si>
  <si>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</si>
  <si>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</si>
  <si>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</si>
  <si>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</si>
  <si>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</si>
  <si>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</si>
  <si>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</si>
  <si>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</si>
  <si>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</si>
  <si>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</si>
  <si>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</si>
  <si>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</si>
  <si>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</si>
  <si>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</si>
  <si>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</si>
  <si>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</si>
  <si>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</si>
  <si>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</si>
  <si>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</si>
  <si>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</si>
  <si>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</si>
  <si>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</si>
  <si>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</si>
  <si>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</si>
  <si>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</si>
  <si>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</si>
  <si>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</si>
  <si>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</si>
  <si>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</si>
  <si>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</si>
  <si>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</si>
  <si>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</si>
  <si>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</si>
  <si>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</si>
  <si>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</si>
  <si>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</si>
  <si>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</si>
  <si>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</si>
  <si>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</si>
  <si>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</si>
  <si>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</si>
  <si>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</si>
  <si>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</si>
  <si>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</si>
  <si>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</si>
  <si>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</si>
  <si>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</si>
  <si>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</si>
  <si>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</si>
  <si>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</si>
  <si>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</si>
  <si>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</si>
  <si>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</si>
  <si>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</si>
  <si>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</si>
  <si>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</si>
  <si>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</si>
  <si>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</si>
  <si>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</si>
  <si>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</si>
  <si>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</si>
  <si>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</si>
  <si>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</si>
  <si>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</si>
  <si>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</si>
  <si>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</si>
  <si>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</si>
  <si>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</si>
  <si>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</si>
  <si>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</si>
  <si>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</si>
  <si>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</si>
  <si>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</si>
  <si>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</si>
  <si>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</si>
  <si>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</si>
  <si>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</si>
  <si>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</si>
  <si>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</si>
  <si>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</si>
  <si>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</si>
  <si>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</si>
  <si>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</si>
  <si>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</si>
  <si>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</si>
  <si>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</si>
  <si>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</si>
  <si>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</si>
  <si>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</si>
  <si>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</si>
  <si>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</si>
  <si>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</si>
  <si>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</si>
  <si>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</si>
  <si>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</si>
  <si>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</si>
  <si>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</si>
  <si>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</si>
  <si>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</si>
  <si>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</si>
  <si>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</si>
  <si>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</si>
  <si>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</si>
  <si>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</si>
  <si>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</si>
  <si>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</si>
  <si>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</si>
  <si>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</si>
  <si>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</si>
  <si>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</si>
  <si>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</si>
  <si>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</si>
  <si>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</si>
  <si>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</si>
  <si>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</si>
  <si>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</si>
  <si>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</si>
  <si>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</si>
  <si>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</si>
  <si>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</si>
  <si>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</si>
  <si>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</si>
  <si>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</si>
  <si>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</si>
  <si>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</si>
  <si>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</si>
  <si>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</si>
  <si>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</si>
  <si>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</si>
  <si>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</si>
  <si>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</si>
  <si>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</si>
  <si>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</si>
  <si>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</si>
  <si>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</si>
  <si>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</si>
  <si>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</si>
  <si>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</si>
  <si>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</si>
  <si>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</si>
  <si>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</si>
  <si>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</si>
  <si>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</si>
  <si>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</si>
  <si>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</si>
  <si>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</si>
  <si>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</si>
  <si>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</si>
  <si>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</si>
  <si>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</si>
  <si>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</si>
  <si>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</si>
  <si>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</si>
  <si>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</si>
  <si>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</si>
  <si>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</si>
  <si>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</si>
  <si>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</si>
  <si>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</si>
  <si>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</si>
  <si>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</si>
  <si>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</si>
  <si>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</si>
  <si>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</si>
  <si>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</si>
  <si>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</si>
  <si>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</si>
  <si>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</si>
  <si>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</si>
  <si>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</si>
  <si>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</si>
  <si>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</si>
  <si>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</si>
  <si>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</si>
  <si>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</si>
  <si>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</si>
  <si>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</si>
  <si>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</si>
  <si>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</si>
  <si>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</si>
  <si>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</si>
  <si>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</si>
  <si>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</si>
  <si>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</si>
  <si>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</si>
  <si>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</si>
  <si>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</si>
  <si>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</si>
  <si>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</si>
  <si>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</si>
  <si>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</si>
  <si>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</si>
  <si>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</si>
  <si>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</si>
  <si>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</si>
  <si>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</si>
  <si>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</si>
  <si>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</si>
  <si>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</si>
  <si>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</si>
  <si>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</si>
  <si>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</si>
  <si>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</si>
  <si>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</si>
  <si>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</si>
  <si>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</si>
  <si>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</si>
  <si>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</si>
  <si>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</si>
  <si>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</si>
  <si>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</si>
  <si>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</si>
  <si>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</si>
  <si>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</si>
  <si>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</si>
  <si>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</si>
  <si>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</si>
  <si>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</si>
  <si>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</si>
  <si>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</si>
  <si>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</si>
  <si>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</si>
  <si>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</si>
  <si>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</si>
  <si>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</si>
  <si>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</si>
  <si>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</si>
  <si>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</si>
  <si>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</si>
  <si>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</si>
  <si>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</si>
  <si>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</si>
  <si>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</si>
  <si>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</si>
  <si>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</si>
  <si>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</si>
  <si>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</si>
  <si>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</si>
  <si>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</si>
  <si>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</si>
  <si>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</si>
  <si>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</si>
  <si>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</si>
  <si>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</si>
  <si>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</si>
  <si>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</si>
  <si>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</si>
  <si>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</si>
  <si>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</si>
  <si>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</si>
  <si>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</si>
  <si>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</si>
  <si>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</si>
  <si>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</si>
  <si>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</si>
  <si>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</si>
  <si>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</si>
  <si>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</si>
  <si>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</si>
  <si>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</si>
  <si>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</si>
  <si>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</si>
  <si>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</si>
  <si>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</si>
  <si>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</si>
  <si>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</si>
  <si>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</si>
  <si>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</si>
  <si>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</si>
  <si>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</si>
  <si>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</si>
  <si>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</si>
  <si>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</si>
  <si>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</si>
  <si>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</si>
  <si>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</si>
  <si>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</si>
  <si>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</si>
  <si>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</si>
  <si>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</si>
  <si>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</si>
  <si>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</si>
  <si>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</si>
  <si>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</si>
  <si>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</si>
  <si>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</si>
  <si>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</si>
  <si>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</si>
  <si>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</si>
  <si>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</si>
  <si>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</si>
  <si>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</si>
  <si>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</si>
  <si>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</si>
  <si>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</si>
  <si>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</si>
  <si>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</si>
  <si>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</si>
  <si>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</si>
  <si>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</si>
  <si>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</si>
  <si>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</si>
  <si>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</si>
  <si>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</si>
  <si>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</si>
  <si>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</si>
  <si>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</si>
  <si>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</si>
  <si>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</si>
  <si>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</si>
  <si>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</si>
  <si>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</si>
  <si>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</si>
  <si>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</si>
  <si>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</si>
  <si>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</si>
  <si>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</si>
  <si>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</si>
  <si>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</si>
  <si>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</si>
  <si>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</si>
  <si>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</si>
  <si>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</si>
  <si>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</si>
  <si>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</si>
  <si>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</si>
  <si>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</si>
  <si>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</si>
  <si>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</si>
  <si>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</si>
  <si>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</si>
  <si>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</si>
  <si>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</si>
  <si>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</si>
  <si>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</si>
  <si>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</si>
  <si>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</si>
  <si>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</si>
  <si>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</si>
  <si>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</si>
  <si>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</si>
  <si>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</si>
  <si>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</si>
  <si>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</si>
  <si>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</si>
  <si>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</si>
  <si>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</si>
  <si>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</si>
  <si>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</si>
  <si>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</si>
  <si>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</si>
  <si>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</si>
  <si>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</si>
  <si>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</si>
  <si>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</si>
  <si>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</si>
  <si>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</si>
  <si>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</si>
  <si>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</si>
  <si>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</si>
  <si>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</si>
  <si>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</si>
  <si>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</si>
  <si>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</si>
  <si>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</si>
  <si>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</si>
  <si>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</si>
  <si>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</si>
  <si>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</si>
  <si>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</si>
  <si>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</si>
  <si>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</si>
  <si>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</si>
  <si>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</si>
  <si>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</si>
  <si>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</si>
  <si>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</si>
  <si>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</si>
  <si>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</si>
  <si>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</si>
  <si>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</si>
  <si>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</si>
  <si>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</si>
  <si>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</si>
  <si>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</si>
  <si>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</si>
  <si>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</si>
  <si>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</si>
  <si>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</si>
  <si>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</si>
  <si>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</si>
  <si>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</si>
  <si>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</si>
  <si>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</si>
  <si>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</si>
  <si>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</si>
  <si>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</si>
  <si>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</si>
  <si>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</si>
  <si>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</si>
  <si>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</si>
  <si>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</si>
  <si>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</si>
  <si>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</si>
  <si>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</si>
  <si>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</si>
  <si>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</si>
  <si>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</si>
  <si>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</si>
  <si>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</si>
  <si>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</si>
  <si>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</si>
  <si>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</si>
  <si>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</si>
  <si>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</si>
  <si>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</si>
  <si>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</si>
  <si>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</si>
  <si>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</si>
  <si>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</si>
  <si>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</si>
  <si>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</si>
  <si>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</si>
  <si>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</si>
  <si>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</si>
  <si>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</si>
  <si>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</si>
  <si>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</si>
  <si>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</si>
  <si>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</si>
  <si>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</si>
  <si>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</si>
  <si>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</si>
  <si>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</si>
  <si>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</si>
  <si>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</si>
  <si>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</si>
  <si>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</si>
  <si>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</si>
  <si>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</si>
  <si>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</si>
  <si>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</si>
  <si>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</si>
  <si>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</si>
  <si>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</si>
  <si>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</si>
  <si>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</si>
  <si>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</si>
  <si>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</si>
  <si>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</si>
  <si>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</si>
  <si>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</si>
  <si>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</si>
  <si>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</si>
  <si>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</si>
  <si>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</si>
  <si>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</si>
  <si>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</si>
  <si>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</si>
  <si>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</si>
  <si>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</si>
  <si>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</si>
  <si>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</si>
  <si>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</si>
  <si>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</si>
  <si>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</si>
  <si>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</si>
  <si>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</si>
  <si>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</si>
  <si>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</si>
  <si>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</si>
  <si>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</si>
  <si>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</si>
  <si>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</si>
  <si>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</si>
  <si>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</si>
  <si>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</si>
  <si>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</si>
  <si>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</si>
  <si>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</si>
  <si>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</si>
  <si>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</si>
  <si>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</si>
  <si>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</si>
  <si>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</si>
  <si>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</si>
  <si>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</si>
  <si>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</si>
  <si>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</si>
  <si>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</si>
  <si>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</si>
  <si>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</si>
  <si>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</si>
  <si>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</si>
  <si>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</si>
  <si>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</si>
  <si>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</si>
  <si>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</si>
  <si>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</si>
  <si>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</si>
  <si>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</si>
  <si>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</si>
  <si>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</si>
  <si>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</si>
  <si>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</si>
  <si>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</si>
  <si>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</si>
  <si>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</si>
  <si>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</si>
  <si>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</si>
  <si>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</si>
  <si>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</si>
  <si>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</si>
  <si>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</si>
  <si>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</si>
  <si>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</si>
  <si>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</si>
  <si>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</si>
  <si>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</si>
  <si>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</si>
  <si>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</si>
  <si>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</si>
  <si>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</si>
  <si>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</si>
  <si>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</si>
  <si>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</si>
  <si>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</si>
  <si>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</si>
  <si>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</si>
  <si>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</si>
  <si>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</si>
  <si>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</si>
  <si>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</si>
  <si>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</si>
  <si>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</si>
  <si>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</si>
  <si>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</si>
  <si>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</si>
  <si>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</si>
  <si>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</si>
  <si>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</si>
  <si>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</si>
  <si>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</si>
  <si>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</si>
  <si>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</si>
  <si>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</si>
  <si>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</si>
  <si>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</si>
  <si>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</si>
  <si>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</si>
  <si>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</si>
  <si>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</si>
  <si>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</si>
  <si>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</si>
  <si>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</si>
  <si>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</si>
  <si>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</si>
  <si>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</si>
  <si>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</si>
  <si>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</si>
  <si>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</si>
  <si>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</si>
  <si>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</si>
  <si>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</si>
  <si>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</si>
  <si>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</si>
  <si>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</si>
  <si>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</si>
  <si>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</si>
  <si>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</si>
  <si>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</si>
  <si>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</si>
  <si>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</si>
  <si>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</si>
  <si>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</si>
  <si>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</si>
  <si>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</si>
  <si>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</si>
  <si>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</si>
  <si>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</si>
  <si>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</si>
  <si>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</si>
  <si>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</si>
  <si>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</si>
  <si>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</si>
  <si>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</si>
  <si>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</si>
  <si>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</si>
  <si>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</si>
  <si>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</si>
  <si>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</si>
  <si>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</si>
  <si>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</si>
  <si>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</si>
  <si>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</si>
  <si>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</si>
  <si>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</si>
  <si>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</si>
  <si>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</si>
  <si>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</si>
  <si>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</si>
  <si>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</si>
  <si>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</si>
  <si>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</si>
  <si>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</si>
  <si>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</si>
  <si>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</si>
  <si>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</si>
  <si>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</si>
  <si>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</si>
  <si>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</si>
  <si>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</si>
  <si>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</si>
  <si>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</si>
  <si>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</si>
  <si>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</si>
  <si>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</si>
  <si>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</si>
  <si>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</si>
  <si>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</si>
  <si>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</si>
  <si>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</si>
  <si>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</si>
  <si>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</si>
  <si>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</si>
  <si>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</si>
  <si>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</si>
  <si>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</si>
  <si>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</si>
  <si>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</si>
  <si>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</si>
  <si>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</si>
  <si>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</si>
  <si>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</si>
  <si>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</si>
  <si>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</si>
  <si>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</si>
  <si>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</si>
  <si>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</si>
  <si>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</si>
  <si>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</si>
  <si>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</si>
  <si>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</si>
  <si>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</si>
  <si>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</si>
  <si>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</si>
  <si>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</si>
  <si>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</si>
  <si>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</si>
  <si>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</si>
  <si>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</si>
  <si>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</si>
  <si>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</si>
  <si>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</si>
  <si>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</si>
  <si>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</si>
  <si>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</si>
  <si>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</si>
  <si>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</si>
  <si>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</si>
  <si>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</si>
  <si>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</si>
  <si>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</si>
  <si>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</si>
  <si>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</si>
  <si>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</si>
  <si>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</si>
  <si>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</si>
  <si>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</si>
  <si>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</si>
  <si>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</si>
  <si>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</si>
  <si>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</si>
  <si>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</si>
  <si>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</si>
  <si>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</si>
  <si>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</si>
  <si>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</si>
  <si>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</si>
  <si>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</si>
  <si>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</si>
  <si>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</si>
  <si>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</si>
  <si>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</si>
  <si>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</si>
  <si>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</si>
  <si>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</si>
  <si>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</si>
  <si>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</si>
  <si>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</si>
  <si>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</si>
  <si>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</si>
  <si>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</si>
  <si>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</si>
  <si>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</si>
  <si>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</si>
  <si>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</si>
  <si>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</si>
  <si>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</si>
  <si>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</si>
  <si>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</si>
  <si>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</si>
  <si>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</si>
  <si>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</si>
  <si>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</si>
  <si>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</si>
  <si>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</si>
  <si>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</si>
  <si>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</si>
  <si>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</si>
  <si>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</si>
  <si>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</si>
  <si>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</si>
  <si>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</si>
  <si>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</si>
  <si>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</si>
  <si>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</si>
  <si>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</si>
  <si>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</si>
  <si>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</si>
  <si>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</si>
  <si>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</si>
  <si>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</si>
  <si>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</si>
  <si>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</si>
  <si>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</si>
  <si>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</si>
  <si>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</si>
  <si>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</si>
  <si>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</si>
  <si>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</si>
  <si>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</si>
  <si>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</si>
  <si>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</si>
  <si>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</si>
  <si>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</si>
  <si>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</si>
  <si>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</si>
  <si>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</si>
  <si>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</si>
  <si>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</si>
  <si>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</si>
  <si>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</si>
  <si>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</si>
  <si>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</si>
  <si>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</si>
  <si>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</si>
  <si>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</si>
  <si>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</si>
  <si>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</si>
  <si>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</si>
  <si>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</si>
  <si>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</si>
  <si>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</si>
  <si>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</si>
  <si>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</si>
  <si>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</si>
  <si>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</si>
  <si>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</si>
  <si>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</si>
  <si>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</si>
  <si>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</si>
  <si>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</si>
  <si>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</si>
  <si>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</si>
  <si>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</si>
  <si>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</si>
  <si>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</si>
  <si>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</si>
  <si>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</si>
  <si>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</si>
  <si>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</si>
  <si>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</si>
  <si>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</si>
  <si>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</si>
  <si>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</si>
  <si>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</si>
  <si>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</si>
  <si>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</si>
  <si>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</si>
  <si>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</si>
  <si>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</si>
  <si>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</si>
  <si>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</si>
  <si>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</si>
  <si>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</si>
  <si>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</si>
  <si>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</si>
  <si>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</si>
  <si>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</si>
  <si>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</si>
  <si>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</si>
  <si>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</si>
  <si>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</si>
  <si>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</si>
  <si>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</si>
  <si>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</si>
  <si>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</si>
  <si>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</si>
  <si>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</si>
  <si>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</si>
  <si>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</si>
  <si>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</si>
  <si>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</si>
  <si>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</si>
  <si>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</si>
  <si>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</si>
  <si>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</si>
  <si>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</si>
  <si>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</si>
  <si>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</si>
  <si>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</si>
  <si>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</si>
  <si>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</si>
  <si>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</si>
  <si>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</si>
  <si>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</si>
  <si>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</si>
  <si>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</si>
  <si>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</si>
  <si>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</si>
  <si>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</si>
  <si>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</si>
  <si>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</si>
  <si>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</si>
  <si>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</si>
  <si>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</si>
  <si>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</si>
  <si>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</si>
  <si>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</si>
  <si>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</si>
  <si>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</si>
  <si>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</si>
  <si>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</si>
  <si>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</si>
  <si>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</si>
  <si>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</si>
  <si>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</si>
  <si>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</si>
  <si>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</si>
  <si>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</si>
  <si>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</si>
  <si>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</si>
  <si>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</si>
  <si>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</si>
  <si>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</si>
  <si>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</si>
  <si>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</si>
  <si>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</si>
  <si>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</si>
  <si>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</si>
  <si>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</si>
  <si>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</si>
  <si>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</si>
  <si>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</si>
  <si>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</si>
  <si>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</si>
  <si>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</si>
  <si>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</si>
  <si>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</si>
  <si>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</si>
  <si>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</si>
  <si>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</si>
  <si>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</si>
  <si>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</si>
  <si>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</si>
  <si>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</si>
  <si>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</si>
  <si>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</si>
  <si>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</si>
  <si>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</si>
  <si>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</si>
  <si>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</si>
  <si>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</si>
  <si>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</si>
  <si>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</si>
  <si>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</si>
  <si>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</si>
  <si>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</si>
  <si>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</si>
  <si>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</si>
  <si>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</si>
  <si>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</si>
  <si>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</si>
  <si>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</si>
  <si>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</si>
  <si>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</si>
  <si>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</si>
  <si>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</si>
  <si>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</si>
  <si>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</si>
  <si>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</si>
  <si>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</si>
  <si>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</si>
  <si>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</si>
  <si>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</si>
  <si>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</si>
  <si>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</si>
  <si>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</si>
  <si>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</si>
  <si>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</si>
  <si>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</si>
  <si>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</si>
  <si>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</si>
  <si>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</si>
  <si>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</si>
  <si>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</si>
  <si>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</si>
  <si>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</si>
  <si>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</si>
  <si>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</si>
  <si>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</si>
  <si>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</si>
  <si>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</si>
  <si>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</si>
  <si>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</si>
  <si>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</si>
  <si>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</si>
  <si>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</si>
  <si>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</si>
  <si>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</si>
  <si>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</si>
  <si>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</si>
  <si>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</si>
  <si>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</si>
  <si>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</si>
  <si>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</si>
  <si>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</si>
  <si>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</si>
  <si>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</si>
  <si>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</si>
  <si>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</si>
  <si>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</si>
  <si>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</si>
  <si>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</si>
  <si>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</si>
  <si>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</si>
  <si>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</si>
  <si>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</si>
  <si>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</si>
  <si>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</si>
  <si>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</si>
  <si>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</si>
  <si>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</si>
  <si>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</si>
  <si>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</si>
  <si>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</si>
  <si>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</si>
  <si>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</si>
  <si>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</si>
  <si>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</si>
  <si>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</si>
  <si>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</si>
  <si>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</si>
  <si>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</si>
  <si>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</si>
  <si>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</si>
  <si>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</si>
  <si>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</si>
  <si>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</si>
  <si>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</si>
  <si>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</si>
  <si>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</si>
  <si>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</si>
  <si>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</si>
  <si>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</si>
  <si>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</si>
  <si>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</si>
  <si>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</si>
  <si>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</si>
  <si>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</si>
  <si>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</si>
  <si>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</si>
  <si>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</si>
  <si>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</si>
  <si>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</si>
  <si>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</si>
  <si>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</si>
  <si>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</si>
  <si>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</si>
  <si>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</si>
  <si>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</si>
  <si>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</si>
  <si>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</si>
  <si>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</si>
  <si>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</si>
  <si>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</si>
  <si>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</si>
  <si>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</si>
  <si>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</si>
  <si>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</si>
  <si>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</si>
  <si>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</si>
  <si>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</si>
  <si>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</si>
  <si>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</si>
  <si>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</si>
  <si>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</si>
  <si>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</si>
  <si>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</si>
  <si>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</si>
  <si>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</si>
  <si>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</si>
  <si>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</si>
  <si>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</si>
  <si>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</si>
  <si>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</si>
  <si>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</si>
  <si>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</si>
  <si>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</si>
  <si>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</si>
  <si>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</si>
  <si>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</si>
  <si>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</si>
  <si>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</si>
  <si>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</si>
  <si>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</si>
  <si>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</si>
  <si>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</si>
  <si>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</si>
  <si>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</si>
  <si>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</si>
  <si>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</si>
  <si>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</si>
  <si>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</si>
  <si>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</si>
  <si>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</si>
  <si>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</si>
  <si>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</si>
  <si>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</si>
  <si>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</si>
  <si>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</si>
  <si>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</si>
  <si>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</si>
  <si>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</si>
  <si>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</si>
  <si>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</si>
  <si>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</si>
  <si>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</si>
  <si>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</si>
  <si>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</si>
  <si>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</si>
  <si>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</si>
  <si>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</si>
  <si>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</si>
  <si>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</si>
  <si>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</si>
  <si>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</si>
  <si>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</si>
  <si>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</si>
  <si>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</si>
  <si>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</si>
  <si>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</si>
  <si>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</si>
  <si>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</si>
  <si>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</si>
  <si>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</si>
  <si>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</si>
  <si>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</si>
  <si>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</si>
  <si>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</si>
  <si>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</si>
  <si>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</si>
  <si>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</si>
  <si>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</si>
  <si>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</si>
  <si>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</si>
  <si>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</si>
  <si>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</si>
  <si>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</si>
  <si>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</si>
  <si>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</si>
  <si>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</si>
  <si>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</si>
  <si>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</si>
  <si>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</si>
  <si>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</si>
  <si>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</si>
  <si>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</si>
  <si>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</si>
  <si>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</si>
  <si>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</si>
  <si>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</si>
  <si>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</si>
  <si>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</si>
  <si>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</si>
  <si>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</si>
  <si>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</si>
  <si>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</si>
  <si>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</si>
  <si>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</si>
  <si>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</si>
  <si>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</si>
  <si>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</si>
  <si>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</si>
  <si>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</si>
  <si>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</si>
  <si>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</si>
  <si>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</si>
  <si>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</si>
  <si>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</si>
  <si>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</si>
  <si>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</si>
  <si>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</si>
  <si>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</si>
  <si>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</si>
  <si>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</si>
  <si>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</si>
  <si>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</si>
  <si>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</si>
  <si>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</si>
  <si>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</si>
  <si>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</si>
  <si>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</si>
  <si>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</si>
  <si>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</si>
  <si>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</si>
  <si>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</si>
  <si>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</si>
  <si>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</si>
  <si>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</si>
  <si>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</si>
  <si>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</si>
  <si>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</si>
  <si>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</si>
  <si>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</si>
  <si>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</si>
  <si>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</si>
  <si>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</si>
  <si>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</si>
  <si>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</si>
  <si>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</si>
  <si>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</si>
  <si>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</si>
  <si>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</si>
  <si>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</si>
  <si>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</si>
  <si>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</si>
  <si>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</si>
  <si>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</si>
  <si>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</si>
  <si>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</si>
  <si>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</si>
  <si>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</si>
  <si>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</si>
  <si>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</si>
  <si>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</si>
  <si>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</si>
  <si>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</si>
  <si>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</si>
  <si>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</si>
  <si>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</si>
  <si>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</si>
  <si>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</si>
  <si>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</si>
  <si>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</si>
  <si>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</si>
  <si>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</si>
  <si>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</si>
  <si>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</si>
  <si>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</si>
  <si>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</si>
  <si>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</si>
  <si>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</si>
  <si>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</si>
  <si>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</si>
  <si>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</si>
  <si>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</si>
  <si>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</si>
  <si>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</si>
  <si>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</si>
  <si>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</si>
  <si>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</si>
  <si>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</si>
  <si>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</si>
  <si>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</si>
  <si>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</si>
  <si>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</si>
  <si>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</si>
  <si>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</si>
  <si>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</si>
  <si>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</si>
  <si>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</si>
  <si>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</si>
  <si>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</si>
  <si>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</si>
  <si>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</si>
  <si>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</si>
  <si>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</si>
  <si>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</si>
  <si>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</si>
  <si>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</si>
  <si>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</si>
  <si>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</si>
  <si>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</si>
  <si>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</si>
  <si>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</si>
  <si>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</si>
  <si>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</si>
  <si>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</si>
  <si>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</si>
  <si>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</si>
  <si>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</si>
  <si>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</si>
  <si>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</si>
  <si>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</si>
  <si>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</si>
  <si>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</si>
  <si>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</si>
  <si>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</si>
  <si>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</si>
  <si>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</si>
  <si>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</si>
  <si>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</si>
  <si>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</si>
  <si>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</si>
  <si>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</si>
  <si>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</si>
  <si>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</si>
  <si>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</si>
  <si>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</si>
  <si>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</si>
  <si>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</si>
  <si>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</si>
  <si>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</si>
  <si>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</si>
  <si>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</si>
  <si>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</si>
  <si>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</si>
  <si>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</si>
  <si>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</si>
  <si>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</si>
  <si>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</si>
  <si>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</si>
  <si>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</si>
  <si>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</si>
  <si>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</si>
  <si>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</si>
  <si>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</si>
  <si>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</si>
  <si>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</si>
  <si>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</si>
  <si>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</si>
  <si>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</si>
  <si>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</si>
  <si>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</si>
  <si>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</si>
  <si>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</si>
  <si>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</si>
  <si>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</si>
  <si>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</si>
  <si>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</si>
  <si>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</si>
  <si>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</si>
  <si>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</si>
  <si>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</si>
  <si>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</si>
  <si>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</si>
  <si>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</si>
  <si>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</si>
  <si>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</si>
  <si>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</si>
  <si>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</si>
  <si>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</si>
  <si>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</si>
  <si>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</si>
  <si>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</si>
  <si>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</si>
  <si>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</si>
  <si>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</si>
  <si>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</si>
  <si>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</si>
  <si>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</si>
  <si>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</si>
  <si>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</si>
  <si>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</si>
  <si>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</si>
  <si>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</si>
  <si>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</si>
  <si>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</si>
  <si>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</si>
  <si>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</si>
  <si>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</si>
  <si>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</si>
  <si>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</si>
  <si>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</si>
  <si>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</si>
  <si>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</si>
  <si>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</si>
  <si>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</si>
  <si>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</si>
  <si>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</si>
  <si>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</si>
  <si>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</si>
  <si>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</si>
  <si>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</si>
  <si>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</si>
  <si>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</si>
  <si>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</si>
  <si>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</si>
  <si>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</si>
  <si>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</si>
  <si>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</si>
  <si>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</si>
  <si>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</si>
  <si>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</si>
  <si>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</si>
  <si>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</si>
  <si>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</si>
  <si>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</si>
  <si>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</si>
  <si>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</si>
  <si>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</si>
  <si>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</si>
  <si>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</si>
  <si>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</si>
  <si>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</si>
  <si>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</si>
  <si>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</si>
  <si>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</si>
  <si>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</si>
  <si>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</si>
  <si>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</si>
  <si>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</si>
  <si>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</si>
  <si>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</si>
  <si>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</si>
  <si>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</si>
  <si>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</si>
  <si>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</si>
  <si>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</si>
  <si>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</si>
  <si>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</si>
  <si>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</si>
  <si>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</si>
  <si>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</si>
  <si>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</si>
  <si>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</si>
  <si>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</si>
  <si>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</si>
  <si>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</si>
  <si>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</si>
  <si>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</si>
  <si>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</si>
  <si>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</si>
  <si>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</si>
  <si>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</si>
  <si>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</si>
  <si>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</si>
  <si>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</si>
  <si>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</si>
  <si>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</si>
  <si>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</si>
  <si>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</si>
  <si>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</si>
  <si>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</si>
  <si>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</si>
  <si>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</si>
  <si>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</si>
  <si>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</si>
  <si>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</si>
  <si>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</si>
  <si>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</si>
  <si>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</si>
  <si>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</si>
  <si>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</si>
  <si>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</si>
  <si>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</si>
  <si>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</si>
  <si>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</si>
  <si>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</si>
  <si>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</si>
  <si>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</si>
  <si>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</si>
  <si>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</si>
  <si>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</si>
  <si>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</si>
  <si>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</si>
  <si>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</si>
  <si>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</si>
  <si>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</si>
  <si>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</si>
  <si>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</si>
  <si>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</si>
  <si>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</si>
  <si>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</si>
  <si>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</si>
  <si>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</si>
  <si>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</si>
  <si>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</si>
  <si>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</si>
  <si>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</si>
  <si>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</si>
  <si>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</si>
  <si>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</si>
  <si>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</si>
  <si>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</si>
  <si>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</si>
  <si>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</si>
  <si>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</si>
  <si>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</si>
  <si>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</si>
  <si>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</si>
  <si>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</si>
  <si>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</si>
  <si>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</si>
  <si>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</si>
  <si>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</si>
  <si>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</si>
  <si>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</si>
  <si>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</si>
  <si>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</si>
  <si>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</si>
  <si>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</si>
  <si>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</si>
  <si>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</si>
  <si>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</si>
  <si>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</si>
  <si>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</si>
  <si>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</si>
  <si>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</si>
  <si>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</si>
  <si>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</si>
  <si>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</si>
  <si>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</si>
  <si>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</si>
  <si>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</si>
  <si>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</si>
  <si>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</si>
  <si>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</si>
  <si>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</si>
  <si>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</si>
  <si>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</si>
  <si>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</si>
  <si>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</si>
  <si>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</si>
  <si>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</si>
  <si>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</si>
  <si>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</si>
  <si>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</si>
  <si>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</si>
  <si>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</si>
  <si>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</si>
  <si>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</si>
  <si>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</si>
  <si>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</si>
  <si>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</si>
  <si>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</si>
  <si>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</si>
  <si>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</si>
  <si>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</si>
  <si>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</si>
  <si>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</si>
  <si>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</si>
  <si>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</si>
  <si>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</si>
  <si>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</si>
  <si>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</si>
  <si>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</si>
  <si>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</si>
  <si>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</si>
  <si>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</si>
  <si>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</si>
  <si>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</si>
  <si>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</si>
  <si>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</si>
  <si>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</si>
  <si>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</si>
  <si>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</si>
  <si>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</si>
  <si>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</si>
  <si>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</si>
  <si>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</si>
  <si>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</si>
  <si>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</si>
  <si>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</si>
  <si>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</si>
  <si>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</si>
  <si>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</si>
  <si>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</si>
  <si>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</si>
  <si>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</si>
  <si>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</si>
  <si>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</si>
  <si>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</si>
  <si>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</si>
  <si>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</si>
  <si>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</si>
  <si>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</si>
  <si>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</si>
  <si>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</si>
  <si>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</si>
  <si>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</si>
  <si>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</si>
  <si>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</si>
  <si>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</si>
  <si>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</si>
  <si>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</si>
  <si>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</si>
  <si>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</si>
  <si>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</si>
  <si>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</si>
  <si>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</si>
  <si>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</si>
  <si>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</si>
  <si>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</si>
  <si>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</si>
  <si>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</si>
  <si>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</si>
  <si>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</si>
  <si>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</si>
  <si>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</si>
  <si>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</si>
  <si>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</si>
  <si>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</si>
  <si>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</si>
  <si>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</si>
  <si>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</si>
  <si>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</si>
  <si>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</si>
  <si>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</si>
  <si>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</si>
  <si>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</si>
  <si>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</si>
  <si>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</si>
  <si>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</si>
  <si>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</si>
  <si>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</si>
  <si>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</si>
  <si>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</si>
  <si>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</si>
  <si>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</si>
  <si>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</si>
  <si>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</si>
  <si>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</si>
  <si>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</si>
  <si>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</si>
  <si>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</si>
  <si>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</si>
  <si>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</si>
  <si>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</si>
  <si>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</si>
  <si>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</si>
  <si>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</si>
  <si>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</si>
  <si>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</si>
  <si>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</si>
  <si>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</si>
  <si>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</si>
  <si>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</si>
  <si>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</si>
  <si>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</si>
  <si>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</si>
  <si>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</si>
  <si>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</si>
  <si>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</si>
  <si>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</si>
  <si>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</si>
  <si>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</si>
  <si>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</si>
  <si>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</si>
  <si>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</si>
  <si>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</si>
  <si>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</si>
  <si>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</si>
  <si>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</si>
  <si>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</si>
  <si>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</si>
  <si>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</si>
  <si>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</si>
  <si>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</si>
  <si>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</si>
  <si>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</si>
  <si>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</si>
  <si>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</si>
  <si>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</si>
  <si>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</si>
  <si>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</si>
  <si>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</si>
  <si>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</si>
  <si>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</si>
  <si>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</si>
  <si>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</si>
  <si>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</si>
  <si>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</si>
  <si>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</si>
  <si>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</si>
  <si>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</si>
  <si>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</si>
  <si>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</si>
  <si>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</si>
  <si>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</si>
  <si>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</si>
  <si>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</si>
  <si>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</si>
  <si>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</si>
  <si>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</si>
  <si>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</si>
  <si>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</si>
  <si>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</si>
  <si>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</si>
  <si>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</si>
  <si>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</si>
  <si>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</si>
  <si>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</si>
  <si>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</si>
  <si>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</si>
  <si>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</si>
  <si>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</si>
  <si>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</si>
  <si>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</si>
  <si>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</si>
  <si>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</si>
  <si>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</si>
  <si>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</si>
  <si>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</si>
  <si>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</si>
  <si>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</si>
  <si>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</si>
  <si>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</si>
  <si>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</si>
  <si>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</si>
  <si>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</si>
  <si>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</si>
  <si>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</si>
  <si>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</si>
  <si>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</si>
  <si>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</si>
  <si>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</si>
  <si>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</si>
  <si>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</si>
  <si>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</si>
  <si>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</si>
  <si>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</si>
  <si>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</si>
  <si>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</si>
  <si>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</si>
  <si>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</si>
  <si>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</si>
  <si>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</si>
  <si>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</si>
  <si>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</si>
  <si>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</si>
  <si>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</si>
  <si>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</si>
  <si>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</si>
  <si>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</si>
  <si>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</si>
  <si>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</si>
  <si>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</si>
  <si>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</si>
  <si>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</si>
  <si>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</si>
  <si>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</si>
  <si>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</si>
  <si>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</si>
  <si>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</si>
  <si>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</si>
  <si>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</si>
  <si>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</si>
  <si>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</si>
  <si>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</si>
  <si>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</si>
  <si>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</si>
  <si>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</si>
  <si>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</si>
  <si>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</si>
  <si>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</si>
  <si>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</si>
  <si>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</si>
  <si>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</si>
  <si>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</si>
  <si>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</si>
  <si>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</si>
  <si>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</si>
  <si>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</si>
  <si>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</si>
  <si>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</si>
  <si>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</si>
  <si>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</si>
  <si>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</si>
  <si>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</si>
  <si>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</si>
  <si>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</si>
  <si>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</si>
  <si>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</si>
  <si>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</si>
  <si>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</si>
  <si>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</si>
  <si>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</si>
  <si>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</si>
  <si>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</si>
  <si>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</si>
  <si>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</si>
  <si>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</si>
  <si>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</si>
  <si>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</si>
  <si>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</si>
  <si>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</si>
  <si>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</si>
  <si>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</si>
  <si>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</si>
  <si>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</si>
  <si>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</si>
  <si>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</si>
  <si>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</si>
  <si>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</si>
  <si>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</si>
  <si>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</si>
  <si>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</si>
  <si>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</si>
  <si>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</si>
  <si>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</si>
  <si>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</si>
  <si>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</si>
  <si>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</si>
  <si>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</si>
  <si>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</si>
  <si>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</si>
  <si>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</si>
  <si>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</si>
  <si>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</si>
  <si>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</si>
  <si>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</si>
  <si>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</si>
  <si>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</si>
  <si>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</si>
  <si>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</si>
  <si>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</si>
  <si>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</si>
  <si>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</si>
  <si>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</si>
  <si>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</si>
  <si>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</si>
  <si>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</si>
  <si>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</si>
  <si>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</si>
  <si>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</si>
  <si>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</si>
  <si>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</si>
  <si>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</si>
  <si>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</si>
  <si>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</si>
  <si>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</si>
  <si>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</si>
  <si>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</si>
  <si>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</si>
  <si>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</si>
  <si>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</si>
  <si>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</si>
  <si>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</si>
  <si>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</si>
  <si>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</si>
  <si>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</si>
  <si>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</si>
  <si>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</si>
  <si>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</si>
  <si>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</si>
  <si>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</si>
  <si>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</si>
  <si>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</si>
  <si>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</si>
  <si>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</si>
  <si>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</si>
  <si>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</si>
  <si>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</si>
  <si>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</si>
  <si>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</si>
  <si>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</si>
  <si>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</si>
  <si>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</si>
  <si>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</si>
  <si>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</si>
  <si>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</si>
  <si>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</si>
  <si>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</si>
  <si>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</si>
  <si>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</si>
  <si>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</si>
  <si>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</si>
  <si>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</si>
  <si>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</si>
  <si>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</si>
  <si>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</si>
  <si>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</si>
  <si>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</si>
  <si>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</si>
  <si>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</si>
  <si>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</si>
  <si>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</si>
  <si>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</si>
  <si>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</si>
  <si>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</si>
  <si>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</si>
  <si>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</si>
  <si>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</si>
  <si>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</si>
  <si>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</si>
  <si>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</si>
  <si>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</si>
  <si>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</si>
  <si>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</si>
  <si>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</si>
  <si>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</si>
  <si>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</si>
  <si>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</si>
  <si>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</si>
  <si>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</si>
  <si>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</si>
  <si>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</si>
  <si>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</si>
  <si>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</si>
  <si>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</si>
  <si>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</si>
  <si>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</si>
  <si>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</si>
  <si>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</si>
  <si>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</si>
  <si>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</si>
  <si>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</si>
  <si>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</si>
  <si>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</si>
  <si>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</si>
  <si>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</si>
  <si>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</si>
  <si>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</si>
  <si>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</si>
  <si>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</si>
  <si>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</si>
  <si>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</si>
  <si>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</si>
  <si>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</si>
  <si>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</si>
  <si>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</si>
  <si>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</si>
  <si>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</si>
  <si>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</si>
  <si>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</si>
  <si>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</si>
  <si>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</si>
  <si>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</si>
  <si>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</si>
  <si>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</si>
  <si>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</si>
  <si>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</si>
  <si>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</si>
  <si>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</si>
  <si>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</si>
  <si>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</si>
  <si>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</si>
  <si>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</si>
  <si>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</si>
  <si>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</si>
  <si>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</si>
  <si>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</si>
  <si>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</si>
  <si>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</si>
  <si>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</si>
  <si>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</si>
  <si>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</si>
  <si>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</si>
  <si>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</si>
  <si>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</si>
  <si>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</si>
  <si>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</si>
  <si>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</si>
  <si>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</si>
  <si>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</si>
  <si>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</si>
  <si>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</si>
  <si>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</si>
  <si>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</si>
  <si>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</si>
  <si>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</si>
  <si>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</si>
  <si>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</si>
  <si>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</si>
  <si>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</si>
  <si>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</si>
  <si>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</si>
  <si>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</si>
  <si>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</si>
  <si>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</si>
  <si>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</si>
  <si>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</si>
  <si>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</si>
  <si>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</si>
  <si>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</si>
  <si>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</si>
  <si>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</si>
  <si>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</si>
  <si>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</si>
  <si>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</si>
  <si>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</si>
  <si>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</si>
  <si>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</si>
  <si>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</si>
  <si>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</si>
  <si>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</si>
  <si>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</si>
  <si>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</si>
  <si>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</si>
  <si>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</si>
  <si>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</si>
  <si>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</si>
  <si>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</si>
  <si>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</si>
  <si>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</si>
  <si>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</si>
  <si>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</si>
  <si>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</si>
  <si>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</si>
  <si>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</si>
  <si>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</si>
  <si>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</si>
  <si>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</si>
  <si>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</si>
  <si>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</si>
  <si>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</si>
  <si>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</si>
  <si>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</si>
  <si>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</si>
  <si>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</si>
  <si>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</si>
  <si>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</si>
  <si>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</si>
  <si>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</si>
  <si>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</si>
  <si>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</si>
  <si>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</si>
  <si>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</si>
  <si>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</si>
  <si>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</si>
  <si>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</si>
  <si>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</si>
  <si>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</si>
  <si>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</si>
  <si>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</si>
  <si>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</si>
  <si>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</si>
  <si>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</si>
  <si>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</si>
  <si>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</si>
  <si>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</si>
  <si>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</si>
  <si>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</si>
  <si>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</si>
  <si>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</si>
  <si>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</si>
  <si>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</si>
  <si>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</si>
  <si>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</si>
  <si>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</si>
  <si>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</si>
  <si>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</si>
  <si>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</si>
  <si>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</si>
  <si>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</si>
  <si>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</si>
  <si>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</si>
  <si>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</si>
  <si>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</si>
  <si>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</si>
  <si>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</si>
  <si>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</si>
  <si>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</si>
  <si>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</si>
  <si>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</si>
  <si>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</si>
  <si>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</si>
  <si>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</si>
  <si>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</si>
  <si>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</si>
  <si>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</si>
  <si>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</si>
  <si>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</si>
  <si>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</si>
  <si>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</si>
  <si>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</si>
  <si>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</si>
  <si>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</si>
  <si>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</si>
  <si>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</si>
  <si>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</si>
  <si>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</si>
  <si>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</si>
  <si>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</si>
  <si>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</si>
  <si>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</si>
  <si>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</si>
  <si>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</si>
  <si>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</si>
  <si>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</si>
  <si>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</si>
  <si>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</si>
  <si>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</si>
  <si>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</si>
  <si>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</si>
  <si>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</si>
  <si>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</si>
  <si>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</si>
  <si>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</si>
  <si>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</si>
  <si>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</si>
  <si>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</si>
  <si>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</si>
  <si>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</si>
  <si>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</si>
  <si>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</si>
  <si>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</si>
  <si>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</si>
  <si>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</si>
  <si>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</si>
  <si>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</si>
  <si>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</si>
  <si>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</si>
  <si>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</si>
  <si>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</si>
  <si>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</si>
  <si>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</si>
  <si>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</si>
  <si>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</si>
  <si>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</si>
  <si>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</si>
  <si>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</si>
  <si>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</si>
  <si>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</si>
  <si>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</si>
  <si>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</si>
  <si>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</si>
  <si>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</si>
  <si>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</si>
  <si>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</si>
  <si>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</si>
  <si>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</si>
  <si>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</si>
  <si>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</si>
  <si>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</si>
  <si>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</si>
  <si>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</si>
  <si>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</si>
  <si>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</si>
  <si>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</si>
  <si>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</si>
  <si>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</si>
  <si>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</si>
  <si>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</si>
  <si>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</si>
  <si>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</si>
  <si>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</si>
  <si>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</si>
  <si>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</si>
  <si>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</si>
  <si>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</si>
  <si>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</si>
  <si>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</si>
  <si>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</si>
  <si>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</si>
  <si>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</si>
  <si>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</si>
  <si>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</si>
  <si>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</si>
  <si>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</si>
  <si>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</si>
  <si>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</si>
  <si>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</si>
  <si>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</si>
  <si>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</si>
  <si>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</si>
  <si>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</si>
  <si>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</si>
  <si>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</si>
  <si>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</si>
  <si>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</si>
  <si>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</si>
  <si>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</si>
  <si>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</si>
  <si>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</si>
  <si>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</si>
  <si>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</si>
  <si>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</si>
  <si>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</si>
  <si>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</si>
  <si>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</si>
  <si>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</si>
  <si>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</si>
  <si>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</si>
  <si>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</si>
  <si>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</si>
  <si>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</si>
  <si>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</si>
  <si>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</si>
  <si>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</si>
  <si>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</si>
  <si>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</si>
  <si>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</si>
  <si>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</si>
  <si>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</si>
  <si>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</si>
  <si>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</si>
  <si>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</si>
  <si>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</si>
  <si>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</si>
  <si>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</si>
  <si>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</si>
  <si>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</si>
  <si>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</si>
  <si>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</si>
  <si>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</si>
  <si>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</si>
  <si>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</si>
  <si>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</si>
  <si>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</si>
  <si>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</si>
  <si>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</si>
  <si>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</si>
  <si>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</si>
  <si>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</si>
  <si>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</si>
  <si>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</si>
  <si>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</si>
  <si>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</si>
  <si>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</si>
  <si>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</si>
  <si>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</si>
  <si>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</si>
  <si>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</si>
  <si>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</si>
  <si>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</si>
  <si>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</si>
  <si>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</si>
  <si>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</si>
  <si>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</si>
  <si>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</si>
  <si>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</si>
  <si>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</si>
  <si>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</si>
  <si>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</si>
  <si>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</si>
  <si>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</si>
  <si>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</si>
  <si>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</si>
  <si>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</si>
  <si>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</si>
  <si>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</si>
  <si>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</si>
  <si>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</si>
  <si>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</si>
  <si>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</si>
  <si>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</si>
  <si>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</si>
  <si>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</si>
  <si>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</si>
  <si>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</si>
  <si>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</si>
  <si>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</si>
  <si>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</si>
  <si>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</si>
  <si>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</si>
  <si>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</si>
  <si>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</si>
  <si>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</si>
  <si>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</si>
  <si>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</si>
  <si>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</si>
  <si>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</si>
  <si>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</si>
  <si>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</si>
  <si>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</si>
  <si>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</si>
  <si>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</si>
  <si>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</si>
  <si>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</si>
  <si>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</si>
  <si>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</si>
  <si>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</si>
  <si>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</si>
  <si>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</si>
  <si>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</si>
  <si>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</si>
  <si>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</si>
  <si>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</si>
  <si>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</si>
  <si>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</si>
  <si>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</si>
  <si>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</si>
  <si>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</si>
  <si>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</si>
  <si>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</si>
  <si>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</si>
  <si>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</si>
  <si>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</si>
  <si>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</si>
  <si>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</si>
  <si>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</si>
  <si>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</si>
  <si>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</si>
  <si>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</si>
  <si>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</si>
  <si>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</si>
  <si>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</si>
  <si>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</si>
  <si>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</si>
  <si>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</si>
  <si>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</si>
  <si>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</si>
  <si>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</si>
  <si>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</si>
  <si>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</si>
  <si>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</si>
  <si>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</si>
  <si>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</si>
  <si>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</si>
  <si>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</si>
  <si>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</si>
  <si>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</si>
  <si>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</si>
  <si>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</si>
  <si>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</si>
  <si>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</si>
  <si>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</si>
  <si>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</si>
  <si>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</si>
  <si>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</si>
  <si>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</si>
  <si>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</si>
  <si>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</si>
  <si>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</si>
  <si>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</si>
  <si>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</si>
  <si>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</si>
  <si>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</si>
  <si>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</si>
  <si>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</si>
  <si>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</si>
  <si>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</si>
  <si>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</si>
  <si>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</si>
  <si>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</si>
  <si>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</si>
  <si>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</si>
  <si>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</si>
  <si>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</si>
  <si>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</si>
  <si>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</si>
  <si>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</si>
  <si>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</si>
  <si>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</si>
  <si>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</si>
  <si>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</si>
  <si>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</si>
  <si>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</si>
  <si>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</si>
  <si>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</si>
  <si>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</si>
  <si>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</si>
  <si>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</si>
  <si>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</si>
  <si>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</si>
  <si>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</si>
  <si>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</si>
  <si>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</si>
  <si>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</si>
  <si>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</si>
  <si>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</si>
  <si>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</si>
  <si>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</si>
  <si>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</si>
  <si>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</si>
  <si>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</si>
  <si>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</si>
  <si>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</si>
  <si>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</si>
  <si>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</si>
  <si>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</si>
  <si>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</si>
  <si>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</si>
  <si>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</si>
  <si>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</si>
  <si>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</si>
  <si>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</si>
  <si>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</si>
  <si>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</si>
  <si>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</si>
  <si>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</si>
  <si>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</si>
  <si>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</si>
  <si>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</si>
  <si>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</si>
  <si>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</si>
  <si>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</si>
  <si>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</si>
  <si>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</si>
  <si>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</si>
  <si>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</si>
  <si>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</si>
  <si>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</si>
  <si>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</si>
  <si>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</si>
  <si>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</si>
  <si>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</si>
  <si>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</si>
  <si>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</si>
  <si>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</si>
  <si>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</si>
  <si>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</si>
  <si>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</si>
  <si>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</si>
  <si>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</si>
  <si>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</si>
  <si>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</si>
  <si>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</si>
  <si>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</si>
  <si>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</si>
  <si>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</si>
  <si>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</si>
  <si>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</si>
  <si>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</si>
  <si>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</si>
  <si>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</si>
  <si>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</si>
  <si>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</si>
  <si>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</si>
  <si>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</si>
  <si>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</si>
  <si>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</si>
  <si>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</si>
  <si>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</si>
  <si>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</si>
  <si>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</si>
  <si>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</si>
  <si>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</si>
  <si>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</si>
  <si>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</si>
  <si>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</si>
  <si>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</si>
  <si>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</si>
  <si>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</si>
  <si>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</si>
  <si>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</si>
  <si>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</si>
  <si>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</si>
  <si>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</si>
  <si>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</si>
  <si>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</si>
  <si>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</si>
  <si>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</si>
  <si>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</si>
  <si>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</si>
  <si>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</si>
  <si>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</si>
  <si>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</si>
  <si>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</si>
  <si>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</si>
  <si>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</si>
  <si>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</si>
  <si>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</si>
  <si>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</si>
  <si>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</si>
  <si>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</si>
  <si>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</si>
  <si>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</si>
  <si>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</si>
  <si>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</si>
  <si>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</si>
  <si>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</si>
  <si>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</si>
  <si>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</si>
  <si>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</si>
  <si>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</si>
  <si>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</si>
  <si>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</si>
  <si>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</si>
  <si>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</si>
  <si>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</si>
  <si>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</si>
  <si>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</si>
  <si>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</si>
  <si>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</si>
  <si>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</si>
  <si>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</si>
  <si>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</si>
  <si>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</si>
  <si>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</si>
  <si>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</si>
  <si>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</si>
  <si>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</si>
  <si>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</si>
  <si>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</si>
  <si>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</si>
  <si>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</si>
  <si>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</si>
  <si>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</si>
  <si>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</si>
  <si>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</si>
  <si>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</si>
  <si>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</si>
  <si>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</si>
  <si>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</si>
  <si>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</si>
  <si>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</si>
  <si>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</si>
  <si>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</si>
  <si>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</si>
  <si>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</si>
  <si>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</si>
  <si>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</si>
  <si>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</si>
  <si>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</si>
  <si>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</si>
  <si>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</si>
  <si>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</si>
  <si>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</si>
  <si>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</si>
  <si>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</si>
  <si>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</si>
  <si>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</si>
  <si>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</si>
  <si>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</si>
  <si>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</si>
  <si>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</si>
  <si>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</si>
  <si>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</si>
  <si>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</si>
  <si>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</si>
  <si>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</si>
  <si>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</si>
  <si>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</si>
  <si>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</si>
  <si>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</si>
  <si>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</si>
  <si>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</si>
  <si>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</si>
  <si>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</si>
  <si>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</si>
  <si>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</si>
  <si>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</si>
  <si>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</si>
  <si>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</si>
  <si>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</si>
  <si>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</si>
  <si>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</si>
  <si>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</si>
  <si>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</si>
  <si>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</si>
  <si>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</si>
  <si>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</si>
  <si>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</si>
  <si>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</si>
  <si>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</si>
  <si>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</si>
  <si>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</si>
  <si>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</si>
  <si>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</si>
  <si>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</si>
  <si>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</si>
  <si>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</si>
  <si>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</si>
  <si>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</si>
  <si>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</si>
  <si>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</si>
  <si>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</si>
  <si>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</si>
  <si>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</si>
  <si>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</si>
  <si>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</si>
  <si>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</si>
  <si>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</si>
  <si>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</si>
  <si>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</si>
  <si>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</si>
  <si>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</si>
  <si>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</si>
  <si>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</si>
  <si>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</si>
  <si>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</si>
  <si>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</si>
  <si>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</si>
  <si>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</si>
  <si>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</si>
  <si>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</si>
  <si>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</si>
  <si>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</si>
  <si>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</si>
  <si>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</si>
  <si>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</si>
  <si>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</si>
  <si>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</si>
  <si>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</si>
  <si>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</si>
  <si>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</si>
  <si>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</si>
  <si>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</si>
  <si>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</si>
  <si>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</si>
  <si>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</si>
  <si>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</si>
  <si>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</si>
  <si>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</si>
  <si>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</si>
  <si>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</si>
  <si>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</si>
  <si>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</si>
  <si>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</si>
  <si>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</si>
  <si>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</si>
  <si>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</si>
  <si>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</si>
  <si>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</si>
  <si>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</si>
  <si>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</si>
  <si>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</si>
  <si>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</si>
  <si>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</si>
  <si>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</si>
  <si>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</si>
  <si>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</si>
  <si>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</si>
  <si>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</si>
  <si>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</si>
  <si>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</si>
  <si>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</si>
  <si>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</si>
  <si>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</si>
  <si>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</si>
  <si>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</si>
  <si>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</si>
  <si>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</si>
  <si>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</si>
  <si>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</si>
  <si>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</si>
  <si>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</si>
  <si>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</si>
  <si>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</si>
  <si>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</si>
  <si>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</si>
  <si>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</si>
  <si>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</si>
  <si>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</si>
  <si>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</si>
  <si>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</si>
  <si>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</si>
  <si>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</si>
  <si>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</si>
  <si>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</si>
  <si>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</si>
  <si>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</si>
  <si>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</si>
  <si>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</si>
  <si>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</si>
  <si>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</si>
  <si>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</si>
  <si>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</si>
  <si>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</si>
  <si>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</si>
  <si>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</si>
  <si>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</si>
  <si>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</si>
  <si>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</si>
  <si>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</si>
  <si>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</si>
  <si>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</si>
  <si>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</si>
  <si>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</si>
  <si>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</si>
  <si>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</si>
  <si>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</si>
  <si>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</si>
  <si>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</si>
  <si>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</si>
  <si>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</si>
  <si>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</si>
  <si>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</si>
  <si>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</si>
  <si>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</si>
  <si>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</si>
  <si>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</si>
  <si>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</si>
  <si>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</si>
  <si>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</si>
  <si>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</si>
  <si>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</si>
  <si>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</si>
  <si>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</si>
  <si>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</si>
  <si>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</si>
  <si>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</si>
  <si>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</si>
  <si>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</si>
  <si>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</si>
  <si>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</si>
  <si>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</si>
  <si>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</si>
  <si>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</si>
  <si>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</si>
  <si>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</si>
  <si>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</si>
  <si>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</si>
  <si>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</si>
  <si>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</si>
  <si>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</si>
  <si>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</si>
  <si>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</si>
  <si>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</si>
  <si>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</si>
  <si>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</si>
  <si>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</si>
  <si>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</si>
  <si>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</si>
  <si>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</si>
  <si>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</si>
  <si>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</si>
  <si>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</si>
  <si>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</si>
  <si>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</si>
  <si>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</si>
  <si>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</si>
  <si>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</si>
  <si>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</si>
  <si>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</si>
  <si>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</si>
  <si>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</si>
  <si>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</si>
  <si>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</si>
  <si>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</si>
  <si>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</si>
  <si>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</si>
  <si>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</si>
  <si>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</si>
  <si>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</si>
  <si>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</si>
  <si>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</si>
  <si>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</si>
  <si>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</si>
  <si>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</si>
  <si>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</si>
  <si>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</si>
  <si>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</si>
  <si>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</si>
  <si>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</si>
  <si>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</si>
  <si>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</si>
  <si>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</si>
  <si>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</si>
  <si>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</si>
  <si>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</si>
  <si>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</si>
  <si>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</si>
  <si>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</si>
  <si>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</si>
  <si>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</si>
  <si>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</si>
  <si>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</si>
  <si>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</si>
  <si>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</si>
  <si>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</si>
  <si>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</si>
  <si>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</si>
  <si>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</si>
  <si>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</si>
  <si>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</si>
  <si>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</si>
  <si>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</si>
  <si>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</si>
  <si>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</si>
  <si>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</si>
  <si>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</si>
  <si>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</si>
  <si>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</si>
  <si>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</si>
  <si>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</si>
  <si>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</si>
  <si>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</si>
  <si>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</si>
  <si>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</si>
  <si>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</si>
  <si>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</si>
  <si>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</si>
  <si>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</si>
  <si>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</si>
  <si>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</si>
  <si>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</si>
  <si>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</si>
  <si>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</si>
  <si>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</si>
  <si>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</si>
  <si>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</si>
  <si>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</si>
  <si>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</si>
  <si>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</si>
  <si>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</si>
  <si>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</si>
  <si>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</si>
  <si>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</si>
  <si>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</si>
  <si>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</si>
  <si>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</si>
  <si>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</si>
  <si>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</si>
  <si>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</si>
  <si>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</si>
  <si>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</si>
  <si>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</si>
  <si>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</si>
  <si>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</si>
  <si>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</si>
  <si>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</si>
  <si>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</si>
  <si>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</si>
  <si>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</si>
  <si>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</si>
  <si>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</si>
  <si>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</si>
  <si>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</si>
  <si>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</si>
  <si>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</si>
  <si>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</si>
  <si>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</si>
  <si>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</si>
  <si>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</si>
  <si>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</si>
  <si>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</si>
  <si>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</si>
  <si>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</si>
  <si>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</si>
  <si>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</si>
  <si>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</si>
  <si>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</si>
  <si>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</si>
  <si>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</si>
  <si>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</si>
  <si>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</si>
  <si>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</si>
  <si>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</si>
  <si>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</si>
  <si>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</si>
  <si>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</si>
  <si>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</si>
  <si>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</si>
  <si>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</si>
  <si>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</si>
  <si>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</si>
  <si>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</si>
  <si>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</si>
  <si>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</si>
  <si>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</si>
  <si>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</si>
  <si>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</si>
  <si>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</si>
  <si>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</si>
  <si>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</si>
  <si>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</si>
  <si>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</si>
  <si>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</si>
  <si>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</si>
  <si>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</si>
  <si>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</si>
  <si>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</si>
  <si>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</si>
  <si>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</si>
  <si>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</si>
  <si>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</si>
  <si>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</si>
  <si>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</si>
  <si>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</si>
  <si>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</si>
  <si>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</si>
  <si>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</si>
  <si>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</si>
  <si>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</si>
  <si>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</si>
  <si>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</si>
  <si>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</si>
  <si>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</si>
  <si>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</si>
  <si>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</si>
  <si>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</si>
  <si>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</si>
  <si>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</si>
  <si>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</si>
  <si>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</si>
  <si>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</si>
  <si>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</si>
  <si>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</si>
  <si>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</si>
  <si>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</si>
  <si>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</si>
  <si>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</si>
  <si>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</si>
  <si>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</si>
  <si>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</si>
  <si>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</si>
  <si>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</si>
  <si>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</si>
  <si>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</si>
  <si>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</si>
  <si>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</si>
  <si>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</si>
  <si>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</si>
  <si>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</si>
  <si>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</si>
  <si>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</si>
  <si>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</si>
  <si>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</si>
  <si>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</si>
  <si>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</si>
  <si>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</si>
  <si>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</si>
  <si>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</si>
  <si>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</si>
  <si>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</si>
  <si>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</si>
  <si>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</si>
  <si>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</si>
  <si>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</si>
  <si>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</si>
  <si>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</si>
  <si>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</si>
  <si>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</si>
  <si>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</si>
  <si>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</si>
  <si>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</si>
  <si>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</si>
  <si>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</si>
  <si>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</si>
  <si>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</si>
  <si>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</si>
  <si>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</si>
  <si>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</si>
  <si>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</si>
  <si>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</si>
  <si>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</si>
  <si>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</si>
  <si>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</si>
  <si>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</si>
  <si>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</si>
  <si>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</si>
  <si>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</si>
  <si>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</si>
  <si>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</si>
  <si>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</si>
  <si>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</si>
  <si>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</si>
  <si>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</si>
  <si>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</si>
  <si>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</si>
  <si>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</si>
  <si>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</si>
  <si>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</si>
  <si>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</si>
  <si>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</si>
  <si>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</si>
  <si>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</si>
  <si>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</si>
  <si>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</si>
  <si>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</si>
  <si>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</si>
  <si>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</si>
  <si>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</si>
  <si>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</si>
  <si>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</si>
  <si>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</si>
  <si>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</si>
  <si>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</si>
  <si>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</si>
  <si>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</si>
  <si>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</si>
  <si>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</si>
  <si>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</si>
  <si>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</si>
  <si>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</si>
  <si>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</si>
  <si>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</si>
  <si>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</si>
  <si>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</si>
  <si>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</si>
  <si>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</si>
  <si>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</si>
  <si>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</si>
  <si>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</si>
  <si>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</si>
  <si>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</si>
  <si>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</si>
  <si>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</si>
  <si>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</si>
  <si>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</si>
  <si>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</si>
  <si>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</si>
  <si>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</si>
  <si>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</si>
  <si>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</si>
  <si>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</si>
  <si>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</si>
  <si>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</si>
  <si>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</si>
  <si>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</si>
  <si>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</si>
  <si>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</si>
  <si>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</si>
  <si>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</si>
  <si>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</si>
  <si>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</si>
  <si>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</si>
  <si>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</si>
  <si>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</si>
  <si>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</si>
  <si>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</si>
  <si>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</si>
  <si>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</si>
  <si>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</si>
  <si>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</si>
  <si>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</si>
  <si>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</si>
  <si>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</si>
  <si>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</si>
  <si>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</si>
  <si>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</si>
  <si>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</si>
  <si>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</si>
  <si>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</si>
  <si>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</si>
  <si>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</si>
  <si>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</si>
  <si>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</si>
  <si>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</si>
  <si>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</si>
  <si>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</si>
  <si>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</si>
  <si>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</si>
  <si>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</si>
  <si>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</si>
  <si>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</si>
  <si>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</si>
  <si>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</si>
  <si>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</si>
  <si>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</si>
  <si>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</si>
  <si>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</si>
  <si>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</si>
  <si>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</si>
  <si>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</si>
  <si>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</si>
  <si>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</si>
  <si>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</si>
  <si>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</si>
  <si>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</si>
  <si>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</si>
  <si>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</si>
  <si>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</si>
  <si>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</si>
  <si>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</si>
  <si>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</si>
  <si>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</si>
  <si>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</si>
  <si>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</si>
  <si>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</si>
  <si>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</si>
  <si>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</si>
  <si>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</si>
  <si>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</si>
  <si>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</si>
  <si>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</si>
  <si>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</si>
  <si>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</si>
  <si>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</si>
  <si>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</si>
  <si>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</si>
  <si>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</si>
  <si>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</si>
  <si>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</si>
  <si>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</si>
  <si>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</si>
  <si>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</si>
  <si>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</si>
  <si>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</si>
  <si>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</si>
  <si>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</si>
  <si>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</si>
  <si>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</si>
  <si>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</si>
  <si>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</si>
  <si>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</si>
  <si>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</si>
  <si>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</si>
  <si>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</si>
  <si>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</si>
  <si>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</si>
  <si>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</si>
  <si>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</si>
  <si>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</si>
  <si>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</si>
  <si>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</si>
  <si>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</si>
  <si>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</si>
  <si>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</si>
  <si>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</si>
  <si>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</si>
  <si>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</si>
  <si>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</si>
  <si>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</si>
  <si>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</si>
  <si>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</si>
  <si>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</si>
  <si>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</si>
  <si>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</si>
  <si>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</si>
  <si>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</si>
  <si>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</si>
  <si>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</si>
  <si>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</si>
  <si>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</si>
  <si>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</si>
  <si>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</si>
  <si>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</si>
  <si>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</si>
  <si>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</si>
  <si>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</si>
  <si>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</si>
  <si>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</si>
  <si>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</si>
  <si>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</si>
  <si>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</si>
  <si>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</si>
  <si>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</si>
  <si>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</si>
  <si>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</si>
  <si>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</si>
  <si>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</si>
  <si>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</si>
  <si>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</si>
  <si>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</si>
  <si>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</si>
  <si>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</si>
  <si>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</si>
  <si>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</si>
  <si>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</si>
  <si>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</si>
  <si>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</si>
  <si>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</si>
  <si>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</si>
  <si>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</si>
  <si>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</si>
  <si>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</si>
  <si>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</si>
  <si>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</si>
  <si>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</si>
  <si>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</si>
  <si>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</si>
  <si>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</si>
  <si>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</si>
  <si>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</si>
  <si>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</si>
  <si>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</si>
  <si>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</si>
  <si>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</si>
  <si>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</si>
  <si>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</si>
  <si>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</si>
  <si>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</si>
  <si>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</si>
  <si>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</si>
  <si>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</si>
  <si>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</si>
  <si>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</si>
  <si>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</si>
  <si>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</si>
  <si>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</si>
  <si>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</si>
  <si>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</si>
  <si>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</si>
  <si>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</si>
  <si>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</si>
  <si>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</si>
  <si>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</si>
  <si>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</si>
  <si>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</si>
  <si>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</si>
  <si>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</si>
  <si>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</si>
  <si>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</si>
  <si>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</si>
  <si>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</si>
  <si>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</si>
  <si>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</si>
  <si>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</si>
  <si>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</si>
  <si>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</si>
  <si>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</si>
  <si>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</si>
  <si>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</si>
  <si>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</si>
  <si>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</si>
  <si>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</si>
  <si>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</si>
  <si>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</si>
  <si>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</si>
  <si>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</si>
  <si>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</si>
  <si>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</si>
  <si>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</si>
  <si>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</si>
  <si>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</si>
  <si>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</si>
  <si>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</si>
  <si>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</si>
  <si>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</si>
  <si>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</si>
  <si>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</si>
  <si>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</si>
  <si>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</si>
  <si>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</si>
  <si>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</si>
  <si>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</si>
  <si>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</si>
  <si>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</si>
  <si>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</si>
  <si>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</si>
  <si>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</si>
  <si>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</si>
  <si>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</si>
  <si>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</si>
  <si>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</si>
  <si>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</si>
  <si>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</si>
  <si>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</si>
  <si>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</si>
  <si>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</si>
  <si>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</si>
  <si>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</si>
  <si>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</si>
  <si>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</si>
  <si>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</si>
  <si>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</si>
  <si>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</si>
  <si>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</si>
  <si>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</si>
  <si>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</si>
  <si>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</si>
  <si>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</si>
  <si>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</si>
  <si>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</si>
  <si>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</si>
  <si>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</si>
  <si>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</si>
  <si>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</si>
  <si>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</si>
  <si>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</si>
  <si>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</si>
  <si>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</si>
  <si>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</si>
  <si>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</si>
  <si>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</si>
  <si>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</si>
  <si>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</si>
  <si>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</si>
  <si>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</si>
  <si>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</si>
  <si>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</si>
  <si>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</si>
  <si>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</si>
  <si>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</si>
  <si>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</si>
  <si>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</si>
  <si>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</si>
  <si>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</si>
  <si>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</si>
  <si>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</si>
  <si>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</si>
  <si>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</si>
  <si>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</si>
  <si>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</si>
  <si>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</si>
  <si>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</si>
  <si>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</si>
  <si>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</si>
  <si>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</si>
  <si>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</si>
  <si>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</si>
  <si>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</si>
  <si>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</si>
  <si>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</si>
  <si>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</si>
  <si>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</si>
  <si>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</si>
  <si>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</si>
  <si>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</si>
  <si>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</si>
  <si>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</si>
  <si>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</si>
  <si>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</si>
  <si>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</si>
  <si>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</si>
  <si>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</si>
  <si>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</si>
  <si>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</si>
  <si>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</si>
  <si>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</si>
  <si>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</si>
  <si>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</si>
  <si>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</si>
  <si>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</si>
  <si>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</si>
  <si>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</si>
  <si>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</si>
  <si>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</si>
  <si>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</si>
  <si>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</si>
  <si>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</si>
  <si>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</si>
  <si>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</si>
  <si>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</si>
  <si>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</si>
  <si>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</si>
  <si>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</si>
  <si>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</si>
  <si>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</si>
  <si>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</si>
  <si>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</si>
  <si>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</si>
  <si>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</si>
  <si>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</si>
  <si>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</si>
  <si>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</si>
  <si>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</si>
  <si>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</si>
  <si>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</si>
  <si>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</si>
  <si>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</si>
  <si>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</si>
  <si>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</si>
  <si>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</si>
  <si>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</si>
  <si>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</si>
  <si>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</si>
  <si>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</si>
  <si>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</si>
  <si>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</si>
  <si>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</si>
  <si>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</si>
  <si>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</si>
  <si>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</si>
  <si>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</si>
  <si>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</si>
  <si>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</si>
  <si>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</si>
  <si>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</si>
  <si>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</si>
  <si>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</si>
  <si>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</si>
  <si>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</si>
  <si>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</si>
  <si>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</si>
  <si>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</si>
  <si>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</si>
  <si>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</si>
  <si>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</si>
  <si>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</si>
  <si>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</si>
  <si>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</si>
  <si>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</si>
  <si>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</si>
  <si>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</si>
  <si>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</si>
  <si>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</si>
  <si>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</si>
  <si>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</si>
  <si>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</si>
  <si>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</si>
  <si>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</si>
  <si>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</si>
  <si>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</si>
  <si>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</si>
  <si>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</si>
  <si>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</si>
  <si>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</si>
  <si>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</si>
  <si>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</si>
  <si>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</si>
  <si>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</si>
  <si>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</si>
  <si>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</si>
  <si>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</si>
  <si>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</si>
  <si>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</si>
  <si>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</si>
  <si>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</si>
  <si>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</si>
  <si>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</si>
  <si>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</si>
  <si>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</si>
  <si>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</si>
  <si>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</si>
  <si>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</si>
  <si>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</si>
  <si>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</si>
  <si>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</si>
  <si>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</si>
  <si>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</si>
  <si>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</si>
  <si>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</si>
  <si>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</si>
  <si>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</si>
  <si>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</si>
  <si>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</si>
  <si>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</si>
  <si>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</si>
  <si>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</si>
  <si>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</si>
  <si>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</si>
  <si>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</si>
  <si>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</si>
  <si>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</si>
  <si>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</si>
  <si>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</si>
  <si>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</si>
  <si>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</si>
  <si>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</si>
  <si>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</si>
  <si>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</si>
  <si>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</si>
  <si>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</si>
  <si>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</si>
  <si>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</si>
  <si>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</si>
  <si>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</si>
  <si>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</si>
  <si>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</si>
  <si>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</si>
  <si>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</si>
  <si>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</si>
  <si>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</si>
  <si>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</si>
  <si>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</si>
  <si>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</si>
  <si>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</si>
  <si>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</si>
  <si>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</si>
  <si>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</si>
  <si>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</si>
  <si>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</si>
  <si>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</si>
  <si>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</si>
  <si>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</si>
  <si>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</si>
  <si>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</si>
  <si>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</si>
  <si>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</si>
  <si>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</si>
  <si>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</si>
  <si>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</si>
  <si>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</si>
  <si>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</si>
  <si>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</si>
  <si>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</si>
  <si>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</si>
  <si>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</si>
  <si>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</si>
  <si>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</si>
  <si>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</si>
  <si>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</si>
  <si>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</si>
  <si>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</si>
  <si>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</si>
  <si>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</si>
  <si>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</si>
  <si>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</si>
  <si>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</si>
  <si>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</si>
  <si>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</si>
  <si>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</si>
  <si>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</si>
  <si>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</si>
  <si>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</si>
  <si>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</si>
  <si>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房地产抵押价值</t>
  </si>
  <si>
    <t>北京市</t>
  </si>
  <si>
    <t>企业</t>
  </si>
  <si>
    <t>是</t>
  </si>
  <si>
    <t>工业项目</t>
  </si>
  <si>
    <t>无</t>
  </si>
  <si>
    <t>否</t>
  </si>
  <si>
    <t>现房</t>
  </si>
  <si>
    <t>地上</t>
  </si>
  <si>
    <t>地下</t>
  </si>
  <si>
    <t>工业</t>
    <phoneticPr fontId="8" type="noConversion"/>
  </si>
  <si>
    <t>成新度</t>
  </si>
  <si>
    <t>台湖镇</t>
    <phoneticPr fontId="4" type="noConversion"/>
  </si>
  <si>
    <t>收益法</t>
  </si>
  <si>
    <t>押一</t>
  </si>
  <si>
    <t>钢混</t>
  </si>
  <si>
    <t>非生产用房</t>
  </si>
  <si>
    <t>单套模式</t>
  </si>
  <si>
    <t>售价</t>
  </si>
  <si>
    <t>国际企业大道</t>
    <phoneticPr fontId="4" type="noConversion"/>
  </si>
  <si>
    <t>正常</t>
  </si>
  <si>
    <t>工业</t>
    <phoneticPr fontId="32" type="noConversion"/>
  </si>
  <si>
    <r>
      <t>50</t>
    </r>
    <r>
      <rPr>
        <sz val="11"/>
        <rFont val="宋体"/>
        <family val="3"/>
        <charset val="134"/>
      </rPr>
      <t>（含）</t>
    </r>
    <r>
      <rPr>
        <sz val="11"/>
        <rFont val="Arial"/>
        <family val="2"/>
      </rPr>
      <t>-40</t>
    </r>
    <phoneticPr fontId="32" type="noConversion"/>
  </si>
  <si>
    <r>
      <t>40</t>
    </r>
    <r>
      <rPr>
        <sz val="11"/>
        <rFont val="宋体"/>
        <family val="3"/>
        <charset val="134"/>
      </rPr>
      <t>（含）</t>
    </r>
    <r>
      <rPr>
        <sz val="11"/>
        <rFont val="Arial"/>
        <family val="2"/>
      </rPr>
      <t>-30</t>
    </r>
    <phoneticPr fontId="32" type="noConversion"/>
  </si>
  <si>
    <r>
      <t>30</t>
    </r>
    <r>
      <rPr>
        <sz val="11"/>
        <rFont val="宋体"/>
        <family val="3"/>
        <charset val="134"/>
      </rPr>
      <t>（含）</t>
    </r>
    <r>
      <rPr>
        <sz val="11"/>
        <rFont val="Arial"/>
        <family val="2"/>
      </rPr>
      <t>-20</t>
    </r>
    <phoneticPr fontId="32" type="noConversion"/>
  </si>
  <si>
    <r>
      <t>20</t>
    </r>
    <r>
      <rPr>
        <sz val="11"/>
        <rFont val="宋体"/>
        <family val="3"/>
        <charset val="134"/>
      </rPr>
      <t>（含）</t>
    </r>
    <r>
      <rPr>
        <sz val="11"/>
        <rFont val="Arial"/>
        <family val="2"/>
      </rPr>
      <t>-10</t>
    </r>
    <phoneticPr fontId="32" type="noConversion"/>
  </si>
  <si>
    <r>
      <t>10</t>
    </r>
    <r>
      <rPr>
        <sz val="11"/>
        <rFont val="宋体"/>
        <family val="3"/>
        <charset val="134"/>
      </rPr>
      <t>（含）以下</t>
    </r>
    <phoneticPr fontId="32" type="noConversion"/>
  </si>
  <si>
    <t>报价</t>
  </si>
  <si>
    <t>报价</t>
    <phoneticPr fontId="32" type="noConversion"/>
  </si>
  <si>
    <t>工业立项办公</t>
  </si>
  <si>
    <t>工业立项办公</t>
    <phoneticPr fontId="32" type="noConversion"/>
  </si>
  <si>
    <t>钢混</t>
    <phoneticPr fontId="32" type="noConversion"/>
  </si>
  <si>
    <t>精装修</t>
  </si>
  <si>
    <t>精装修</t>
    <phoneticPr fontId="32" type="noConversion"/>
  </si>
  <si>
    <t>专业</t>
  </si>
  <si>
    <t>专业</t>
    <phoneticPr fontId="32" type="noConversion"/>
  </si>
  <si>
    <t>七通</t>
  </si>
  <si>
    <t>七通</t>
    <phoneticPr fontId="32" type="noConversion"/>
  </si>
  <si>
    <t>六通</t>
    <phoneticPr fontId="32" type="noConversion"/>
  </si>
  <si>
    <t>五通</t>
  </si>
  <si>
    <t>五通</t>
    <phoneticPr fontId="32" type="noConversion"/>
  </si>
  <si>
    <t>普通装修</t>
    <phoneticPr fontId="32" type="noConversion"/>
  </si>
  <si>
    <t>简单装修</t>
    <phoneticPr fontId="32" type="noConversion"/>
  </si>
  <si>
    <t>毛坯</t>
    <phoneticPr fontId="32" type="noConversion"/>
  </si>
  <si>
    <t>较好</t>
  </si>
  <si>
    <t>比较法-工业</t>
  </si>
  <si>
    <t>纯地上</t>
    <phoneticPr fontId="135" type="noConversion"/>
  </si>
  <si>
    <t>同项目租金1.6-2块，开发商直售新房单价15000-17000，小业主二手房10000左右</t>
    <phoneticPr fontId="4" type="noConversion"/>
  </si>
  <si>
    <r>
      <rPr>
        <sz val="10"/>
        <color indexed="8"/>
        <rFont val="宋体"/>
        <family val="3"/>
        <charset val="134"/>
      </rPr>
      <t>周边类似项目租金</t>
    </r>
    <r>
      <rPr>
        <sz val="10"/>
        <color indexed="8"/>
        <rFont val="Arial"/>
        <family val="2"/>
      </rPr>
      <t>1.5-2.3</t>
    </r>
    <r>
      <rPr>
        <sz val="10"/>
        <color indexed="8"/>
        <rFont val="宋体"/>
        <family val="3"/>
        <charset val="134"/>
      </rPr>
      <t>块，在售项目较少</t>
    </r>
    <phoneticPr fontId="4" type="noConversion"/>
  </si>
  <si>
    <t>Ⅵ-光机电</t>
  </si>
  <si>
    <t>自定义容积率</t>
  </si>
  <si>
    <t>不临65条商业街</t>
  </si>
  <si>
    <t>与级别开发程度不一致</t>
  </si>
  <si>
    <t>通电</t>
  </si>
  <si>
    <t>通路</t>
  </si>
  <si>
    <t>通讯</t>
  </si>
  <si>
    <t>通上水</t>
  </si>
  <si>
    <t>通下水</t>
  </si>
  <si>
    <t>平整</t>
  </si>
  <si>
    <t>较差</t>
  </si>
  <si>
    <t>按公示增长率计算</t>
  </si>
  <si>
    <t>中心城区</t>
  </si>
  <si>
    <t>未包含在土地购买价格中</t>
  </si>
  <si>
    <t>全部缴纳</t>
  </si>
  <si>
    <t>已包含在土地取得成本中</t>
  </si>
  <si>
    <t>项目名称</t>
    <phoneticPr fontId="135" type="noConversion"/>
  </si>
  <si>
    <t>北京经开国际企业大道</t>
    <phoneticPr fontId="135" type="noConversion"/>
  </si>
  <si>
    <t>建筑面积</t>
    <phoneticPr fontId="135" type="noConversion"/>
  </si>
  <si>
    <t>售价</t>
    <phoneticPr fontId="135" type="noConversion"/>
  </si>
  <si>
    <t>其他</t>
    <phoneticPr fontId="135" type="noConversion"/>
  </si>
  <si>
    <t>北京壹号总部</t>
    <phoneticPr fontId="135" type="noConversion"/>
  </si>
  <si>
    <t>整栋，二手房，小业主售卖，有地下，带装修，首层5米以下，其余楼层标准层高</t>
    <phoneticPr fontId="135" type="noConversion"/>
  </si>
  <si>
    <t>嘉捷科技园</t>
    <phoneticPr fontId="135" type="noConversion"/>
  </si>
  <si>
    <t>整栋，二手房，小业主售卖，无地下，带装修，首层5米以下，其余楼层标准层高</t>
    <phoneticPr fontId="135" type="noConversion"/>
  </si>
  <si>
    <t>如产权交易，需缴税达到规定额度和经营范围符合园区要求，否则只能股权交易</t>
    <phoneticPr fontId="135" type="noConversion"/>
  </si>
  <si>
    <t>汇龙森科技园</t>
    <phoneticPr fontId="135" type="noConversion"/>
  </si>
  <si>
    <t>整栋，二手房，小业主售卖，地下1层603平，带装修，首层5米以下，其余楼层标准层高</t>
    <phoneticPr fontId="135" type="noConversion"/>
  </si>
  <si>
    <t>整栋，二手房，小业主售卖，地下1层333平，带装修，首层5米以下，其余楼层标准层高</t>
    <phoneticPr fontId="135" type="noConversion"/>
  </si>
  <si>
    <t>是否有地下</t>
    <phoneticPr fontId="32" type="noConversion"/>
  </si>
  <si>
    <t>有</t>
    <phoneticPr fontId="32" type="noConversion"/>
  </si>
  <si>
    <t>日租金</t>
    <phoneticPr fontId="135" type="noConversion"/>
  </si>
  <si>
    <t>1.6-2块</t>
    <phoneticPr fontId="135" type="noConversion"/>
  </si>
  <si>
    <t>1.6-2.3块</t>
    <phoneticPr fontId="135" type="noConversion"/>
  </si>
  <si>
    <r>
      <t>2</t>
    </r>
    <r>
      <rPr>
        <sz val="11"/>
        <color theme="1"/>
        <rFont val="宋体"/>
        <family val="3"/>
        <charset val="134"/>
        <scheme val="minor"/>
      </rPr>
      <t>.3-2.8块</t>
    </r>
    <phoneticPr fontId="135" type="noConversion"/>
  </si>
  <si>
    <r>
      <t>1.7-2.5块</t>
    </r>
    <r>
      <rPr>
        <sz val="11"/>
        <color theme="1"/>
        <rFont val="宋体"/>
        <family val="2"/>
        <charset val="134"/>
        <scheme val="minor"/>
      </rPr>
      <t/>
    </r>
    <phoneticPr fontId="135" type="noConversion"/>
  </si>
  <si>
    <t>锋创科技园</t>
    <phoneticPr fontId="135" type="noConversion"/>
  </si>
  <si>
    <t>2-3块</t>
    <phoneticPr fontId="135" type="noConversion"/>
  </si>
  <si>
    <t>北京壹号总部</t>
    <phoneticPr fontId="4" type="noConversion"/>
  </si>
  <si>
    <t>无</t>
    <phoneticPr fontId="32" type="noConversion"/>
  </si>
  <si>
    <t>汇龙森科技园</t>
    <phoneticPr fontId="4" type="noConversion"/>
  </si>
  <si>
    <t>锋创科技园</t>
    <phoneticPr fontId="4" type="noConversion"/>
  </si>
  <si>
    <t>2013-2016</t>
    <phoneticPr fontId="32" type="noConversion"/>
  </si>
  <si>
    <r>
      <rPr>
        <sz val="10"/>
        <color theme="9" tint="-0.249977111117893"/>
        <rFont val="宋体"/>
        <family val="3"/>
        <charset val="134"/>
      </rPr>
      <t>通州区经海五路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46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5-101</t>
    </r>
    <r>
      <rPr>
        <sz val="10"/>
        <color theme="9" tint="-0.249977111117893"/>
        <rFont val="宋体"/>
        <family val="3"/>
        <charset val="134"/>
      </rPr>
      <t>工业用房</t>
    </r>
    <phoneticPr fontId="7" type="noConversion"/>
  </si>
  <si>
    <t>楼面单价</t>
  </si>
  <si>
    <t>成本比率</t>
  </si>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</sst>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29"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0" fontId="45" fillId="0" borderId="37" xfId="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9" fontId="48" fillId="0" borderId="1" xfId="17" applyFont="1" applyBorder="1" applyAlignment="1" applyProtection="1">
      <alignment vertical="center" wrapText="1"/>
      <protection locked="0"/>
    </xf>
    <xf numFmtId="0" fontId="78" fillId="12" borderId="0" xfId="0" applyFont="1" applyFill="1" applyProtection="1">
      <alignment vertical="center"/>
      <protection locked="0"/>
    </xf>
    <xf numFmtId="0" fontId="272" fillId="0" borderId="0" xfId="0" applyFont="1" applyAlignment="1">
      <alignment horizontal="left" vertical="center"/>
    </xf>
    <xf numFmtId="1" fontId="0" fillId="0" borderId="0" xfId="0" applyNumberFormat="1" applyAlignment="1">
      <alignment horizontal="left" vertical="center"/>
    </xf>
    <xf numFmtId="9" fontId="129" fillId="0" borderId="37" xfId="0" applyNumberFormat="1" applyFont="1" applyBorder="1" applyAlignment="1" applyProtection="1">
      <alignment horizontal="center" vertical="center" wrapText="1"/>
      <protection locked="0"/>
    </xf>
    <xf numFmtId="9" fontId="95" fillId="0" borderId="37" xfId="0" applyNumberFormat="1" applyFont="1" applyBorder="1" applyAlignment="1" applyProtection="1">
      <alignment horizontal="center" vertical="center" wrapText="1"/>
      <protection locked="0"/>
    </xf>
    <xf numFmtId="9" fontId="129" fillId="0" borderId="44"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 Type="http://schemas.openxmlformats.org/officeDocument/2006/relationships/image" Target="../media/image14.png"/><Relationship Id="rId16" Type="http://schemas.openxmlformats.org/officeDocument/2006/relationships/image" Target="../media/image28.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76200</xdr:colOff>
      <xdr:row>47</xdr:row>
      <xdr:rowOff>144386</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514350"/>
          <a:ext cx="5819775" cy="5459336"/>
        </a:xfrm>
        <a:prstGeom prst="rect">
          <a:avLst/>
        </a:prstGeom>
      </xdr:spPr>
    </xdr:pic>
    <xdr:clientData/>
  </xdr:twoCellAnchor>
  <xdr:twoCellAnchor editAs="oneCell">
    <xdr:from>
      <xdr:col>0</xdr:col>
      <xdr:colOff>1</xdr:colOff>
      <xdr:row>49</xdr:row>
      <xdr:rowOff>0</xdr:rowOff>
    </xdr:from>
    <xdr:to>
      <xdr:col>5</xdr:col>
      <xdr:colOff>297400</xdr:colOff>
      <xdr:row>74</xdr:row>
      <xdr:rowOff>19050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1" y="6172200"/>
          <a:ext cx="5355174" cy="4305300"/>
        </a:xfrm>
        <a:prstGeom prst="rect">
          <a:avLst/>
        </a:prstGeom>
      </xdr:spPr>
    </xdr:pic>
    <xdr:clientData/>
  </xdr:twoCellAnchor>
  <xdr:twoCellAnchor editAs="oneCell">
    <xdr:from>
      <xdr:col>5</xdr:col>
      <xdr:colOff>482990</xdr:colOff>
      <xdr:row>49</xdr:row>
      <xdr:rowOff>123825</xdr:rowOff>
    </xdr:from>
    <xdr:to>
      <xdr:col>12</xdr:col>
      <xdr:colOff>675509</xdr:colOff>
      <xdr:row>67</xdr:row>
      <xdr:rowOff>66211</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5540765" y="8524875"/>
          <a:ext cx="4993119" cy="3028486"/>
        </a:xfrm>
        <a:prstGeom prst="rect">
          <a:avLst/>
        </a:prstGeom>
      </xdr:spPr>
    </xdr:pic>
    <xdr:clientData/>
  </xdr:twoCellAnchor>
  <xdr:twoCellAnchor editAs="oneCell">
    <xdr:from>
      <xdr:col>0</xdr:col>
      <xdr:colOff>0</xdr:colOff>
      <xdr:row>75</xdr:row>
      <xdr:rowOff>1</xdr:rowOff>
    </xdr:from>
    <xdr:to>
      <xdr:col>5</xdr:col>
      <xdr:colOff>138043</xdr:colOff>
      <xdr:row>103</xdr:row>
      <xdr:rowOff>19051</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10629901"/>
          <a:ext cx="5195818" cy="4819650"/>
        </a:xfrm>
        <a:prstGeom prst="rect">
          <a:avLst/>
        </a:prstGeom>
      </xdr:spPr>
    </xdr:pic>
    <xdr:clientData/>
  </xdr:twoCellAnchor>
  <xdr:twoCellAnchor editAs="oneCell">
    <xdr:from>
      <xdr:col>5</xdr:col>
      <xdr:colOff>371476</xdr:colOff>
      <xdr:row>75</xdr:row>
      <xdr:rowOff>114300</xdr:rowOff>
    </xdr:from>
    <xdr:to>
      <xdr:col>13</xdr:col>
      <xdr:colOff>348840</xdr:colOff>
      <xdr:row>99</xdr:row>
      <xdr:rowOff>95250</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5429251" y="12973050"/>
          <a:ext cx="5463764" cy="4095750"/>
        </a:xfrm>
        <a:prstGeom prst="rect">
          <a:avLst/>
        </a:prstGeom>
      </xdr:spPr>
    </xdr:pic>
    <xdr:clientData/>
  </xdr:twoCellAnchor>
  <xdr:twoCellAnchor editAs="oneCell">
    <xdr:from>
      <xdr:col>0</xdr:col>
      <xdr:colOff>1</xdr:colOff>
      <xdr:row>104</xdr:row>
      <xdr:rowOff>0</xdr:rowOff>
    </xdr:from>
    <xdr:to>
      <xdr:col>4</xdr:col>
      <xdr:colOff>527060</xdr:colOff>
      <xdr:row>118</xdr:row>
      <xdr:rowOff>38100</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1" y="15601950"/>
          <a:ext cx="4899034" cy="2438400"/>
        </a:xfrm>
        <a:prstGeom prst="rect">
          <a:avLst/>
        </a:prstGeom>
      </xdr:spPr>
    </xdr:pic>
    <xdr:clientData/>
  </xdr:twoCellAnchor>
  <xdr:twoCellAnchor editAs="oneCell">
    <xdr:from>
      <xdr:col>0</xdr:col>
      <xdr:colOff>95250</xdr:colOff>
      <xdr:row>119</xdr:row>
      <xdr:rowOff>76200</xdr:rowOff>
    </xdr:from>
    <xdr:to>
      <xdr:col>4</xdr:col>
      <xdr:colOff>323850</xdr:colOff>
      <xdr:row>137</xdr:row>
      <xdr:rowOff>74081</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95250" y="18249900"/>
          <a:ext cx="4600575" cy="3083981"/>
        </a:xfrm>
        <a:prstGeom prst="rect">
          <a:avLst/>
        </a:prstGeom>
      </xdr:spPr>
    </xdr:pic>
    <xdr:clientData/>
  </xdr:twoCellAnchor>
  <xdr:twoCellAnchor editAs="oneCell">
    <xdr:from>
      <xdr:col>5</xdr:col>
      <xdr:colOff>104775</xdr:colOff>
      <xdr:row>105</xdr:row>
      <xdr:rowOff>66675</xdr:rowOff>
    </xdr:from>
    <xdr:to>
      <xdr:col>12</xdr:col>
      <xdr:colOff>388620</xdr:colOff>
      <xdr:row>132</xdr:row>
      <xdr:rowOff>133350</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5162550" y="18068925"/>
          <a:ext cx="5084445" cy="4695825"/>
        </a:xfrm>
        <a:prstGeom prst="rect">
          <a:avLst/>
        </a:prstGeom>
      </xdr:spPr>
    </xdr:pic>
    <xdr:clientData/>
  </xdr:twoCellAnchor>
  <xdr:twoCellAnchor editAs="oneCell">
    <xdr:from>
      <xdr:col>0</xdr:col>
      <xdr:colOff>0</xdr:colOff>
      <xdr:row>138</xdr:row>
      <xdr:rowOff>0</xdr:rowOff>
    </xdr:from>
    <xdr:to>
      <xdr:col>4</xdr:col>
      <xdr:colOff>412310</xdr:colOff>
      <xdr:row>164</xdr:row>
      <xdr:rowOff>57150</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0" y="21431250"/>
          <a:ext cx="4784285" cy="4514850"/>
        </a:xfrm>
        <a:prstGeom prst="rect">
          <a:avLst/>
        </a:prstGeom>
      </xdr:spPr>
    </xdr:pic>
    <xdr:clientData/>
  </xdr:twoCellAnchor>
  <xdr:twoCellAnchor editAs="oneCell">
    <xdr:from>
      <xdr:col>4</xdr:col>
      <xdr:colOff>619125</xdr:colOff>
      <xdr:row>140</xdr:row>
      <xdr:rowOff>0</xdr:rowOff>
    </xdr:from>
    <xdr:to>
      <xdr:col>11</xdr:col>
      <xdr:colOff>146762</xdr:colOff>
      <xdr:row>159</xdr:row>
      <xdr:rowOff>28575</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4991100" y="24003000"/>
          <a:ext cx="4328237" cy="3286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465981</xdr:colOff>
      <xdr:row>33</xdr:row>
      <xdr:rowOff>142150</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5952381" cy="5800000"/>
        </a:xfrm>
        <a:prstGeom prst="rect">
          <a:avLst/>
        </a:prstGeom>
      </xdr:spPr>
    </xdr:pic>
    <xdr:clientData/>
  </xdr:twoCellAnchor>
  <xdr:twoCellAnchor editAs="oneCell">
    <xdr:from>
      <xdr:col>0</xdr:col>
      <xdr:colOff>0</xdr:colOff>
      <xdr:row>34</xdr:row>
      <xdr:rowOff>0</xdr:rowOff>
    </xdr:from>
    <xdr:to>
      <xdr:col>8</xdr:col>
      <xdr:colOff>637410</xdr:colOff>
      <xdr:row>67</xdr:row>
      <xdr:rowOff>132627</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5829300"/>
          <a:ext cx="6123810" cy="5790477"/>
        </a:xfrm>
        <a:prstGeom prst="rect">
          <a:avLst/>
        </a:prstGeom>
      </xdr:spPr>
    </xdr:pic>
    <xdr:clientData/>
  </xdr:twoCellAnchor>
  <xdr:twoCellAnchor editAs="oneCell">
    <xdr:from>
      <xdr:col>0</xdr:col>
      <xdr:colOff>0</xdr:colOff>
      <xdr:row>68</xdr:row>
      <xdr:rowOff>0</xdr:rowOff>
    </xdr:from>
    <xdr:to>
      <xdr:col>9</xdr:col>
      <xdr:colOff>18277</xdr:colOff>
      <xdr:row>101</xdr:row>
      <xdr:rowOff>75484</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11658600"/>
          <a:ext cx="6190477" cy="5733334"/>
        </a:xfrm>
        <a:prstGeom prst="rect">
          <a:avLst/>
        </a:prstGeom>
      </xdr:spPr>
    </xdr:pic>
    <xdr:clientData/>
  </xdr:twoCellAnchor>
  <xdr:twoCellAnchor editAs="oneCell">
    <xdr:from>
      <xdr:col>0</xdr:col>
      <xdr:colOff>0</xdr:colOff>
      <xdr:row>103</xdr:row>
      <xdr:rowOff>0</xdr:rowOff>
    </xdr:from>
    <xdr:to>
      <xdr:col>8</xdr:col>
      <xdr:colOff>608839</xdr:colOff>
      <xdr:row>137</xdr:row>
      <xdr:rowOff>18319</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7659350"/>
          <a:ext cx="6095239" cy="5847619"/>
        </a:xfrm>
        <a:prstGeom prst="rect">
          <a:avLst/>
        </a:prstGeom>
      </xdr:spPr>
    </xdr:pic>
    <xdr:clientData/>
  </xdr:twoCellAnchor>
  <xdr:twoCellAnchor editAs="oneCell">
    <xdr:from>
      <xdr:col>0</xdr:col>
      <xdr:colOff>0</xdr:colOff>
      <xdr:row>138</xdr:row>
      <xdr:rowOff>0</xdr:rowOff>
    </xdr:from>
    <xdr:to>
      <xdr:col>8</xdr:col>
      <xdr:colOff>646934</xdr:colOff>
      <xdr:row>165</xdr:row>
      <xdr:rowOff>170850</xdr:rowOff>
    </xdr:to>
    <xdr:pic>
      <xdr:nvPicPr>
        <xdr:cNvPr id="6" name="图片 5">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23660100"/>
          <a:ext cx="6133334" cy="4800000"/>
        </a:xfrm>
        <a:prstGeom prst="rect">
          <a:avLst/>
        </a:prstGeom>
      </xdr:spPr>
    </xdr:pic>
    <xdr:clientData/>
  </xdr:twoCellAnchor>
  <xdr:twoCellAnchor editAs="oneCell">
    <xdr:from>
      <xdr:col>0</xdr:col>
      <xdr:colOff>0</xdr:colOff>
      <xdr:row>166</xdr:row>
      <xdr:rowOff>0</xdr:rowOff>
    </xdr:from>
    <xdr:to>
      <xdr:col>8</xdr:col>
      <xdr:colOff>351696</xdr:colOff>
      <xdr:row>199</xdr:row>
      <xdr:rowOff>151674</xdr:rowOff>
    </xdr:to>
    <xdr:pic>
      <xdr:nvPicPr>
        <xdr:cNvPr id="7" name="图片 6">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0" y="28460700"/>
          <a:ext cx="5838096" cy="5809524"/>
        </a:xfrm>
        <a:prstGeom prst="rect">
          <a:avLst/>
        </a:prstGeom>
      </xdr:spPr>
    </xdr:pic>
    <xdr:clientData/>
  </xdr:twoCellAnchor>
  <xdr:twoCellAnchor editAs="oneCell">
    <xdr:from>
      <xdr:col>8</xdr:col>
      <xdr:colOff>409575</xdr:colOff>
      <xdr:row>202</xdr:row>
      <xdr:rowOff>19050</xdr:rowOff>
    </xdr:from>
    <xdr:to>
      <xdr:col>18</xdr:col>
      <xdr:colOff>484629</xdr:colOff>
      <xdr:row>219</xdr:row>
      <xdr:rowOff>56167</xdr:rowOff>
    </xdr:to>
    <xdr:pic>
      <xdr:nvPicPr>
        <xdr:cNvPr id="10" name="图片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7"/>
        <a:stretch>
          <a:fillRect/>
        </a:stretch>
      </xdr:blipFill>
      <xdr:spPr>
        <a:xfrm>
          <a:off x="5895975" y="40481250"/>
          <a:ext cx="6933054" cy="2951767"/>
        </a:xfrm>
        <a:prstGeom prst="rect">
          <a:avLst/>
        </a:prstGeom>
      </xdr:spPr>
    </xdr:pic>
    <xdr:clientData/>
  </xdr:twoCellAnchor>
  <xdr:twoCellAnchor editAs="oneCell">
    <xdr:from>
      <xdr:col>0</xdr:col>
      <xdr:colOff>0</xdr:colOff>
      <xdr:row>202</xdr:row>
      <xdr:rowOff>0</xdr:rowOff>
    </xdr:from>
    <xdr:to>
      <xdr:col>8</xdr:col>
      <xdr:colOff>418362</xdr:colOff>
      <xdr:row>235</xdr:row>
      <xdr:rowOff>123103</xdr:rowOff>
    </xdr:to>
    <xdr:pic>
      <xdr:nvPicPr>
        <xdr:cNvPr id="11" name="图片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8"/>
        <a:stretch>
          <a:fillRect/>
        </a:stretch>
      </xdr:blipFill>
      <xdr:spPr>
        <a:xfrm>
          <a:off x="0" y="40462200"/>
          <a:ext cx="5904762" cy="5780953"/>
        </a:xfrm>
        <a:prstGeom prst="rect">
          <a:avLst/>
        </a:prstGeom>
      </xdr:spPr>
    </xdr:pic>
    <xdr:clientData/>
  </xdr:twoCellAnchor>
  <xdr:twoCellAnchor editAs="oneCell">
    <xdr:from>
      <xdr:col>0</xdr:col>
      <xdr:colOff>0</xdr:colOff>
      <xdr:row>239</xdr:row>
      <xdr:rowOff>0</xdr:rowOff>
    </xdr:from>
    <xdr:to>
      <xdr:col>12</xdr:col>
      <xdr:colOff>283346</xdr:colOff>
      <xdr:row>260</xdr:row>
      <xdr:rowOff>104775</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9"/>
        <a:stretch>
          <a:fillRect/>
        </a:stretch>
      </xdr:blipFill>
      <xdr:spPr>
        <a:xfrm>
          <a:off x="0" y="46805850"/>
          <a:ext cx="8512946" cy="3705225"/>
        </a:xfrm>
        <a:prstGeom prst="rect">
          <a:avLst/>
        </a:prstGeom>
      </xdr:spPr>
    </xdr:pic>
    <xdr:clientData/>
  </xdr:twoCellAnchor>
  <xdr:twoCellAnchor editAs="oneCell">
    <xdr:from>
      <xdr:col>0</xdr:col>
      <xdr:colOff>0</xdr:colOff>
      <xdr:row>279</xdr:row>
      <xdr:rowOff>19051</xdr:rowOff>
    </xdr:from>
    <xdr:to>
      <xdr:col>11</xdr:col>
      <xdr:colOff>523411</xdr:colOff>
      <xdr:row>299</xdr:row>
      <xdr:rowOff>95251</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10"/>
        <a:stretch>
          <a:fillRect/>
        </a:stretch>
      </xdr:blipFill>
      <xdr:spPr>
        <a:xfrm>
          <a:off x="0" y="47853601"/>
          <a:ext cx="8067211" cy="3505200"/>
        </a:xfrm>
        <a:prstGeom prst="rect">
          <a:avLst/>
        </a:prstGeom>
      </xdr:spPr>
    </xdr:pic>
    <xdr:clientData/>
  </xdr:twoCellAnchor>
  <xdr:twoCellAnchor editAs="oneCell">
    <xdr:from>
      <xdr:col>0</xdr:col>
      <xdr:colOff>1</xdr:colOff>
      <xdr:row>261</xdr:row>
      <xdr:rowOff>0</xdr:rowOff>
    </xdr:from>
    <xdr:to>
      <xdr:col>7</xdr:col>
      <xdr:colOff>304801</xdr:colOff>
      <xdr:row>277</xdr:row>
      <xdr:rowOff>120805</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11"/>
        <a:stretch>
          <a:fillRect/>
        </a:stretch>
      </xdr:blipFill>
      <xdr:spPr>
        <a:xfrm>
          <a:off x="1" y="44748450"/>
          <a:ext cx="5105400" cy="2864005"/>
        </a:xfrm>
        <a:prstGeom prst="rect">
          <a:avLst/>
        </a:prstGeom>
      </xdr:spPr>
    </xdr:pic>
    <xdr:clientData/>
  </xdr:twoCellAnchor>
  <xdr:twoCellAnchor editAs="oneCell">
    <xdr:from>
      <xdr:col>0</xdr:col>
      <xdr:colOff>0</xdr:colOff>
      <xdr:row>302</xdr:row>
      <xdr:rowOff>0</xdr:rowOff>
    </xdr:from>
    <xdr:to>
      <xdr:col>12</xdr:col>
      <xdr:colOff>52744</xdr:colOff>
      <xdr:row>323</xdr:row>
      <xdr:rowOff>123825</xdr:rowOff>
    </xdr:to>
    <xdr:pic>
      <xdr:nvPicPr>
        <xdr:cNvPr id="15" name="图片 14">
          <a:extLst>
            <a:ext uri="{FF2B5EF4-FFF2-40B4-BE49-F238E27FC236}">
              <a16:creationId xmlns:a16="http://schemas.microsoft.com/office/drawing/2014/main" id="{00000000-0008-0000-2E00-00000F000000}"/>
            </a:ext>
          </a:extLst>
        </xdr:cNvPr>
        <xdr:cNvPicPr>
          <a:picLocks noChangeAspect="1"/>
        </xdr:cNvPicPr>
      </xdr:nvPicPr>
      <xdr:blipFill>
        <a:blip xmlns:r="http://schemas.openxmlformats.org/officeDocument/2006/relationships" r:embed="rId12"/>
        <a:stretch>
          <a:fillRect/>
        </a:stretch>
      </xdr:blipFill>
      <xdr:spPr>
        <a:xfrm>
          <a:off x="0" y="51777900"/>
          <a:ext cx="8282344" cy="3724275"/>
        </a:xfrm>
        <a:prstGeom prst="rect">
          <a:avLst/>
        </a:prstGeom>
      </xdr:spPr>
    </xdr:pic>
    <xdr:clientData/>
  </xdr:twoCellAnchor>
  <xdr:twoCellAnchor editAs="oneCell">
    <xdr:from>
      <xdr:col>0</xdr:col>
      <xdr:colOff>1</xdr:colOff>
      <xdr:row>324</xdr:row>
      <xdr:rowOff>1</xdr:rowOff>
    </xdr:from>
    <xdr:to>
      <xdr:col>7</xdr:col>
      <xdr:colOff>128875</xdr:colOff>
      <xdr:row>339</xdr:row>
      <xdr:rowOff>133351</xdr:rowOff>
    </xdr:to>
    <xdr:pic>
      <xdr:nvPicPr>
        <xdr:cNvPr id="16" name="图片 15">
          <a:extLst>
            <a:ext uri="{FF2B5EF4-FFF2-40B4-BE49-F238E27FC236}">
              <a16:creationId xmlns:a16="http://schemas.microsoft.com/office/drawing/2014/main" id="{00000000-0008-0000-2E00-000010000000}"/>
            </a:ext>
          </a:extLst>
        </xdr:cNvPr>
        <xdr:cNvPicPr>
          <a:picLocks noChangeAspect="1"/>
        </xdr:cNvPicPr>
      </xdr:nvPicPr>
      <xdr:blipFill>
        <a:blip xmlns:r="http://schemas.openxmlformats.org/officeDocument/2006/relationships" r:embed="rId13"/>
        <a:stretch>
          <a:fillRect/>
        </a:stretch>
      </xdr:blipFill>
      <xdr:spPr>
        <a:xfrm>
          <a:off x="1" y="55549801"/>
          <a:ext cx="4929474" cy="2705100"/>
        </a:xfrm>
        <a:prstGeom prst="rect">
          <a:avLst/>
        </a:prstGeom>
      </xdr:spPr>
    </xdr:pic>
    <xdr:clientData/>
  </xdr:twoCellAnchor>
  <xdr:twoCellAnchor editAs="oneCell">
    <xdr:from>
      <xdr:col>7</xdr:col>
      <xdr:colOff>175766</xdr:colOff>
      <xdr:row>323</xdr:row>
      <xdr:rowOff>66675</xdr:rowOff>
    </xdr:from>
    <xdr:to>
      <xdr:col>15</xdr:col>
      <xdr:colOff>513458</xdr:colOff>
      <xdr:row>341</xdr:row>
      <xdr:rowOff>133350</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14"/>
        <a:stretch>
          <a:fillRect/>
        </a:stretch>
      </xdr:blipFill>
      <xdr:spPr>
        <a:xfrm>
          <a:off x="4976366" y="55445025"/>
          <a:ext cx="5824092" cy="3152775"/>
        </a:xfrm>
        <a:prstGeom prst="rect">
          <a:avLst/>
        </a:prstGeom>
      </xdr:spPr>
    </xdr:pic>
    <xdr:clientData/>
  </xdr:twoCellAnchor>
  <xdr:twoCellAnchor editAs="oneCell">
    <xdr:from>
      <xdr:col>9</xdr:col>
      <xdr:colOff>63910</xdr:colOff>
      <xdr:row>0</xdr:row>
      <xdr:rowOff>0</xdr:rowOff>
    </xdr:from>
    <xdr:to>
      <xdr:col>15</xdr:col>
      <xdr:colOff>608839</xdr:colOff>
      <xdr:row>26</xdr:row>
      <xdr:rowOff>56412</xdr:rowOff>
    </xdr:to>
    <xdr:pic>
      <xdr:nvPicPr>
        <xdr:cNvPr id="8" name="图片 7">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15"/>
        <a:stretch>
          <a:fillRect/>
        </a:stretch>
      </xdr:blipFill>
      <xdr:spPr>
        <a:xfrm>
          <a:off x="6236110" y="0"/>
          <a:ext cx="4659729" cy="4514112"/>
        </a:xfrm>
        <a:prstGeom prst="rect">
          <a:avLst/>
        </a:prstGeom>
      </xdr:spPr>
    </xdr:pic>
    <xdr:clientData/>
  </xdr:twoCellAnchor>
  <xdr:twoCellAnchor editAs="oneCell">
    <xdr:from>
      <xdr:col>9</xdr:col>
      <xdr:colOff>0</xdr:colOff>
      <xdr:row>28</xdr:row>
      <xdr:rowOff>0</xdr:rowOff>
    </xdr:from>
    <xdr:to>
      <xdr:col>16</xdr:col>
      <xdr:colOff>458512</xdr:colOff>
      <xdr:row>52</xdr:row>
      <xdr:rowOff>47625</xdr:rowOff>
    </xdr:to>
    <xdr:pic>
      <xdr:nvPicPr>
        <xdr:cNvPr id="9" name="图片 8">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16"/>
        <a:stretch>
          <a:fillRect/>
        </a:stretch>
      </xdr:blipFill>
      <xdr:spPr>
        <a:xfrm>
          <a:off x="6172200" y="4800600"/>
          <a:ext cx="5259112" cy="4162425"/>
        </a:xfrm>
        <a:prstGeom prst="rect">
          <a:avLst/>
        </a:prstGeom>
      </xdr:spPr>
    </xdr:pic>
    <xdr:clientData/>
  </xdr:twoCellAnchor>
  <xdr:twoCellAnchor editAs="oneCell">
    <xdr:from>
      <xdr:col>9</xdr:col>
      <xdr:colOff>239855</xdr:colOff>
      <xdr:row>52</xdr:row>
      <xdr:rowOff>142875</xdr:rowOff>
    </xdr:from>
    <xdr:to>
      <xdr:col>17</xdr:col>
      <xdr:colOff>27811</xdr:colOff>
      <xdr:row>82</xdr:row>
      <xdr:rowOff>19050</xdr:rowOff>
    </xdr:to>
    <xdr:pic>
      <xdr:nvPicPr>
        <xdr:cNvPr id="18" name="图片 17">
          <a:extLst>
            <a:ext uri="{FF2B5EF4-FFF2-40B4-BE49-F238E27FC236}">
              <a16:creationId xmlns:a16="http://schemas.microsoft.com/office/drawing/2014/main" id="{00000000-0008-0000-2E00-000012000000}"/>
            </a:ext>
          </a:extLst>
        </xdr:cNvPr>
        <xdr:cNvPicPr>
          <a:picLocks noChangeAspect="1"/>
        </xdr:cNvPicPr>
      </xdr:nvPicPr>
      <xdr:blipFill>
        <a:blip xmlns:r="http://schemas.openxmlformats.org/officeDocument/2006/relationships" r:embed="rId17"/>
        <a:stretch>
          <a:fillRect/>
        </a:stretch>
      </xdr:blipFill>
      <xdr:spPr>
        <a:xfrm>
          <a:off x="6412055" y="9058275"/>
          <a:ext cx="5274356" cy="5019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255944</xdr:colOff>
      <xdr:row>34</xdr:row>
      <xdr:rowOff>56415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9857144" cy="5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北京市通州区经海五路1号院46号楼-1至6层5-101工业用房房地产抵押价值预评估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受贵公司委托，我公司对北京市通州区经海五路1号院46号楼-1至6层5-101工业用房房地产抵押价值进行了预评估。</v>
      </c>
    </row>
    <row r="7" spans="1:2">
      <c r="A7" s="1119" t="s">
        <v>566</v>
      </c>
      <c r="B7" s="1120" t="str">
        <f>'预评函-1'!A7</f>
        <v>估价对象为北京市通州区经海五路1号院46号楼-1至6层5-101工业用房房地产，为所有。根据《国有土地使用证》[]，估价对象（分摊）出让国有建设用地使用权面积为0平方米，建筑面积为3830.64平方米。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经海五路1号院46号楼-1至6层5-101工业用房房地产,属开发建设的工业项目，该项目尚在开发建设中。根据《国有土地使用证》[]，估价对象（分摊）出让国有建设用地使用权面积为0平方米，规划建筑面积为3830.64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2025年9月2日（评估专业人员实地查勘之日）</v>
      </c>
    </row>
    <row r="13" spans="1:2">
      <c r="A13" s="1119" t="s">
        <v>529</v>
      </c>
      <c r="B13" s="1120"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4140</v>
      </c>
    </row>
    <row r="21" spans="1:2">
      <c r="A21" s="1119" t="s">
        <v>537</v>
      </c>
      <c r="B21" s="1120">
        <f ca="1">'预评函-2'!D7</f>
        <v>10808</v>
      </c>
    </row>
    <row r="22" spans="1:2">
      <c r="A22" s="1119" t="s">
        <v>538</v>
      </c>
      <c r="B22" s="1120" t="str">
        <f ca="1">'预评函-2'!D6</f>
        <v>肆仟壹佰肆拾万元整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4140</v>
      </c>
    </row>
    <row r="31" spans="1:2">
      <c r="A31" s="1119" t="s">
        <v>576</v>
      </c>
      <c r="B31" s="1120">
        <f ca="1">'预评函-2'!D15</f>
        <v>10808</v>
      </c>
    </row>
    <row r="32" spans="1:2">
      <c r="A32" s="1119" t="s">
        <v>543</v>
      </c>
      <c r="B32" s="1120" t="str">
        <f ca="1">'预评函-2'!D14</f>
        <v>肆仟壹佰肆拾万元整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北京市通州区经海五路1号院46号楼-1至6层5-101工业用房房地产</v>
      </c>
    </row>
    <row r="42" spans="1:2" ht="31.2">
      <c r="A42" s="1119" t="s">
        <v>590</v>
      </c>
      <c r="B42" s="1120" t="str">
        <f>'预评函-3'!B2</f>
        <v>建筑面积</v>
      </c>
    </row>
    <row r="43" spans="1:2">
      <c r="A43" s="1119" t="s">
        <v>591</v>
      </c>
      <c r="B43" s="1120">
        <f>'预评函-3'!B4</f>
        <v>3830.64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1992</v>
      </c>
    </row>
    <row r="48" spans="1:2">
      <c r="A48" s="1119" t="s">
        <v>549</v>
      </c>
      <c r="B48" s="1120">
        <f ca="1">'预评函-3'!E4</f>
        <v>5199</v>
      </c>
    </row>
    <row r="49" spans="1:2">
      <c r="A49" s="1119" t="s">
        <v>550</v>
      </c>
      <c r="B49" s="1120" t="str">
        <f ca="1">'预评函-3'!D5</f>
        <v>壹仟玖佰玖拾贰万元整</v>
      </c>
    </row>
    <row r="50" spans="1:2">
      <c r="A50" s="1119" t="s">
        <v>574</v>
      </c>
      <c r="B50" s="1120" t="str">
        <f>'预评函-3'!F2</f>
        <v>在建建筑物价值</v>
      </c>
    </row>
    <row r="51" spans="1:2">
      <c r="A51" s="1119" t="s">
        <v>551</v>
      </c>
      <c r="B51" s="1120">
        <f ca="1">'预评函-3'!F4</f>
        <v>2149</v>
      </c>
    </row>
    <row r="52" spans="1:2">
      <c r="A52" s="1119" t="s">
        <v>552</v>
      </c>
      <c r="B52" s="1120">
        <f ca="1">'预评函-3'!G4</f>
        <v>5609</v>
      </c>
    </row>
    <row r="53" spans="1:2">
      <c r="A53" s="1119" t="s">
        <v>580</v>
      </c>
      <c r="B53" s="1120" t="str">
        <f ca="1">'预评函-3'!F5</f>
        <v>贰仟壹佰肆拾玖万元整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五路1号院46号楼-1至6层5-101工业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25" t="s">
        <v>2580</v>
      </c>
      <c r="J2" s="3225"/>
      <c r="K2" s="3225"/>
      <c r="L2" s="3225"/>
      <c r="M2" s="3225"/>
      <c r="N2" s="3225"/>
      <c r="O2" s="3225"/>
      <c r="P2" s="3225"/>
      <c r="Q2" s="3225"/>
      <c r="R2" s="3225"/>
    </row>
    <row r="3" spans="1:18">
      <c r="A3" s="2763" t="s">
        <v>2501</v>
      </c>
      <c r="B3" s="2764">
        <f>项目基本情况!D3</f>
        <v>45902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1.29</v>
      </c>
      <c r="D5" s="2768">
        <f>IF(ISERROR(ROUND(POWER(1+E5,A5-C5)*(POWER(1+E5,C5)-1)/(POWER(1+E5,A5)-1),3)),0,ROUND(POWER(1+E5,A5-C5)*(POWER(1+E5,C5)-1)/(POWER(1+E5,A5)-1),4))</f>
        <v>6.2300000000000001E-2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11.3</v>
      </c>
      <c r="D6" s="2768">
        <f>IF(ISERROR(ROUND(POWER(1+E6,A6-C6)*(POWER(1+E6,C6)-1)/(POWER(1+E6,A6)-1),3)),0,ROUND(POWER(1+E6,A6-C6)*(POWER(1+E6,C6)-1)/(POWER(1+E6,A6)-1),4))</f>
        <v>0.41660000000000003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31.31</v>
      </c>
      <c r="D7" s="2768">
        <f>IF(ISERROR(ROUND(POWER(1+E7,A7-C7)*(POWER(1+E7,C7)-1)/(POWER(1+E7,A7)-1),3)),0,ROUND(POWER(1+E7,A7-C7)*(POWER(1+E7,C7)-1)/(POWER(1+E7,A7)-1),4))</f>
        <v>0.75560000000000005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3" t="str">
        <f>IF(B10="北京市","北京市",C10)&amp;F10&amp;IF(结果表!G1="在建","出让国有建设用地使用权及在建建筑物",IF(结果表!G1="土地","出让国有建设用地使用权",))&amp;B9&amp;"预评估"</f>
        <v>北京市通州区经海五路1号院46号楼-1至6层5-101工业用房房地产抵押价值预评估</v>
      </c>
      <c r="C1" s="3234"/>
      <c r="D1" s="3234"/>
      <c r="E1" s="3234"/>
      <c r="F1" s="3234"/>
      <c r="G1" s="3234"/>
      <c r="H1" s="3234"/>
      <c r="I1" s="323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北京市通州区经海五路1号院46号楼-1至6层5-101工业用房房地产抵押价值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北京市通州区经海五路1号院46号楼-1至6层5-101工业用房房地产</v>
      </c>
      <c r="T2" s="1618"/>
      <c r="U2" s="1618"/>
      <c r="V2" s="1618"/>
      <c r="W2" s="1618"/>
      <c r="X2" s="1618"/>
      <c r="Y2" s="1618"/>
      <c r="Z2" s="1618"/>
      <c r="AA2" s="1618"/>
      <c r="AB2" s="1618"/>
    </row>
    <row r="3" spans="1:30">
      <c r="A3" s="294" t="s">
        <v>2170</v>
      </c>
      <c r="B3" s="2185">
        <v>45902</v>
      </c>
      <c r="C3" s="2186" t="s">
        <v>2171</v>
      </c>
      <c r="D3" s="2185">
        <f>B3</f>
        <v>45902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3330</v>
      </c>
      <c r="C8" s="2201"/>
      <c r="D8" s="3236" t="s">
        <v>2177</v>
      </c>
      <c r="E8" s="2202" t="s">
        <v>3417</v>
      </c>
      <c r="F8" s="2203"/>
      <c r="G8" s="2442"/>
      <c r="H8" s="2442"/>
      <c r="I8" s="2442"/>
      <c r="J8" s="2245"/>
      <c r="K8" s="2400"/>
      <c r="L8" s="2399"/>
      <c r="M8" s="2399"/>
      <c r="N8" s="2245"/>
      <c r="O8" s="1670"/>
      <c r="P8" s="2245"/>
      <c r="Q8" s="2245"/>
      <c r="R8" s="2245"/>
    </row>
    <row r="9" spans="1:30" ht="13.8" thickBot="1">
      <c r="A9" s="2204" t="s">
        <v>2178</v>
      </c>
      <c r="B9" s="2205" t="s">
        <v>3417</v>
      </c>
      <c r="C9" s="2206"/>
      <c r="D9" s="3237"/>
      <c r="E9" s="2205"/>
      <c r="F9" s="2207"/>
      <c r="G9" s="2443"/>
      <c r="H9" s="2443"/>
      <c r="I9" s="2443"/>
      <c r="J9" s="2245"/>
      <c r="K9" s="2402"/>
      <c r="L9" s="2399"/>
      <c r="M9" s="2399"/>
      <c r="N9" s="2245"/>
      <c r="O9" s="1670"/>
      <c r="P9" s="2245"/>
      <c r="Q9" s="2245"/>
      <c r="R9" s="2245"/>
    </row>
    <row r="10" spans="1:30" ht="13.8" thickTop="1">
      <c r="A10" s="2208" t="s">
        <v>2179</v>
      </c>
      <c r="B10" s="2209" t="s">
        <v>3418</v>
      </c>
      <c r="C10" s="2210"/>
      <c r="D10" s="2193"/>
      <c r="E10" s="2211" t="s">
        <v>2180</v>
      </c>
      <c r="F10" s="2444" t="s">
        <v>3509</v>
      </c>
      <c r="G10" s="2445"/>
      <c r="H10" s="2446"/>
      <c r="I10" s="2447"/>
      <c r="J10" s="2245"/>
      <c r="K10" s="2402"/>
      <c r="L10" s="2399"/>
      <c r="M10" s="2399"/>
      <c r="N10" s="2245"/>
      <c r="O10" s="1670"/>
      <c r="P10" s="2245"/>
      <c r="Q10" s="2245"/>
      <c r="R10" s="2245"/>
    </row>
    <row r="11" spans="1:30">
      <c r="A11" s="2212" t="s">
        <v>2181</v>
      </c>
      <c r="B11" s="2213" t="s">
        <v>3419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v>58567</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34.69</v>
      </c>
      <c r="I15" s="2221" t="str">
        <f>IF(A13="出让",IF(I13="","",ROUNDDOWN(MIN((I13-$D$3)/365,I14),2)),I14)</f>
        <v/>
      </c>
      <c r="J15" s="2805"/>
      <c r="K15" s="1670"/>
      <c r="L15" s="1670"/>
      <c r="M15" s="2245"/>
      <c r="N15" s="1670"/>
      <c r="O15" s="2245"/>
      <c r="P15" s="2245"/>
      <c r="Q15" s="2245"/>
      <c r="AD15" s="1618"/>
    </row>
    <row r="16" spans="1:30">
      <c r="A16" s="2211" t="s">
        <v>2193</v>
      </c>
      <c r="B16" s="3243"/>
      <c r="C16" s="3244"/>
      <c r="D16" s="3245"/>
      <c r="E16" s="2222" t="s">
        <v>2194</v>
      </c>
      <c r="F16" s="3246"/>
      <c r="G16" s="3247"/>
      <c r="H16" s="3247"/>
      <c r="I16" s="3248"/>
      <c r="J16" s="2245"/>
      <c r="K16" s="2403"/>
      <c r="L16" s="1670"/>
      <c r="M16" s="1670"/>
      <c r="N16" s="2245"/>
      <c r="O16" s="1670"/>
      <c r="P16" s="2245"/>
      <c r="Q16" s="2245"/>
      <c r="R16" s="2245"/>
    </row>
    <row r="17" spans="1:28">
      <c r="A17" s="305" t="s">
        <v>2195</v>
      </c>
      <c r="B17" s="294" t="s">
        <v>2196</v>
      </c>
      <c r="C17" s="8">
        <f>'数据-汇总表'!E3</f>
        <v>3830.64</v>
      </c>
      <c r="D17" s="1256" t="s">
        <v>2197</v>
      </c>
      <c r="E17" s="3249" t="s">
        <v>2198</v>
      </c>
      <c r="F17" s="3250"/>
      <c r="G17" s="3250"/>
      <c r="H17" s="3250"/>
      <c r="I17" s="3251"/>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52" t="s">
        <v>2202</v>
      </c>
      <c r="F18" s="3253"/>
      <c r="G18" s="3253"/>
      <c r="H18" s="3253"/>
      <c r="I18" s="3254"/>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9" t="s">
        <v>2206</v>
      </c>
      <c r="C20" s="3240"/>
      <c r="D20" s="3241" t="s">
        <v>2207</v>
      </c>
      <c r="E20" s="3242"/>
      <c r="F20" s="2430" t="s">
        <v>1056</v>
      </c>
      <c r="G20" s="2442"/>
      <c r="H20" s="2442"/>
      <c r="I20" s="2442"/>
      <c r="J20" s="2245"/>
      <c r="K20" s="323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3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3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27" t="s">
        <v>2214</v>
      </c>
      <c r="B27" s="312" t="s">
        <v>2215</v>
      </c>
      <c r="C27" s="2225" t="s">
        <v>3421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7"/>
      <c r="B28" s="294" t="s">
        <v>2216</v>
      </c>
      <c r="C28" s="2227" t="s">
        <v>3422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7"/>
      <c r="B29" s="294" t="s">
        <v>2217</v>
      </c>
      <c r="C29" s="2229" t="s">
        <v>3423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8"/>
      <c r="B30" s="294" t="s">
        <v>2218</v>
      </c>
      <c r="C30" s="3229"/>
      <c r="D30" s="3230"/>
      <c r="E30" s="2442"/>
      <c r="F30" s="2442"/>
      <c r="G30" s="2442"/>
      <c r="H30" s="2442"/>
      <c r="I30" s="2442"/>
      <c r="J30" s="2245"/>
      <c r="K30" s="2402"/>
      <c r="L30" s="2399"/>
      <c r="M30" s="2399"/>
      <c r="N30" s="2245"/>
      <c r="O30" s="1670"/>
      <c r="P30" s="2245"/>
      <c r="Q30" s="2245"/>
      <c r="R30" s="2245"/>
      <c r="S30" s="2245"/>
      <c r="T30" s="2245"/>
      <c r="U30" s="2245"/>
      <c r="V30" s="2245"/>
    </row>
    <row r="31" spans="1:28">
      <c r="A31" s="3231" t="s">
        <v>2219</v>
      </c>
      <c r="B31" s="2231" t="s">
        <v>3424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6" t="s">
        <v>2228</v>
      </c>
      <c r="T34" s="315" t="str">
        <f>NUMBERSTRING(7-K34,1)&amp;"通"</f>
        <v>七通</v>
      </c>
      <c r="U34" s="2245"/>
      <c r="V34" s="2245"/>
    </row>
    <row r="35" spans="1:30">
      <c r="A35" s="2236"/>
      <c r="B35" s="3226" t="s">
        <v>2229</v>
      </c>
      <c r="C35" s="3226"/>
      <c r="D35" s="3226"/>
      <c r="E35" s="322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t="s">
        <v>3466</v>
      </c>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3830.64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3830.64</v>
      </c>
      <c r="H5" s="13">
        <f t="shared" ref="H5:AT5" si="0">SUM(H13:H656)</f>
        <v>3830.64</v>
      </c>
      <c r="I5" s="13">
        <f t="shared" si="0"/>
        <v>3281.85</v>
      </c>
      <c r="J5" s="13">
        <f t="shared" si="0"/>
        <v>0</v>
      </c>
      <c r="K5" s="13">
        <f t="shared" si="0"/>
        <v>548.79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3830.64</v>
      </c>
      <c r="BA5" s="15">
        <f t="shared" si="1"/>
        <v>3830.64</v>
      </c>
      <c r="BB5" s="15">
        <f t="shared" si="1"/>
        <v>3281.85</v>
      </c>
      <c r="BC5" s="15">
        <f t="shared" si="1"/>
        <v>548.79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3425</v>
      </c>
      <c r="J9" s="761"/>
      <c r="K9" s="1491" t="s">
        <v>3426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3420</v>
      </c>
      <c r="E13" s="13">
        <f>IF($C$3="是",ROUND($A$3*G13/$B$3,2),ROUND($A$3*(G13-AT13)/$B$3,2))</f>
        <v>0</v>
      </c>
      <c r="F13" s="29"/>
      <c r="G13" s="30">
        <f>H13+AC13+AT13</f>
        <v>3830.64</v>
      </c>
      <c r="H13" s="17">
        <f>SUMIF(I$12:AB$12,"总值",I13:AB13)</f>
        <v>3830.64</v>
      </c>
      <c r="I13" s="1514">
        <f>3830.64-K13</f>
        <v>3281.85</v>
      </c>
      <c r="J13" s="1514"/>
      <c r="K13" s="1514">
        <f>33*16.63</f>
        <v>548.79</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3830.64</v>
      </c>
      <c r="BA13" s="13">
        <f>SUM(BB13:BK13)</f>
        <v>3830.64</v>
      </c>
      <c r="BB13" s="13">
        <f>IF($D13="是",I13-J13,0)</f>
        <v>3281.85</v>
      </c>
      <c r="BC13" s="13">
        <f>IF($D13="是",K13-L13,0)</f>
        <v>548.79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77"/>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N13" sqref="N1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4" t="s">
        <v>1131</v>
      </c>
      <c r="B2" s="3264"/>
      <c r="C2" s="3264"/>
      <c r="D2" s="748" t="s">
        <v>1107</v>
      </c>
      <c r="E2" s="1523" t="s">
        <v>1108</v>
      </c>
      <c r="F2" s="2439"/>
      <c r="G2" s="2432"/>
      <c r="H2" s="2433"/>
      <c r="I2" s="2146" t="s">
        <v>1132</v>
      </c>
      <c r="J2" s="2439"/>
      <c r="K2" s="2439"/>
      <c r="L2" s="2439"/>
      <c r="M2" s="2439"/>
      <c r="N2" s="2440"/>
      <c r="O2" s="2439"/>
      <c r="P2" s="2439"/>
    </row>
    <row r="3" spans="1:16" ht="15" thickBot="1">
      <c r="A3" s="3265" t="s">
        <v>1105</v>
      </c>
      <c r="B3" s="3265"/>
      <c r="C3" s="3265"/>
      <c r="D3" s="41">
        <f>'数据-基础表'!AY6</f>
        <v>0</v>
      </c>
      <c r="E3" s="41">
        <f>'数据-基础表'!AZ5</f>
        <v>3830.64</v>
      </c>
      <c r="F3" s="2439"/>
      <c r="G3" s="42"/>
      <c r="H3" s="43" t="s">
        <v>1106</v>
      </c>
      <c r="I3" s="802" t="e">
        <f>ROUND('数据-基础表'!B3/'数据-基础表'!A3,2)</f>
        <v>#DIV/0!</v>
      </c>
      <c r="J3" s="2439"/>
      <c r="K3" s="2439"/>
      <c r="L3" s="2439"/>
      <c r="M3" s="2439"/>
      <c r="N3" s="2440"/>
      <c r="O3" s="2439"/>
      <c r="P3" s="2439"/>
    </row>
    <row r="4" spans="1:16" ht="14.4">
      <c r="A4" s="3266"/>
      <c r="B4" s="3267"/>
      <c r="C4" s="326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9" t="s">
        <v>1110</v>
      </c>
      <c r="C5" s="326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9" t="s">
        <v>1111</v>
      </c>
      <c r="C6" s="3269"/>
      <c r="D6" s="43">
        <f>ROUND($D$3*E6/$E$3,2)</f>
        <v>0</v>
      </c>
      <c r="E6" s="44">
        <f>E3-E5</f>
        <v>3830.64</v>
      </c>
      <c r="F6" s="2439"/>
      <c r="G6" s="1529" t="s">
        <v>1112</v>
      </c>
      <c r="H6" s="45" t="s">
        <v>1113</v>
      </c>
      <c r="I6" s="2435" t="e">
        <f>ROUND(F31/D31,2)</f>
        <v>#DIV/0!</v>
      </c>
      <c r="J6" s="2439"/>
      <c r="K6" s="2439"/>
      <c r="L6" s="2439"/>
      <c r="M6" s="2439"/>
      <c r="N6" s="2439"/>
      <c r="O6" s="2439"/>
      <c r="P6" s="2439"/>
    </row>
    <row r="7" spans="1:16" ht="15" thickBot="1">
      <c r="A7" s="3261"/>
      <c r="B7" s="3262"/>
      <c r="C7" s="3263"/>
      <c r="D7" s="1524" t="s">
        <v>1107</v>
      </c>
      <c r="E7" s="1528" t="s">
        <v>1114</v>
      </c>
      <c r="F7" s="2439"/>
      <c r="G7" s="2436" t="s">
        <v>1115</v>
      </c>
      <c r="H7" s="95"/>
      <c r="I7" s="2437">
        <v>1.2</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3281.85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3281.85</v>
      </c>
      <c r="F16" s="2439"/>
      <c r="G16" s="2439"/>
      <c r="H16" s="1531" t="s">
        <v>1135</v>
      </c>
      <c r="I16" s="1532"/>
      <c r="J16" s="1071"/>
      <c r="K16" s="3258" t="s">
        <v>1135</v>
      </c>
      <c r="L16" s="3259"/>
      <c r="M16" s="3259"/>
      <c r="N16" s="3259"/>
      <c r="O16" s="3259"/>
      <c r="P16" s="3260"/>
    </row>
    <row r="17" spans="1:19" ht="14.4">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3427</v>
      </c>
      <c r="D19" s="43">
        <f>ROUND($D$3*E19/$E$3,2)</f>
        <v>0</v>
      </c>
      <c r="E19" s="51">
        <f t="shared" ref="E19:E26" si="1">SUM(F19:G19)</f>
        <v>3830.64</v>
      </c>
      <c r="F19" s="2558">
        <f>'数据-基础表'!I13</f>
        <v>3281.85</v>
      </c>
      <c r="G19" s="1243">
        <f>'数据-基础表'!K13</f>
        <v>548.79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3830.64</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3830.64</v>
      </c>
      <c r="F27" s="1072">
        <f>IF(SUM(F19:F26)=E8,SUM(F19:F26),"地上面积有误")</f>
        <v>3281.85</v>
      </c>
      <c r="G27" s="1074">
        <f>SUM(G19:G26)</f>
        <v>548.79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3830.64</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3830.64</v>
      </c>
      <c r="F31" s="644">
        <f>F27+F30</f>
        <v>3281.85</v>
      </c>
      <c r="G31" s="645">
        <f>G27+G30</f>
        <v>548.79</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U29" activePane="bottomRight" state="frozen"/>
      <selection activeCell="C50" sqref="C50"/>
      <selection pane="topRight" activeCell="C50" sqref="C50"/>
      <selection pane="bottomLeft" activeCell="C50" sqref="C50"/>
      <selection pane="bottomRight" activeCell="U18" sqref="U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45902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58567</v>
      </c>
      <c r="F6" s="61">
        <f>SUMIF(项目基本情况!C$12:I$12,C6,项目基本情况!C$15:I$15)</f>
        <v>34.69</v>
      </c>
      <c r="G6" s="62">
        <f>IF(ISERROR(ROUND(POWER(1+H6,D6-F6)*(POWER(1+H6,F6)-1)/(POWER(1+H6,D6)-1),3)),0,ROUND(POWER(1+H6,D6-F6)*(POWER(1+H6,F6)-1)/(POWER(1+H6,D6)-1),3))</f>
        <v>0.88</v>
      </c>
      <c r="H6" s="691">
        <v>4.4999999999999998E-2</v>
      </c>
      <c r="I6" s="691">
        <v>0.05</v>
      </c>
      <c r="J6" s="63">
        <v>7.0000000000000007E-2</v>
      </c>
      <c r="K6" s="970">
        <f>SUMIF('数据-汇总表'!C$19:C$33,A6,'数据-汇总表'!E$19:E$33)</f>
        <v>3830.64</v>
      </c>
      <c r="L6" s="692">
        <v>3500</v>
      </c>
      <c r="M6" s="64">
        <f t="shared" ref="M6:M14" si="0">ROUND(K6*L6/10000,0)</f>
        <v>1341</v>
      </c>
      <c r="N6" s="690">
        <f>ROUND(1-(1-0%)*(2025-N18)/60,2)</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1.5</v>
      </c>
      <c r="V6" s="67">
        <v>1.4999999999999999E-2</v>
      </c>
      <c r="W6" s="67">
        <v>0.1</v>
      </c>
      <c r="X6" s="979"/>
      <c r="Y6" s="68">
        <f>N6</f>
        <v>0.8</v>
      </c>
      <c r="Z6" s="69"/>
      <c r="AA6" s="63"/>
      <c r="AB6" s="63"/>
      <c r="AC6" s="979"/>
      <c r="AD6" s="70"/>
      <c r="AE6" s="980">
        <f ca="1">IF(AN6="",0,SUMIF(INDIRECT("'"&amp;AN6&amp;"'"&amp;"!E:E"),$AE$5,INDIRECT("'"&amp;AN6&amp;"'"&amp;"!F:F")))</f>
        <v>34.69</v>
      </c>
      <c r="AF6" s="74"/>
      <c r="AG6" s="130">
        <f>IF(AF6="",0,AE6-AF6)</f>
        <v>0</v>
      </c>
      <c r="AH6" s="71"/>
      <c r="AI6" s="73">
        <v>365</v>
      </c>
      <c r="AJ6" s="74"/>
      <c r="AK6" s="75">
        <v>3.0000000000000001E-3</v>
      </c>
      <c r="AL6" s="76">
        <v>1E-3</v>
      </c>
      <c r="AM6" s="77">
        <v>0.02</v>
      </c>
      <c r="AN6" s="1589" t="s">
        <v>3430</v>
      </c>
      <c r="AO6" s="50">
        <f ca="1">SUMIF(INDIRECT("'"&amp;AN6&amp;"'"&amp;"!A:A"),"总价",INDIRECT("'"&amp;AN6&amp;"'"&amp;"!B:B"))</f>
        <v>2965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v>
      </c>
      <c r="H16" s="84">
        <f>ROUND(SUMPRODUCT(H6:H13,K6:K13)/SUMPRODUCT((H6:H13&gt;0)*(K6:K13)),3)</f>
        <v>4.4999999999999998E-2</v>
      </c>
      <c r="I16" s="85"/>
      <c r="J16" s="85"/>
      <c r="K16" s="86">
        <f>SUM(K6:K15)</f>
        <v>3830.64</v>
      </c>
      <c r="L16" s="87">
        <f>ROUND(M16*10000/SUM(K6:K14),0)</f>
        <v>3501</v>
      </c>
      <c r="M16" s="87">
        <f>SUM(M6:M14)</f>
        <v>1341</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f>Q16/B20</f>
        <v>0.05</v>
      </c>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2013</v>
      </c>
      <c r="O18" s="2449"/>
      <c r="P18" s="2449"/>
      <c r="Q18" s="2449"/>
      <c r="R18" s="2449"/>
      <c r="S18" s="2449"/>
      <c r="T18" s="2449"/>
      <c r="U18" s="2449">
        <f>U6*365/'比较法-工业'!C43</f>
        <v>4.1106689691418272E-2</v>
      </c>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3178" t="s">
        <v>3464</v>
      </c>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2449"/>
      <c r="O21" s="2449"/>
      <c r="P21" s="2449"/>
      <c r="Q21" s="2449"/>
      <c r="R21" s="2449"/>
      <c r="S21" s="2449"/>
      <c r="T21" s="2449" t="s">
        <v>3465</v>
      </c>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140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170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f ca="1">成本法!C10</f>
        <v>65</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5.000000000000001E-3</v>
      </c>
      <c r="C43" s="2454"/>
      <c r="D43" s="2452"/>
      <c r="E43" s="3170" t="s">
        <v>3429</v>
      </c>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70" t="s">
        <v>2286</v>
      </c>
      <c r="B1" s="3271"/>
      <c r="C1" s="3271"/>
      <c r="D1" s="3271"/>
      <c r="E1" s="3271"/>
      <c r="F1" s="3271"/>
      <c r="G1" s="327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G15" sqref="G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3830.64</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45902</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4140</v>
      </c>
      <c r="C5" s="2300">
        <f ca="1">IF(B5=D14,结果表!H102,ROUND(B5*10000/$B$1,0))</f>
        <v>10808</v>
      </c>
      <c r="D5" s="2300" t="e">
        <f ca="1">ROUND(B5*10000/$B$2,0)</f>
        <v>#DIV/0!</v>
      </c>
      <c r="E5" s="2462"/>
      <c r="F5" s="2463"/>
      <c r="G5" s="2463"/>
      <c r="H5" s="2463"/>
      <c r="I5" s="2463"/>
      <c r="J5" s="2463"/>
      <c r="K5" s="2463"/>
    </row>
    <row r="6" spans="1:11" ht="15.6">
      <c r="A6" s="2300" t="s">
        <v>656</v>
      </c>
      <c r="B6" s="2300">
        <f ca="1">SUM(G14:G23)</f>
        <v>4140</v>
      </c>
      <c r="C6" s="2300">
        <f ca="1">IF(B6=G14,结果表!H108,ROUND(B6*10000/$B$1,0))</f>
        <v>10808</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3354</v>
      </c>
      <c r="D10" s="2300" t="s">
        <v>3355</v>
      </c>
      <c r="E10" s="3137"/>
      <c r="F10" s="3141" t="s">
        <v>3356</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'数据-汇总表'!E3</f>
        <v>3830.64</v>
      </c>
      <c r="C14" s="2306"/>
      <c r="D14" s="2306">
        <f ca="1">结果表!G19</f>
        <v>4140</v>
      </c>
      <c r="E14" s="2306">
        <f ca="1">结果表!G20</f>
        <v>10808</v>
      </c>
      <c r="F14" s="2306" t="e">
        <f ca="1">ROUND(D14*10000/C14,0)</f>
        <v>#DIV/0!</v>
      </c>
      <c r="G14" s="2306">
        <f ca="1">D14</f>
        <v>4140</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E16" sqref="E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6" t="str">
        <f>项目基本情况!S2</f>
        <v>北京市通州区经海五路1号院46号楼-1至6层5-101工业用房房地产</v>
      </c>
      <c r="B2" s="3307"/>
      <c r="C2" s="3307"/>
      <c r="D2" s="3307"/>
      <c r="E2" s="3307"/>
      <c r="F2" s="3307"/>
      <c r="G2" s="3307"/>
      <c r="H2" s="3307"/>
      <c r="I2" s="3308"/>
    </row>
    <row r="3" spans="1:12" ht="13.2">
      <c r="A3" s="3310" t="s">
        <v>1264</v>
      </c>
      <c r="B3" s="3311"/>
      <c r="C3" s="3311"/>
      <c r="D3" s="3311"/>
      <c r="E3" s="3311"/>
      <c r="F3" s="3311"/>
      <c r="G3" s="3311"/>
      <c r="H3" s="3311"/>
      <c r="I3" s="3311"/>
    </row>
    <row r="4" spans="1:12" ht="14.4">
      <c r="A4" s="1624" t="s">
        <v>1265</v>
      </c>
      <c r="B4" s="1625" t="s">
        <v>1266</v>
      </c>
      <c r="C4" s="1626" t="s">
        <v>3462</v>
      </c>
      <c r="D4" s="1626" t="s">
        <v>3430</v>
      </c>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6" t="s">
        <v>1268</v>
      </c>
      <c r="B5" s="3273">
        <v>25</v>
      </c>
      <c r="C5" s="3289"/>
      <c r="D5" s="3309"/>
      <c r="E5" s="123" t="s">
        <v>1269</v>
      </c>
      <c r="F5" s="1627"/>
      <c r="G5" s="1627"/>
      <c r="H5" s="1627"/>
      <c r="I5" s="1281"/>
    </row>
    <row r="6" spans="1:12" ht="13.2">
      <c r="A6" s="3286"/>
      <c r="B6" s="3273"/>
      <c r="C6" s="3290"/>
      <c r="D6" s="3309"/>
      <c r="E6" s="123" t="s">
        <v>1270</v>
      </c>
      <c r="F6" s="1627"/>
      <c r="G6" s="1627"/>
      <c r="H6" s="1627"/>
      <c r="I6" s="1281"/>
    </row>
    <row r="7" spans="1:12" ht="13.2">
      <c r="A7" s="3286"/>
      <c r="B7" s="3273"/>
      <c r="C7" s="3291"/>
      <c r="D7" s="3309"/>
      <c r="E7" s="123" t="s">
        <v>1271</v>
      </c>
      <c r="F7" s="1627"/>
      <c r="G7" s="1627"/>
      <c r="H7" s="1627"/>
      <c r="I7" s="1281"/>
    </row>
    <row r="8" spans="1:12" ht="13.2">
      <c r="A8" s="3286" t="s">
        <v>1272</v>
      </c>
      <c r="B8" s="3273">
        <v>15</v>
      </c>
      <c r="C8" s="3289"/>
      <c r="D8" s="3309"/>
      <c r="E8" s="123" t="s">
        <v>1273</v>
      </c>
      <c r="F8" s="1627"/>
      <c r="G8" s="1627"/>
      <c r="H8" s="1627"/>
      <c r="I8" s="1281"/>
    </row>
    <row r="9" spans="1:12" ht="13.2">
      <c r="A9" s="3286"/>
      <c r="B9" s="3273"/>
      <c r="C9" s="3291"/>
      <c r="D9" s="3309"/>
      <c r="E9" s="123" t="s">
        <v>1274</v>
      </c>
      <c r="F9" s="1627"/>
      <c r="G9" s="1627"/>
      <c r="H9" s="1627"/>
      <c r="I9" s="1281"/>
    </row>
    <row r="10" spans="1:12" ht="13.2">
      <c r="A10" s="3286" t="s">
        <v>1275</v>
      </c>
      <c r="B10" s="3273">
        <v>15</v>
      </c>
      <c r="C10" s="3289"/>
      <c r="D10" s="3309"/>
      <c r="E10" s="123" t="s">
        <v>1276</v>
      </c>
      <c r="F10" s="1627"/>
      <c r="G10" s="1627"/>
      <c r="H10" s="1627"/>
      <c r="I10" s="1281"/>
    </row>
    <row r="11" spans="1:12" ht="13.2">
      <c r="A11" s="3286"/>
      <c r="B11" s="3273"/>
      <c r="C11" s="3291"/>
      <c r="D11" s="3309"/>
      <c r="E11" s="123" t="s">
        <v>1277</v>
      </c>
      <c r="F11" s="1627"/>
      <c r="G11" s="1627"/>
      <c r="H11" s="1627"/>
      <c r="I11" s="1281"/>
    </row>
    <row r="12" spans="1:12" ht="13.2">
      <c r="A12" s="3286" t="s">
        <v>1278</v>
      </c>
      <c r="B12" s="3273">
        <v>15</v>
      </c>
      <c r="C12" s="3289"/>
      <c r="D12" s="3309"/>
      <c r="E12" s="123" t="s">
        <v>1279</v>
      </c>
      <c r="F12" s="1627"/>
      <c r="G12" s="1627"/>
      <c r="H12" s="1627"/>
      <c r="I12" s="1281"/>
    </row>
    <row r="13" spans="1:12" ht="13.2">
      <c r="A13" s="3286"/>
      <c r="B13" s="3273"/>
      <c r="C13" s="3291"/>
      <c r="D13" s="3309"/>
      <c r="E13" s="123" t="s">
        <v>1280</v>
      </c>
      <c r="F13" s="1627"/>
      <c r="G13" s="1627"/>
      <c r="H13" s="1627"/>
      <c r="I13" s="1281"/>
    </row>
    <row r="14" spans="1:12" ht="13.2">
      <c r="A14" s="3286" t="s">
        <v>1281</v>
      </c>
      <c r="B14" s="3273">
        <v>30</v>
      </c>
      <c r="C14" s="3289">
        <v>55</v>
      </c>
      <c r="D14" s="3309">
        <v>45</v>
      </c>
      <c r="E14" s="123" t="s">
        <v>1282</v>
      </c>
      <c r="F14" s="1627"/>
      <c r="G14" s="1627"/>
      <c r="H14" s="1627"/>
      <c r="I14" s="1281"/>
    </row>
    <row r="15" spans="1:12" ht="13.2">
      <c r="A15" s="3286"/>
      <c r="B15" s="3273"/>
      <c r="C15" s="3290"/>
      <c r="D15" s="3309"/>
      <c r="E15" s="123" t="s">
        <v>1283</v>
      </c>
      <c r="F15" s="1627"/>
      <c r="G15" s="1627"/>
      <c r="H15" s="1627"/>
      <c r="I15" s="1281"/>
    </row>
    <row r="16" spans="1:12" ht="13.2">
      <c r="A16" s="3286"/>
      <c r="B16" s="3273"/>
      <c r="C16" s="3291"/>
      <c r="D16" s="3309"/>
      <c r="E16" s="123" t="s">
        <v>1284</v>
      </c>
      <c r="F16" s="1627"/>
      <c r="G16" s="1627"/>
      <c r="H16" s="1627"/>
      <c r="I16" s="1281"/>
    </row>
    <row r="17" spans="1:36" ht="14.4">
      <c r="A17" s="1628" t="s">
        <v>1285</v>
      </c>
      <c r="B17" s="54"/>
      <c r="C17" s="124">
        <f>SUM(C5:C16)</f>
        <v>55</v>
      </c>
      <c r="D17" s="124">
        <f>SUM(D5:D16)</f>
        <v>45</v>
      </c>
      <c r="E17" s="121"/>
      <c r="F17" s="121"/>
      <c r="G17" s="121"/>
      <c r="H17" s="121"/>
      <c r="I17" s="121"/>
      <c r="K17" s="294"/>
      <c r="L17" s="294" t="s">
        <v>1286</v>
      </c>
      <c r="M17" s="294" t="s">
        <v>1287</v>
      </c>
    </row>
    <row r="18" spans="1:36" ht="31.95" customHeight="1" thickBot="1">
      <c r="A18" s="1629" t="s">
        <v>1288</v>
      </c>
      <c r="B18" s="1542"/>
      <c r="C18" s="125">
        <f>ROUND(C17/SUM(C17:D17),2)</f>
        <v>0.55000000000000004</v>
      </c>
      <c r="D18" s="125">
        <f>1-C18</f>
        <v>0.44999999999999996</v>
      </c>
      <c r="E18" s="3296" t="s">
        <v>2131</v>
      </c>
      <c r="F18" s="3297"/>
      <c r="G18" s="3297"/>
      <c r="H18" s="3297"/>
      <c r="I18" s="3297"/>
      <c r="K18" s="294" t="s">
        <v>1289</v>
      </c>
      <c r="L18" s="294">
        <f>IF(C1="",'数据-汇总表'!E3,SUMIF(项目类型,C1,'数据-汇总表'!E17:E26)+SUMIF(项目类型,C1,'数据-汇总表'!I17:I26))</f>
        <v>3830.64</v>
      </c>
      <c r="M18" s="294">
        <f>IF(C1="",'数据-汇总表'!E3,SUMIF(项目类型,C1,'数据-汇总表'!E17:E26))</f>
        <v>3830.64</v>
      </c>
    </row>
    <row r="19" spans="1:36" ht="14.4">
      <c r="A19" s="1630" t="s">
        <v>1290</v>
      </c>
      <c r="B19" s="1631" t="s">
        <v>1291</v>
      </c>
      <c r="C19" s="126">
        <f ca="1">SUMIF(INDIRECT("'"&amp;C4&amp;"'"&amp;"!A:A"),结果表!B19,INDIRECT("'"&amp;C4&amp;"'"&amp;"!B:B"))</f>
        <v>5102.0294000000004</v>
      </c>
      <c r="D19" s="127">
        <f ca="1">SUMIF(INDIRECT("'"&amp;D4&amp;"'"&amp;"!A:A"),结果表!B19,INDIRECT("'"&amp;D4&amp;"'"&amp;"!B:B"))</f>
        <v>2965</v>
      </c>
      <c r="E19" s="1630" t="s">
        <v>1292</v>
      </c>
      <c r="F19" s="1631" t="s">
        <v>1291</v>
      </c>
      <c r="G19" s="128">
        <f ca="1">ROUND(C19*$C$18+D19*$D$18,0)</f>
        <v>4140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13319</v>
      </c>
      <c r="D20" s="130">
        <f ca="1">SUMIF(INDIRECT("'"&amp;D4&amp;"'"&amp;"!A:A"),结果表!B20,INDIRECT("'"&amp;D4&amp;"'"&amp;"!B:B"))</f>
        <v>7740</v>
      </c>
      <c r="E20" s="1633"/>
      <c r="F20" s="43" t="s">
        <v>1295</v>
      </c>
      <c r="G20" s="131">
        <f ca="1">ROUND(C20*$C$18+D20*$D$18,0)</f>
        <v>10808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0.7207519055649243</v>
      </c>
      <c r="E22" s="121"/>
      <c r="F22" s="121"/>
      <c r="G22" s="121"/>
      <c r="H22" s="121"/>
      <c r="I22" s="121"/>
    </row>
    <row r="23" spans="1:36" ht="13.8" thickBot="1">
      <c r="A23" s="646"/>
      <c r="B23" s="646"/>
      <c r="C23" s="646"/>
      <c r="D23" s="646"/>
      <c r="E23" s="121"/>
      <c r="F23" s="121"/>
      <c r="G23" s="121"/>
      <c r="H23" s="121"/>
      <c r="I23" s="121"/>
    </row>
    <row r="24" spans="1:36" ht="14.4">
      <c r="A24" s="3280" t="s">
        <v>1299</v>
      </c>
      <c r="B24" s="1631" t="s">
        <v>1291</v>
      </c>
      <c r="C24" s="128">
        <f>IF(B30=0,0,D30)</f>
        <v>0</v>
      </c>
      <c r="D24" s="1637"/>
      <c r="E24" s="121"/>
      <c r="F24" s="121"/>
      <c r="G24" s="121"/>
      <c r="H24" s="121"/>
      <c r="I24" s="121"/>
    </row>
    <row r="25" spans="1:36" ht="14.4">
      <c r="A25" s="328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10808</v>
      </c>
      <c r="D32" s="1641" t="s">
        <v>3510</v>
      </c>
      <c r="E32" s="121"/>
      <c r="F32" s="121"/>
      <c r="G32" s="121"/>
      <c r="H32" s="121"/>
      <c r="I32" s="121"/>
    </row>
    <row r="33" spans="1:15" ht="14.4">
      <c r="A33" s="740" t="s">
        <v>1306</v>
      </c>
      <c r="B33" s="123"/>
      <c r="C33" s="1642" t="s">
        <v>3511</v>
      </c>
      <c r="D33" s="1643" t="s">
        <v>3430</v>
      </c>
      <c r="E33" s="1644" t="s">
        <v>1307</v>
      </c>
      <c r="F33" s="1645" t="str">
        <f>IF(D32="楼面单价","取值（单价）","取值（总价）")</f>
        <v>取值（单价）</v>
      </c>
      <c r="G33" s="121"/>
      <c r="H33" s="121"/>
      <c r="I33" s="121"/>
    </row>
    <row r="34" spans="1:15" ht="14.4">
      <c r="A34" s="1646"/>
      <c r="B34" s="1647" t="s">
        <v>1308</v>
      </c>
      <c r="C34" s="140">
        <f ca="1">IF(C33="自定义",F34,C32-C35)</f>
        <v>5199</v>
      </c>
      <c r="D34" s="808">
        <f ca="1">IF(C33="自定义",ROUND(C34/C32,3),IF(C33="收益比率",SUMIF(INDIRECT("'"&amp;D33&amp;"'"&amp;"!b:b"),"土地收益比率",INDIRECT("'"&amp;D33&amp;"'"&amp;"!c:c")),SUMIF(INDIRECT("'"&amp;D33&amp;"'"&amp;"!b:b"),"土地成本比率",INDIRECT("'"&amp;D33&amp;"'"&amp;"!c:c"))))</f>
        <v>0.48099999999999998</v>
      </c>
      <c r="E34" s="1648" t="s">
        <v>1309</v>
      </c>
      <c r="F34" s="1243"/>
      <c r="G34" s="121"/>
      <c r="H34" s="121"/>
      <c r="I34" s="121"/>
    </row>
    <row r="35" spans="1:15" ht="15" thickBot="1">
      <c r="A35" s="1649"/>
      <c r="B35" s="1650" t="s">
        <v>1310</v>
      </c>
      <c r="C35" s="1090">
        <f ca="1">IF(C33="自定义",F35,ROUND(C32*D35,0))</f>
        <v>5609</v>
      </c>
      <c r="D35" s="1091">
        <f ca="1">IF(C33="自定义",ROUND(C35/C32,3),IF(C33="收益比率",SUMIF(INDIRECT("'"&amp;D33&amp;"'"&amp;"!b:b"),"建筑物收益比率",INDIRECT("'"&amp;D33&amp;"'"&amp;"!c:c")),SUMIF(INDIRECT("'"&amp;D33&amp;"'"&amp;"!b:b"),"建筑物成本比率",INDIRECT("'"&amp;D33&amp;"'"&amp;"!c:c"))))</f>
        <v>0.51900000000000002</v>
      </c>
      <c r="E35" s="1651" t="s">
        <v>1311</v>
      </c>
      <c r="F35" s="146"/>
      <c r="G35" s="121"/>
      <c r="H35" s="121"/>
      <c r="I35" s="121"/>
    </row>
    <row r="36" spans="1:15" ht="15" thickBot="1">
      <c r="A36" s="3300" t="s">
        <v>1312</v>
      </c>
      <c r="B36" s="1652" t="s">
        <v>1313</v>
      </c>
      <c r="C36" s="137"/>
      <c r="D36" s="1653"/>
      <c r="E36" s="1567"/>
      <c r="F36" s="1654"/>
      <c r="G36" s="121"/>
      <c r="H36" s="121"/>
      <c r="I36" s="121"/>
    </row>
    <row r="37" spans="1:15" ht="15" thickBot="1">
      <c r="A37" s="3301"/>
      <c r="B37" s="1555" t="s">
        <v>1314</v>
      </c>
      <c r="C37" s="139"/>
      <c r="D37" s="1071"/>
      <c r="E37" s="1071"/>
      <c r="F37" s="1654"/>
      <c r="G37" s="121"/>
      <c r="H37" s="121"/>
      <c r="I37" s="121"/>
    </row>
    <row r="38" spans="1:15" ht="15" thickBot="1">
      <c r="A38" s="330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7" t="s">
        <v>1326</v>
      </c>
      <c r="B45" s="3278"/>
      <c r="C45" s="3279"/>
      <c r="D45" s="147">
        <f ca="1">ROUND(H101*F45,0)</f>
        <v>4140</v>
      </c>
      <c r="E45" s="148" t="s">
        <v>1327</v>
      </c>
      <c r="F45" s="149">
        <v>1</v>
      </c>
      <c r="G45" s="150" t="s">
        <v>1328</v>
      </c>
      <c r="H45" s="121"/>
      <c r="I45" s="121"/>
      <c r="J45" s="3355" t="s">
        <v>1329</v>
      </c>
      <c r="K45" s="3355"/>
      <c r="L45" s="3355"/>
      <c r="M45" s="3355"/>
      <c r="N45" s="3355"/>
      <c r="O45" s="3355"/>
    </row>
    <row r="46" spans="1:15" ht="14.25" customHeight="1">
      <c r="A46" s="3274" t="s">
        <v>1330</v>
      </c>
      <c r="B46" s="3275"/>
      <c r="C46" s="3275"/>
      <c r="D46" s="3275"/>
      <c r="E46" s="3275"/>
      <c r="F46" s="3275"/>
      <c r="G46" s="3276"/>
      <c r="H46" s="1668"/>
      <c r="I46" s="151"/>
      <c r="J46" s="2310">
        <v>1</v>
      </c>
      <c r="K46" s="3336" t="s">
        <v>1331</v>
      </c>
      <c r="L46" s="3336"/>
      <c r="M46" s="3356"/>
      <c r="N46" s="3356"/>
      <c r="O46" s="3356"/>
    </row>
    <row r="47" spans="1:15" ht="12" customHeight="1">
      <c r="A47" s="152" t="s">
        <v>1332</v>
      </c>
      <c r="B47" s="153"/>
      <c r="C47" s="154"/>
      <c r="D47" s="1024" t="s">
        <v>1333</v>
      </c>
      <c r="E47" s="294" t="s">
        <v>1334</v>
      </c>
      <c r="F47" s="155" t="s">
        <v>1335</v>
      </c>
      <c r="G47" s="2333" t="s">
        <v>1336</v>
      </c>
      <c r="H47" s="2334"/>
      <c r="I47" s="151"/>
      <c r="J47" s="2310">
        <v>2</v>
      </c>
      <c r="K47" s="3336" t="s">
        <v>1337</v>
      </c>
      <c r="L47" s="3336"/>
      <c r="M47" s="3357">
        <f>'数据-取费表'!B2</f>
        <v>45902</v>
      </c>
      <c r="N47" s="3357"/>
      <c r="O47" s="3357"/>
    </row>
    <row r="48" spans="1:15" ht="26.4">
      <c r="A48" s="3305" t="s">
        <v>1338</v>
      </c>
      <c r="B48" s="3288"/>
      <c r="C48" s="328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36" t="s">
        <v>1340</v>
      </c>
      <c r="L48" s="3336"/>
      <c r="M48" s="3358">
        <f ca="1">H101</f>
        <v>4140</v>
      </c>
      <c r="N48" s="3358"/>
      <c r="O48" s="3358"/>
    </row>
    <row r="49" spans="1:35" ht="25.5" customHeight="1">
      <c r="A49" s="2152" t="s">
        <v>1341</v>
      </c>
      <c r="B49" s="3272" t="s">
        <v>1342</v>
      </c>
      <c r="C49" s="3272"/>
      <c r="D49" s="1478">
        <v>0</v>
      </c>
      <c r="E49" s="316" t="s">
        <v>1343</v>
      </c>
      <c r="F49" s="2233" t="s">
        <v>28</v>
      </c>
      <c r="G49" s="3342"/>
      <c r="H49" s="2134" t="s">
        <v>2134</v>
      </c>
      <c r="I49" s="2135"/>
      <c r="J49" s="2310">
        <v>4</v>
      </c>
      <c r="K49" s="3336" t="str">
        <f>IF(项目基本情况!E8="房地产抵押价值","房地产抵押价值","抵押担保权已注销时的房地产抵押价值")</f>
        <v>房地产抵押价值</v>
      </c>
      <c r="L49" s="3336"/>
      <c r="M49" s="3358">
        <f ca="1">IF(项目基本情况!E8="房地产抵押价值",H107,H109)</f>
        <v>4140</v>
      </c>
      <c r="N49" s="3358"/>
      <c r="O49" s="3358"/>
    </row>
    <row r="50" spans="1:35" ht="25.5" customHeight="1">
      <c r="A50" s="2338"/>
      <c r="B50" s="3272" t="s">
        <v>1344</v>
      </c>
      <c r="C50" s="3272"/>
      <c r="D50" s="2189"/>
      <c r="E50" s="323"/>
      <c r="F50" s="2233"/>
      <c r="G50" s="3343"/>
      <c r="H50" s="2136" t="s">
        <v>2135</v>
      </c>
      <c r="I50" s="2135"/>
      <c r="J50" s="3355" t="s">
        <v>1345</v>
      </c>
      <c r="K50" s="3355"/>
      <c r="L50" s="3355"/>
      <c r="M50" s="3355"/>
      <c r="N50" s="3355"/>
      <c r="O50" s="3355"/>
    </row>
    <row r="51" spans="1:35" ht="20.399999999999999" customHeight="1">
      <c r="A51" s="2339"/>
      <c r="B51" s="3272" t="s">
        <v>1346</v>
      </c>
      <c r="C51" s="3272"/>
      <c r="D51" s="1024"/>
      <c r="E51" s="319"/>
      <c r="F51" s="2233"/>
      <c r="G51" s="3344"/>
      <c r="H51" s="2136" t="s">
        <v>2136</v>
      </c>
      <c r="I51" s="2135"/>
      <c r="J51" s="2311" t="s">
        <v>1347</v>
      </c>
      <c r="K51" s="3336" t="s">
        <v>1348</v>
      </c>
      <c r="L51" s="3336"/>
      <c r="M51" s="2311" t="s">
        <v>1349</v>
      </c>
      <c r="N51" s="2311" t="s">
        <v>1350</v>
      </c>
      <c r="O51" s="2311" t="s">
        <v>1351</v>
      </c>
    </row>
    <row r="52" spans="1:35" ht="24" customHeight="1">
      <c r="A52" s="2153" t="s">
        <v>1352</v>
      </c>
      <c r="B52" s="3272" t="s">
        <v>1353</v>
      </c>
      <c r="C52" s="3272"/>
      <c r="D52" s="1024">
        <f ca="1">ROUND(D45*'数据-取费表'!B41/(1+'数据-取费表'!C42),0)</f>
        <v>217</v>
      </c>
      <c r="E52" s="1256" t="s">
        <v>1354</v>
      </c>
      <c r="F52" s="2340">
        <f>'数据-取费表'!B41</f>
        <v>5.5000000000000007E-2</v>
      </c>
      <c r="G52" s="2341"/>
      <c r="H52" s="2331"/>
      <c r="I52" s="1669"/>
      <c r="J52" s="2310">
        <v>1</v>
      </c>
      <c r="K52" s="3337" t="s">
        <v>1355</v>
      </c>
      <c r="L52" s="3337"/>
      <c r="M52" s="2312" t="b">
        <f>D48</f>
        <v>0</v>
      </c>
      <c r="N52" s="2310" t="str">
        <f>E48</f>
        <v>销售额×税（费）率</v>
      </c>
      <c r="O52" s="2313">
        <f>F48</f>
        <v>5.5000000000000007E-2</v>
      </c>
    </row>
    <row r="53" spans="1:35" ht="12" customHeight="1">
      <c r="A53" s="2153" t="s">
        <v>1356</v>
      </c>
      <c r="B53" s="3298" t="s">
        <v>2291</v>
      </c>
      <c r="C53" s="3299"/>
      <c r="D53" s="1024">
        <f ca="1">ROUND(D45*'数据-取费表'!B41/(1+'数据-取费表'!C42),0)</f>
        <v>217</v>
      </c>
      <c r="E53" s="1256" t="s">
        <v>1354</v>
      </c>
      <c r="F53" s="2340">
        <f>'数据-取费表'!B41</f>
        <v>5.5000000000000007E-2</v>
      </c>
      <c r="G53" s="2341"/>
      <c r="H53" s="2331"/>
      <c r="I53" s="1669"/>
      <c r="J53" s="2310">
        <v>2</v>
      </c>
      <c r="K53" s="3337" t="s">
        <v>1357</v>
      </c>
      <c r="L53" s="3337"/>
      <c r="M53" s="2312">
        <f t="shared" ref="M53:O54" ca="1" si="0">D55</f>
        <v>2</v>
      </c>
      <c r="N53" s="2310" t="str">
        <f t="shared" si="0"/>
        <v>销售额×税（费）率</v>
      </c>
      <c r="O53" s="2313" t="str">
        <f t="shared" si="0"/>
        <v>免征</v>
      </c>
    </row>
    <row r="54" spans="1:35" ht="12" customHeight="1">
      <c r="A54" s="2153" t="s">
        <v>1358</v>
      </c>
      <c r="B54" s="3298" t="s">
        <v>2292</v>
      </c>
      <c r="C54" s="3299"/>
      <c r="D54" s="1024">
        <f ca="1">C68</f>
        <v>217</v>
      </c>
      <c r="E54" s="319" t="s">
        <v>1359</v>
      </c>
      <c r="F54" s="2340">
        <f>'数据-取费表'!B41</f>
        <v>5.5000000000000007E-2</v>
      </c>
      <c r="G54" s="2341"/>
      <c r="H54" s="2342"/>
      <c r="I54" s="1669"/>
      <c r="J54" s="2310">
        <v>3</v>
      </c>
      <c r="K54" s="3337" t="s">
        <v>1360</v>
      </c>
      <c r="L54" s="3337"/>
      <c r="M54" s="2312">
        <f t="shared" ca="1" si="0"/>
        <v>2347</v>
      </c>
      <c r="N54" s="2310" t="str">
        <f t="shared" si="0"/>
        <v>增值额×税（费）率</v>
      </c>
      <c r="O54" s="2314" t="str">
        <f t="shared" si="0"/>
        <v>免征</v>
      </c>
    </row>
    <row r="55" spans="1:35" ht="24" customHeight="1">
      <c r="A55" s="3287" t="s">
        <v>1361</v>
      </c>
      <c r="B55" s="3288"/>
      <c r="C55" s="3288"/>
      <c r="D55" s="12">
        <f ca="1">IF(H55="个人住宅",0,ROUND(D45*I55,0))</f>
        <v>2</v>
      </c>
      <c r="E55" s="1256" t="s">
        <v>1362</v>
      </c>
      <c r="F55" s="2340" t="str">
        <f>IF(H55="正常",I55,"免征")</f>
        <v>免征</v>
      </c>
      <c r="G55" s="2341"/>
      <c r="H55" s="2337"/>
      <c r="I55" s="157">
        <f>'数据-取费表'!B49</f>
        <v>5.0000000000000001E-4</v>
      </c>
      <c r="J55" s="2310">
        <f>IF(H59="非个人房产","",4)</f>
        <v>4</v>
      </c>
      <c r="K55" s="3337" t="str">
        <f>IF(H59="非个人房产","——","个人所得税")</f>
        <v>个人所得税</v>
      </c>
      <c r="L55" s="3337"/>
      <c r="M55" s="2315">
        <f ca="1">D59</f>
        <v>39</v>
      </c>
      <c r="N55" s="1883" t="str">
        <f>E59</f>
        <v>差额计税</v>
      </c>
      <c r="O55" s="2316">
        <f>F59</f>
        <v>0.01</v>
      </c>
    </row>
    <row r="56" spans="1:35" ht="25.2">
      <c r="A56" s="3287" t="s">
        <v>1363</v>
      </c>
      <c r="B56" s="3288"/>
      <c r="C56" s="3288"/>
      <c r="D56" s="12">
        <f ca="1">IF(H56="个人住宅",D57,D58)</f>
        <v>2347</v>
      </c>
      <c r="E56" s="1256" t="s">
        <v>1364</v>
      </c>
      <c r="F56" s="2340" t="str">
        <f>IF(H56="正常",F58,"免征")</f>
        <v>免征</v>
      </c>
      <c r="G56" s="2343" t="s">
        <v>1365</v>
      </c>
      <c r="H56" s="2344"/>
      <c r="I56" s="1670"/>
      <c r="J56" s="2310" t="str">
        <f>IF(项目基本情况!K6="上海银行",IF(J55="",4,J55+1),"")</f>
        <v/>
      </c>
      <c r="K56" s="3360" t="str">
        <f>IF(项目基本情况!K6="上海银行","其他处置费用","")</f>
        <v/>
      </c>
      <c r="L56" s="3361"/>
      <c r="M56" s="2312" t="str">
        <f>IF(项目基本情况!K6="上海银行",M69,"")</f>
        <v/>
      </c>
      <c r="N56" s="3360" t="str">
        <f>IF(项目基本情况!K6="上海银行","包含处置中涉及的律师、诉讼、拍卖、评估等费用","")</f>
        <v/>
      </c>
      <c r="O56" s="3363"/>
    </row>
    <row r="57" spans="1:35" ht="13.2">
      <c r="A57" s="2153" t="s">
        <v>1341</v>
      </c>
      <c r="B57" s="3298" t="s">
        <v>1366</v>
      </c>
      <c r="C57" s="3299"/>
      <c r="D57" s="1478">
        <v>0</v>
      </c>
      <c r="E57" s="316" t="s">
        <v>1343</v>
      </c>
      <c r="F57" s="294"/>
      <c r="G57" s="2341"/>
      <c r="H57" s="2345"/>
      <c r="I57" s="1670"/>
      <c r="J57" s="3337">
        <f>IF(AND(J55="",J56=""),4,IF(项目基本情况!K6="上海银行",结果表!J56+1,结果表!J55+1))</f>
        <v>5</v>
      </c>
      <c r="K57" s="3337" t="s">
        <v>1367</v>
      </c>
      <c r="L57" s="2317" t="s">
        <v>1368</v>
      </c>
      <c r="M57" s="2318"/>
      <c r="N57" s="2319">
        <f ca="1">SUMIF(M52:M56,"&lt;9e307")</f>
        <v>2388</v>
      </c>
      <c r="O57" s="2320"/>
      <c r="P57" s="2465">
        <f ca="1">N57/M49</f>
        <v>0.57681159420289851</v>
      </c>
    </row>
    <row r="58" spans="1:35" ht="25.2">
      <c r="A58" s="2153" t="s">
        <v>1352</v>
      </c>
      <c r="B58" s="3298" t="s">
        <v>1369</v>
      </c>
      <c r="C58" s="3272"/>
      <c r="D58" s="12">
        <f ca="1">IF(H58="转让取得",C81,C97)</f>
        <v>2347</v>
      </c>
      <c r="E58" s="1256" t="s">
        <v>1364</v>
      </c>
      <c r="F58" s="294" t="s">
        <v>28</v>
      </c>
      <c r="G58" s="2341"/>
      <c r="H58" s="2344"/>
      <c r="I58" s="1670"/>
      <c r="J58" s="3337"/>
      <c r="K58" s="3337"/>
      <c r="L58" s="2317" t="s">
        <v>1370</v>
      </c>
      <c r="M58" s="2321"/>
      <c r="N58" s="2322" t="str">
        <f ca="1">NUMBERSTRING(INT(N57*10000),2)&amp;"元整"</f>
        <v>贰仟叁佰捌拾捌万元整</v>
      </c>
      <c r="O58" s="2323"/>
    </row>
    <row r="59" spans="1:35" ht="24.6" thickBot="1">
      <c r="A59" s="3340" t="s">
        <v>1371</v>
      </c>
      <c r="B59" s="3341"/>
      <c r="C59" s="3341"/>
      <c r="D59" s="2346">
        <f ca="1">IF(H59="非个人房产","——",IF(H59="个人住宅（满五唯一有凭证）",0,IF(H59="个人其他（无凭证）",ROUND(D45*F59,0),ROUND(C67*F59,0))))</f>
        <v>39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8">
        <f>J57+1</f>
        <v>6</v>
      </c>
      <c r="K59" s="3337" t="s">
        <v>1372</v>
      </c>
      <c r="L59" s="2310" t="s">
        <v>1368</v>
      </c>
      <c r="M59" s="2324"/>
      <c r="N59" s="2325">
        <f ca="1">M49-N57</f>
        <v>1752</v>
      </c>
      <c r="O59" s="2326"/>
    </row>
    <row r="60" spans="1:35" ht="12" customHeight="1">
      <c r="A60" s="1671"/>
      <c r="B60" s="646"/>
      <c r="C60" s="646"/>
      <c r="D60" s="646"/>
      <c r="E60" s="1466"/>
      <c r="F60" s="1670"/>
      <c r="G60" s="1670"/>
      <c r="H60" s="151"/>
      <c r="I60" s="121"/>
      <c r="J60" s="3339"/>
      <c r="K60" s="3337"/>
      <c r="L60" s="2317" t="s">
        <v>1370</v>
      </c>
      <c r="M60" s="2321"/>
      <c r="N60" s="2322" t="str">
        <f ca="1">NUMBERSTRING(INT(N59*10000),2)&amp;"元整"</f>
        <v>壹仟柒佰伍拾贰万元整</v>
      </c>
      <c r="O60" s="2323"/>
    </row>
    <row r="61" spans="1:35" ht="13.8" thickBot="1">
      <c r="A61" s="3285" t="s">
        <v>1373</v>
      </c>
      <c r="B61" s="3285"/>
      <c r="C61" s="3285"/>
      <c r="D61" s="3285"/>
      <c r="E61" s="3285"/>
      <c r="F61" s="1670"/>
      <c r="G61" s="1670"/>
      <c r="H61" s="151"/>
      <c r="I61" s="121"/>
      <c r="J61" s="2310">
        <f>J59+1</f>
        <v>7</v>
      </c>
      <c r="K61" s="3337" t="s">
        <v>1374</v>
      </c>
      <c r="L61" s="3337"/>
      <c r="M61" s="2327"/>
      <c r="N61" s="2328">
        <f ca="1">ROUND(N59*10000/'数据-汇总表'!E3,0)</f>
        <v>4574</v>
      </c>
      <c r="O61" s="2329"/>
    </row>
    <row r="62" spans="1:35" ht="13.2">
      <c r="A62" s="3303" t="s">
        <v>1375</v>
      </c>
      <c r="B62" s="3304"/>
      <c r="C62" s="1865"/>
      <c r="D62" s="1865" t="s">
        <v>1376</v>
      </c>
      <c r="E62" s="158" t="s">
        <v>1377</v>
      </c>
      <c r="F62" s="1670"/>
      <c r="G62" s="1670"/>
      <c r="H62" s="151"/>
      <c r="I62" s="121"/>
    </row>
    <row r="63" spans="1:35" ht="13.2">
      <c r="A63" s="165" t="s">
        <v>330</v>
      </c>
      <c r="B63" s="159" t="s">
        <v>1378</v>
      </c>
      <c r="C63" s="2350">
        <f ca="1">ROUND((C64+C65)/(1+'数据-取费表'!C42),0)</f>
        <v>3943</v>
      </c>
      <c r="D63" s="159"/>
      <c r="E63" s="160"/>
      <c r="F63" s="1670"/>
      <c r="G63" s="1670"/>
      <c r="H63" s="151"/>
      <c r="I63" s="121"/>
      <c r="J63" s="3362" t="s">
        <v>1379</v>
      </c>
      <c r="K63" s="1245" t="s">
        <v>1380</v>
      </c>
      <c r="L63" s="1245">
        <f ca="1">IF(M49&gt;10000,M49*0.5%,IF(AND(M49&gt;1000,M49&lt;=10000),M49*1%,IF(AND(M49&gt;100,M49&lt;=1000),M49*3%,IF(AND(M49&gt;10,M49&lt;=100),M49*5%,M49*8%))))</f>
        <v>41.4</v>
      </c>
      <c r="M63" s="294">
        <f ca="1">ROUND(L63,1)</f>
        <v>41.4</v>
      </c>
      <c r="N63" s="2330"/>
      <c r="Z63" s="1623"/>
      <c r="AI63" s="1561"/>
    </row>
    <row r="64" spans="1:35" ht="14.25" customHeight="1">
      <c r="A64" s="161" t="s">
        <v>325</v>
      </c>
      <c r="B64" s="162" t="s">
        <v>1381</v>
      </c>
      <c r="C64" s="2351">
        <f ca="1">D45</f>
        <v>4140</v>
      </c>
      <c r="D64" s="162" t="s">
        <v>26</v>
      </c>
      <c r="E64" s="164"/>
      <c r="F64" s="1670"/>
      <c r="G64" s="1670"/>
      <c r="H64" s="151"/>
      <c r="I64" s="121"/>
      <c r="J64" s="3362"/>
      <c r="K64" s="1245" t="s">
        <v>1382</v>
      </c>
      <c r="L64" s="1245">
        <f ca="1">IF(M49&gt;2000,M49*0.5%,IF(AND(M49&gt;1000,M49&lt;=2000),M49*0.6%,IF(AND(M49&gt;500,M49&lt;=1000),M49*0.7%,IF(AND(M49&gt;200,M49&lt;=500),M49*0.8%,IF(AND(M49&gt;100,M49&lt;=200),M49*0.9%,IF(AND(M49&gt;50,M49&lt;=100),M49*1%,IF(AND(M49&gt;20,M49&lt;=50),M49*1.5%,IF(AND(M49&gt;10,M49&lt;=20),M49*2%,IF(AND(M49&gt;1,M49&lt;=10),M49*2.5%)))))))))</f>
        <v>20.7</v>
      </c>
      <c r="M64" s="294">
        <f t="shared" ref="M64:M65" ca="1" si="1">ROUND(L64,1)</f>
        <v>20.7</v>
      </c>
      <c r="N64" s="2331" t="s">
        <v>1383</v>
      </c>
      <c r="Z64" s="1623"/>
      <c r="AI64" s="1561"/>
    </row>
    <row r="65" spans="1:35" ht="14.25" customHeight="1">
      <c r="A65" s="161" t="s">
        <v>326</v>
      </c>
      <c r="B65" s="162" t="s">
        <v>1384</v>
      </c>
      <c r="C65" s="2352"/>
      <c r="D65" s="162"/>
      <c r="E65" s="164"/>
      <c r="F65" s="1670"/>
      <c r="G65" s="1670"/>
      <c r="H65" s="151"/>
      <c r="I65" s="121"/>
      <c r="J65" s="3362"/>
      <c r="K65" s="1245" t="s">
        <v>1385</v>
      </c>
      <c r="L65" s="1245">
        <f ca="1">IF(M49&gt;1000,M49*0.1%,IF(AND(M49&gt;500,M49&lt;=1000),M49*0.5%,IF(AND(M49&gt;50,M49&lt;=500),M49*1%,IF(AND(M49&gt;1,M49&lt;=50),M49*1.5%))))</f>
        <v>4.1399999999999997</v>
      </c>
      <c r="M65" s="294">
        <f t="shared" ca="1" si="1"/>
        <v>4.0999999999999996</v>
      </c>
      <c r="N65" s="2331" t="s">
        <v>1383</v>
      </c>
      <c r="Z65" s="1623"/>
      <c r="AI65" s="1561"/>
    </row>
    <row r="66" spans="1:35" ht="14.25" customHeight="1">
      <c r="A66" s="165" t="s">
        <v>327</v>
      </c>
      <c r="B66" s="166" t="s">
        <v>1386</v>
      </c>
      <c r="C66" s="2353"/>
      <c r="D66" s="166" t="s">
        <v>26</v>
      </c>
      <c r="E66" s="1251" t="s">
        <v>671</v>
      </c>
      <c r="F66" s="1670"/>
      <c r="G66" s="1670"/>
      <c r="H66" s="151"/>
      <c r="I66" s="121"/>
      <c r="J66" s="3362"/>
      <c r="K66" s="1245" t="s">
        <v>1387</v>
      </c>
      <c r="L66" s="1245">
        <f ca="1">M49*0.5%</f>
        <v>20.7</v>
      </c>
      <c r="M66" s="294">
        <f ca="1">IF(L66&gt;0.5,0.5,ROUND(L66,0))</f>
        <v>0.5</v>
      </c>
      <c r="N66" s="2331" t="s">
        <v>1388</v>
      </c>
      <c r="Z66" s="1623"/>
      <c r="AI66" s="1561"/>
    </row>
    <row r="67" spans="1:35" ht="14.25" customHeight="1">
      <c r="A67" s="165" t="s">
        <v>328</v>
      </c>
      <c r="B67" s="166" t="s">
        <v>1389</v>
      </c>
      <c r="C67" s="2354">
        <f ca="1">C63-C66</f>
        <v>3943</v>
      </c>
      <c r="D67" s="162" t="s">
        <v>26</v>
      </c>
      <c r="E67" s="164"/>
      <c r="F67" s="1670"/>
      <c r="G67" s="1670"/>
      <c r="H67" s="151"/>
      <c r="I67" s="121"/>
      <c r="J67" s="3362"/>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217</v>
      </c>
      <c r="D68" s="2356">
        <f>'数据-取费表'!B41</f>
        <v>5.5000000000000007E-2</v>
      </c>
      <c r="E68" s="170"/>
      <c r="F68" s="1670"/>
      <c r="G68" s="1670"/>
      <c r="H68" s="151"/>
      <c r="I68" s="121"/>
      <c r="J68" s="3362"/>
      <c r="K68" s="1245" t="s">
        <v>1392</v>
      </c>
      <c r="L68" s="1245">
        <f ca="1">IF(M49&gt;10000,M49*0.5%,IF(AND(M49&gt;5000,M49&lt;=10000),M49*1%,IF(AND(M49&gt;1000,M49&lt;=5000),M49*2%,IF(AND(M49&gt;200,M49&lt;=1000),M49*3%,M49*5%))))</f>
        <v>82.8</v>
      </c>
      <c r="M68" s="294">
        <f ca="1">ROUND(L68,1)</f>
        <v>82.8</v>
      </c>
      <c r="N68" s="2330"/>
      <c r="Z68" s="1623"/>
      <c r="AI68" s="1561"/>
    </row>
    <row r="69" spans="1:35" ht="16.5" customHeight="1">
      <c r="A69" s="1672"/>
      <c r="B69" s="1673"/>
      <c r="C69" s="1674"/>
      <c r="D69" s="1675"/>
      <c r="E69" s="1676"/>
      <c r="F69" s="1466"/>
      <c r="G69" s="1466"/>
      <c r="H69" s="1467"/>
      <c r="I69" s="646"/>
      <c r="J69" s="3362"/>
      <c r="K69" s="1245" t="s">
        <v>1393</v>
      </c>
      <c r="L69" s="1245"/>
      <c r="M69" s="294">
        <f ca="1">ROUND(SUM(M63:M68),0)</f>
        <v>152</v>
      </c>
      <c r="N69" s="2332">
        <f ca="1">M69/M49</f>
        <v>3.6714975845410627E-2</v>
      </c>
      <c r="Z69" s="1623"/>
      <c r="AI69" s="1561"/>
    </row>
    <row r="70" spans="1:35" s="642" customFormat="1" ht="14.4"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3" t="s">
        <v>1375</v>
      </c>
      <c r="B71" s="330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3943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8" t="s">
        <v>1402</v>
      </c>
      <c r="F76" s="3272"/>
      <c r="G76" s="3272"/>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20</v>
      </c>
      <c r="D78" s="2363">
        <f>'数据-取费表'!B43</f>
        <v>5.000000000000001E-3</v>
      </c>
      <c r="E78" s="3282" t="s">
        <v>1406</v>
      </c>
      <c r="F78" s="3283"/>
      <c r="G78" s="3283"/>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3923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196.15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2347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3" t="s">
        <v>1375</v>
      </c>
      <c r="B84" s="330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3943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20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64" t="s">
        <v>2129</v>
      </c>
      <c r="H90" s="33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2" t="s">
        <v>1419</v>
      </c>
      <c r="F91" s="3283"/>
      <c r="G91" s="328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2" t="s">
        <v>1422</v>
      </c>
      <c r="F92" s="3283"/>
      <c r="G92" s="3283"/>
      <c r="H92" s="329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20</v>
      </c>
      <c r="D93" s="2363">
        <f>'数据-取费表'!B43</f>
        <v>5.000000000000001E-3</v>
      </c>
      <c r="E93" s="3282" t="s">
        <v>1406</v>
      </c>
      <c r="F93" s="3283"/>
      <c r="G93" s="3283"/>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3" t="s">
        <v>1426</v>
      </c>
      <c r="F94" s="3294"/>
      <c r="G94" s="3294"/>
      <c r="H94" s="329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3923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196.15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2347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284"/>
      <c r="E100" s="3267" t="s">
        <v>1429</v>
      </c>
      <c r="F100" s="3267"/>
      <c r="G100" s="3267"/>
      <c r="H100" s="3284"/>
      <c r="I100" s="121"/>
    </row>
    <row r="101" spans="1:35" ht="18.75" customHeight="1">
      <c r="A101" s="3345" t="s">
        <v>1430</v>
      </c>
      <c r="B101" s="3346"/>
      <c r="C101" s="2371" t="str">
        <f>C4</f>
        <v>比较法-工业</v>
      </c>
      <c r="D101" s="2372" t="str">
        <f>D4</f>
        <v>收益法</v>
      </c>
      <c r="E101" s="3359" t="s">
        <v>1431</v>
      </c>
      <c r="F101" s="3316"/>
      <c r="G101" s="1687" t="s">
        <v>1432</v>
      </c>
      <c r="H101" s="2381">
        <f ca="1">H118</f>
        <v>4140</v>
      </c>
      <c r="I101" s="121"/>
    </row>
    <row r="102" spans="1:35" ht="18.75" customHeight="1">
      <c r="A102" s="3318" t="s">
        <v>1433</v>
      </c>
      <c r="B102" s="2370" t="s">
        <v>1432</v>
      </c>
      <c r="C102" s="2371">
        <f ca="1">IF(D32="楼面单价",ROUND(C19,0),C19)</f>
        <v>5102</v>
      </c>
      <c r="D102" s="2372">
        <f ca="1">IF(D32="楼面单价",ROUND(D19,0),D19)</f>
        <v>2965</v>
      </c>
      <c r="E102" s="3359"/>
      <c r="F102" s="3316"/>
      <c r="G102" s="1687" t="s">
        <v>1434</v>
      </c>
      <c r="H102" s="2341">
        <f ca="1">I118</f>
        <v>10808</v>
      </c>
      <c r="I102" s="121"/>
    </row>
    <row r="103" spans="1:35" ht="42.75" customHeight="1">
      <c r="A103" s="3318"/>
      <c r="B103" s="2370" t="s">
        <v>1434</v>
      </c>
      <c r="C103" s="2373">
        <f ca="1">C20</f>
        <v>13319</v>
      </c>
      <c r="D103" s="2374">
        <f ca="1">D20</f>
        <v>7740</v>
      </c>
      <c r="E103" s="3353" t="s">
        <v>1435</v>
      </c>
      <c r="F103" s="3354"/>
      <c r="G103" s="1688" t="s">
        <v>1436</v>
      </c>
      <c r="H103" s="2381">
        <f>IF(D36="正常操作",H104+H105+H106,H105+H106)</f>
        <v>0</v>
      </c>
      <c r="I103" s="121"/>
    </row>
    <row r="104" spans="1:35" ht="18.75" customHeight="1">
      <c r="A104" s="3318" t="s">
        <v>1437</v>
      </c>
      <c r="B104" s="2375" t="s">
        <v>1432</v>
      </c>
      <c r="C104" s="2376">
        <f ca="1">H118</f>
        <v>4140</v>
      </c>
      <c r="D104" s="2377"/>
      <c r="E104" s="1555" t="s">
        <v>1438</v>
      </c>
      <c r="F104" s="1548"/>
      <c r="G104" s="1688" t="s">
        <v>1436</v>
      </c>
      <c r="H104" s="2382">
        <f>IF(D36="同一抵押权人同一抵押物续贷",C36&amp;"（续贷，未扣减，详见特别提示）",C36)</f>
        <v>0</v>
      </c>
      <c r="I104" s="121"/>
    </row>
    <row r="105" spans="1:35" ht="18.75" customHeight="1" thickBot="1">
      <c r="A105" s="3319"/>
      <c r="B105" s="2378" t="s">
        <v>1434</v>
      </c>
      <c r="C105" s="2379">
        <f ca="1">I118</f>
        <v>10808</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5" t="str">
        <f>IF(项目基本情况!E8="已注销","——","3.房地产抵押价值")</f>
        <v>3.房地产抵押价值</v>
      </c>
      <c r="F107" s="3316"/>
      <c r="G107" s="1687" t="s">
        <v>1432</v>
      </c>
      <c r="H107" s="2381">
        <f ca="1">IF(E107="——","——",H101-H103)</f>
        <v>4140</v>
      </c>
      <c r="I107" s="121"/>
    </row>
    <row r="108" spans="1:35" ht="18.75" customHeight="1">
      <c r="A108" s="121"/>
      <c r="B108" s="121"/>
      <c r="C108" s="121"/>
      <c r="D108" s="121"/>
      <c r="E108" s="3315"/>
      <c r="F108" s="3316"/>
      <c r="G108" s="1687" t="s">
        <v>1434</v>
      </c>
      <c r="H108" s="2341">
        <f ca="1">IF(H107=H101,H102,ROUND(H107*10000/'数据-汇总表'!E3,0))</f>
        <v>10808</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7" t="s">
        <v>1432</v>
      </c>
      <c r="H109" s="2384" t="str">
        <f>IF(E109="——","——",H101-H105-H106)</f>
        <v>——</v>
      </c>
      <c r="I109" s="121"/>
    </row>
    <row r="110" spans="1:35" ht="18.75" customHeight="1">
      <c r="A110" s="121"/>
      <c r="B110" s="121"/>
      <c r="C110" s="121"/>
      <c r="D110" s="121"/>
      <c r="E110" s="3315"/>
      <c r="F110" s="3316"/>
      <c r="G110" s="1687" t="s">
        <v>1434</v>
      </c>
      <c r="H110" s="2341"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7" t="s">
        <v>1432</v>
      </c>
      <c r="H111" s="2381" t="str">
        <f>IF(E111="——","——",N59)</f>
        <v>——</v>
      </c>
      <c r="I111" s="121"/>
    </row>
    <row r="112" spans="1:35" ht="18.75" customHeight="1" thickBot="1">
      <c r="A112" s="121"/>
      <c r="B112" s="121"/>
      <c r="C112" s="121"/>
      <c r="D112" s="121"/>
      <c r="E112" s="3348"/>
      <c r="F112" s="3349"/>
      <c r="G112" s="1690" t="s">
        <v>1434</v>
      </c>
      <c r="H112" s="2385"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6" t="s">
        <v>1443</v>
      </c>
      <c r="B116" s="3321" t="s">
        <v>1444</v>
      </c>
      <c r="C116" s="3321" t="s">
        <v>1445</v>
      </c>
      <c r="D116" s="3334" t="s">
        <v>1446</v>
      </c>
      <c r="E116" s="3335"/>
      <c r="F116" s="3329" t="s">
        <v>1447</v>
      </c>
      <c r="G116" s="3329"/>
      <c r="H116" s="3286" t="s">
        <v>1448</v>
      </c>
      <c r="I116" s="3286"/>
    </row>
    <row r="117" spans="1:27" ht="18.75" customHeight="1">
      <c r="A117" s="3286"/>
      <c r="B117" s="3322"/>
      <c r="C117" s="3322"/>
      <c r="D117" s="2150" t="s">
        <v>1449</v>
      </c>
      <c r="E117" s="2150" t="s">
        <v>1450</v>
      </c>
      <c r="F117" s="2150" t="s">
        <v>1449</v>
      </c>
      <c r="G117" s="2150" t="s">
        <v>1451</v>
      </c>
      <c r="H117" s="2150" t="s">
        <v>1449</v>
      </c>
      <c r="I117" s="2150" t="s">
        <v>1451</v>
      </c>
    </row>
    <row r="118" spans="1:27" ht="24.75" customHeight="1">
      <c r="A118" s="2386" t="str">
        <f>项目基本情况!S2</f>
        <v>北京市通州区经海五路1号院46号楼-1至6层5-101工业用房房地产</v>
      </c>
      <c r="B118" s="2150">
        <f>M18</f>
        <v>3830.64</v>
      </c>
      <c r="C118" s="2150">
        <f>M19</f>
        <v>0</v>
      </c>
      <c r="D118" s="2150">
        <f ca="1">ROUND(IF(D32="总价",C34,E118*B118/10000),0)</f>
        <v>1992</v>
      </c>
      <c r="E118" s="2150">
        <f ca="1">ROUND(IF(C33="自定义",IF(D32="楼面单价",C34,D118*10000/B118),I118-G118),0)</f>
        <v>5199</v>
      </c>
      <c r="F118" s="2150">
        <f ca="1">ROUND(IF(D32="总价",C35,G118*B118/10000),0)</f>
        <v>2149</v>
      </c>
      <c r="G118" s="2150">
        <f ca="1">ROUND(IF(D32="楼面单价",C35,F118*10000/B118),0)</f>
        <v>5609</v>
      </c>
      <c r="H118" s="2150">
        <f ca="1">ROUND(IF(D32="总价",C32,I118*B118/10000),0)</f>
        <v>4140</v>
      </c>
      <c r="I118" s="2150">
        <f ca="1">ROUND(IF(D32="楼面单价",C32,H118*10000/B118),0)</f>
        <v>10808</v>
      </c>
    </row>
    <row r="119" spans="1:27" ht="18.75" customHeight="1">
      <c r="A119" s="3286" t="s">
        <v>1452</v>
      </c>
      <c r="B119" s="3286"/>
      <c r="C119" s="3286"/>
      <c r="D119" s="3326" t="str">
        <f ca="1">NUMBERSTRING(INT(D118*10000),2)&amp;"元整"</f>
        <v>壹仟玖佰玖拾贰万元整</v>
      </c>
      <c r="E119" s="3328"/>
      <c r="F119" s="3326" t="str">
        <f ca="1">NUMBERSTRING(INT(F118*10000),2)&amp;"元整"</f>
        <v>贰仟壹佰肆拾玖万元整</v>
      </c>
      <c r="G119" s="3328"/>
      <c r="H119" s="3326" t="str">
        <f ca="1">NUMBERSTRING(INT(H118*10000),2)&amp;"元整"</f>
        <v>肆仟壹佰肆拾万元整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6" t="s">
        <v>1452</v>
      </c>
      <c r="B121" s="3327"/>
      <c r="C121" s="3328"/>
      <c r="D121" s="3326" t="str">
        <f>IF(D120=0,"零元整",NUMBERSTRING(INT(D120*10000),2)&amp;"元整")</f>
        <v>零元整</v>
      </c>
      <c r="E121" s="3327"/>
      <c r="F121" s="3327"/>
      <c r="G121" s="3327"/>
      <c r="H121" s="3327"/>
      <c r="I121" s="3328"/>
      <c r="AA121" s="684"/>
    </row>
    <row r="122" spans="1:27" ht="18.75" customHeight="1">
      <c r="A122" s="3317" t="str">
        <f>IF(项目基本情况!B9="房地产市场价值","",MID(E107,3,LEN(E107)-2))</f>
        <v>房地产抵押价值</v>
      </c>
      <c r="B122" s="3317"/>
      <c r="C122" s="3317"/>
      <c r="D122" s="3350">
        <f ca="1">H107</f>
        <v>4140</v>
      </c>
      <c r="E122" s="3351"/>
      <c r="F122" s="3351"/>
      <c r="G122" s="3351"/>
      <c r="H122" s="3351"/>
      <c r="I122" s="3352"/>
      <c r="AA122" s="684"/>
    </row>
    <row r="123" spans="1:27" ht="18.75" customHeight="1">
      <c r="A123" s="3286" t="s">
        <v>1452</v>
      </c>
      <c r="B123" s="3286"/>
      <c r="C123" s="3286"/>
      <c r="D123" s="3326" t="str">
        <f ca="1">NUMBERSTRING(INT(D122*10000),2)&amp;"元整"</f>
        <v>肆仟壹佰肆拾万元整</v>
      </c>
      <c r="E123" s="3327"/>
      <c r="F123" s="3327"/>
      <c r="G123" s="3327"/>
      <c r="H123" s="3327"/>
      <c r="I123" s="3328"/>
      <c r="AA123" s="684"/>
    </row>
    <row r="124" spans="1:27" ht="18.75" customHeight="1">
      <c r="A124" s="3317" t="str">
        <f>IF(项目基本情况!B9="房地产市场价值","",MID(E109,3,LEN(E109)-2))</f>
        <v/>
      </c>
      <c r="B124" s="3317"/>
      <c r="C124" s="3317"/>
      <c r="D124" s="3350" t="str">
        <f>H109</f>
        <v>——</v>
      </c>
      <c r="E124" s="3351"/>
      <c r="F124" s="3351"/>
      <c r="G124" s="3351"/>
      <c r="H124" s="3351"/>
      <c r="I124" s="3352"/>
      <c r="AA124" s="684"/>
    </row>
    <row r="125" spans="1:27" ht="18.75" customHeight="1">
      <c r="A125" s="3286" t="s">
        <v>1452</v>
      </c>
      <c r="B125" s="3286"/>
      <c r="C125" s="3286"/>
      <c r="D125" s="3326" t="e">
        <f>NUMBERSTRING(INT(D124*10000),2)&amp;"元整"</f>
        <v>#VALUE!</v>
      </c>
      <c r="E125" s="3327"/>
      <c r="F125" s="3327"/>
      <c r="G125" s="3327"/>
      <c r="H125" s="3327"/>
      <c r="I125" s="3328"/>
      <c r="AA125" s="684"/>
    </row>
    <row r="126" spans="1:27" ht="18.75" customHeight="1">
      <c r="A126" s="3317" t="str">
        <f>IF(项目基本情况!B9="房地产市场价值","",MID(E111,3,LEN(E111)-2))</f>
        <v/>
      </c>
      <c r="B126" s="3317"/>
      <c r="C126" s="3317"/>
      <c r="D126" s="3350" t="str">
        <f>H111</f>
        <v>——</v>
      </c>
      <c r="E126" s="3351"/>
      <c r="F126" s="3351"/>
      <c r="G126" s="3351"/>
      <c r="H126" s="3351"/>
      <c r="I126" s="3352"/>
      <c r="AA126" s="684"/>
    </row>
    <row r="127" spans="1:27" ht="18.75" customHeight="1">
      <c r="A127" s="3286" t="s">
        <v>1452</v>
      </c>
      <c r="B127" s="3286"/>
      <c r="C127" s="3286"/>
      <c r="D127" s="3326" t="e">
        <f>NUMBERSTRING(INT(D126*10000),2)&amp;"元整"</f>
        <v>#VALUE!</v>
      </c>
      <c r="E127" s="3327"/>
      <c r="F127" s="3327"/>
      <c r="G127" s="3327"/>
      <c r="H127" s="3327"/>
      <c r="I127" s="3328"/>
      <c r="AA127" s="684"/>
    </row>
    <row r="128" spans="1:27" ht="21.75" customHeight="1">
      <c r="A128" s="3333" t="s">
        <v>1453</v>
      </c>
      <c r="B128" s="3333"/>
      <c r="C128" s="3333"/>
      <c r="D128" s="3333"/>
      <c r="E128" s="3333"/>
      <c r="F128" s="3333"/>
      <c r="G128" s="3333"/>
      <c r="H128" s="3333"/>
      <c r="I128" s="333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10" sqref="C10"/>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2468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6443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749</v>
      </c>
      <c r="D5" s="203" t="s">
        <v>1469</v>
      </c>
      <c r="E5" s="204" t="s">
        <v>1470</v>
      </c>
      <c r="F5" s="204" t="s">
        <v>1471</v>
      </c>
      <c r="G5" s="205"/>
    </row>
    <row r="6" spans="1:9" s="206" customFormat="1" ht="13.5" customHeight="1">
      <c r="A6" s="732" t="s">
        <v>1472</v>
      </c>
      <c r="B6" s="207" t="s">
        <v>1473</v>
      </c>
      <c r="C6" s="208">
        <f>基准地价修正!B2</f>
        <v>684</v>
      </c>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 ca="1">IF(G8="已包含在土地购买价格中","0",IF(B1="",'数据-取费表'!B29,IF(G9="全部缴纳",C9+C10,H9)))</f>
        <v>65</v>
      </c>
      <c r="D8" s="214"/>
      <c r="E8" s="212"/>
      <c r="F8" s="213"/>
      <c r="G8" s="1714" t="s">
        <v>3479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140</v>
      </c>
      <c r="F9" s="213"/>
      <c r="G9" s="1715" t="s">
        <v>3480</v>
      </c>
      <c r="H9" s="1070"/>
      <c r="I9" s="1716" t="s">
        <v>1479</v>
      </c>
    </row>
    <row r="10" spans="1:9" s="206" customFormat="1" ht="13.5" customHeight="1">
      <c r="A10" s="733" t="s">
        <v>356</v>
      </c>
      <c r="B10" s="216" t="s">
        <v>1480</v>
      </c>
      <c r="C10" s="217">
        <f ca="1">ROUND(D10*E10/10000,0)</f>
        <v>65</v>
      </c>
      <c r="D10" s="795">
        <f ca="1">IF(B1="",'数据-汇总表'!E6,IF(INDIRECT("'数据-取费表'!c"&amp;$G$1)="住宅",INDIRECT("'数据-取费表'!s"&amp;$G$1),INDIRECT("'数据-取费表'!k"&amp;$G$1)+INDIRECT("'数据-取费表'!s"&amp;$G$1)))</f>
        <v>3830.64</v>
      </c>
      <c r="E10" s="217">
        <f>'数据-取费表'!B28</f>
        <v>170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3830.64</v>
      </c>
      <c r="E19" s="203">
        <f>'数据-取费表'!B31</f>
        <v>200</v>
      </c>
      <c r="F19" s="223"/>
      <c r="G19" s="1714" t="s">
        <v>3481</v>
      </c>
    </row>
    <row r="20" spans="1:7" s="206" customFormat="1" ht="13.5" customHeight="1">
      <c r="A20" s="247" t="s">
        <v>1493</v>
      </c>
      <c r="B20" s="202" t="s">
        <v>1494</v>
      </c>
      <c r="C20" s="224">
        <f ca="1">ROUND((C5+C19)*F20,0)</f>
        <v>15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48</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76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76</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960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1512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1341</v>
      </c>
      <c r="D34" s="209"/>
      <c r="E34" s="212"/>
      <c r="F34" s="249">
        <f ca="1">IF('数据-取费表'!B24=0,1,IF(B1="",'数据-取费表'!N16,INDIRECT("'数据-取费表'!n"&amp;$G$1)))</f>
        <v>1</v>
      </c>
      <c r="G34" s="211" t="s">
        <v>1526</v>
      </c>
    </row>
    <row r="35" spans="1:7" ht="13.5" customHeight="1">
      <c r="A35" s="734" t="s">
        <v>351</v>
      </c>
      <c r="B35" s="207" t="s">
        <v>1527</v>
      </c>
      <c r="C35" s="212">
        <f ca="1">ROUND(C34*F35,0)</f>
        <v>67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77</v>
      </c>
      <c r="D37" s="209">
        <f ca="1">D19</f>
        <v>3830.64</v>
      </c>
      <c r="E37" s="241">
        <f>'数据-取费表'!B35</f>
        <v>200</v>
      </c>
      <c r="F37" s="251"/>
      <c r="G37" s="253" t="s">
        <v>1532</v>
      </c>
    </row>
    <row r="38" spans="1:7" ht="13.5" customHeight="1">
      <c r="A38" s="734" t="s">
        <v>354</v>
      </c>
      <c r="B38" s="207" t="s">
        <v>1533</v>
      </c>
      <c r="C38" s="212">
        <f ca="1">ROUND(C34*F38,0)</f>
        <v>27</v>
      </c>
      <c r="D38" s="212"/>
      <c r="E38" s="212"/>
      <c r="F38" s="251">
        <f>'数据-取费表'!B36</f>
        <v>0.02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47</v>
      </c>
      <c r="D42" s="230"/>
      <c r="E42" s="230"/>
      <c r="F42" s="231"/>
      <c r="G42" s="3366" t="s">
        <v>1544</v>
      </c>
    </row>
    <row r="43" spans="1:7" ht="13.5" customHeight="1">
      <c r="A43" s="734" t="s">
        <v>347</v>
      </c>
      <c r="B43" s="207" t="s">
        <v>1545</v>
      </c>
      <c r="C43" s="230">
        <f ca="1">ROUND(IF('数据-取费表'!B22&lt;=1,C39*F22*'数据-取费表'!B21/2,C39*(POWER((1+F22),'数据-取费表'!B21/2)-1)),0)</f>
        <v>1</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154</v>
      </c>
      <c r="D45" s="227">
        <f ca="1">C47</f>
        <v>2E-3</v>
      </c>
      <c r="E45" s="228" t="s">
        <v>1539</v>
      </c>
      <c r="F45" s="238">
        <f ca="1">F27</f>
        <v>0.1</v>
      </c>
      <c r="G45" s="239" t="s">
        <v>1548</v>
      </c>
    </row>
    <row r="46" spans="1:7" s="206" customFormat="1" ht="13.5" customHeight="1">
      <c r="A46" s="734" t="s">
        <v>346</v>
      </c>
      <c r="B46" s="240" t="s">
        <v>1549</v>
      </c>
      <c r="C46" s="241">
        <f ca="1">ROUND((C33+C39)*F27,0)</f>
        <v>154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1885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1508</v>
      </c>
      <c r="D51" s="224"/>
      <c r="E51" s="224"/>
      <c r="F51" s="256"/>
      <c r="G51" s="226" t="s">
        <v>1560</v>
      </c>
    </row>
    <row r="52" spans="1:7" s="200" customFormat="1" ht="16.8" thickBot="1">
      <c r="A52" s="257" t="s">
        <v>1561</v>
      </c>
      <c r="B52" s="258"/>
      <c r="C52" s="259">
        <f ca="1">C31+C51</f>
        <v>2468</v>
      </c>
      <c r="D52" s="258"/>
      <c r="E52" s="258"/>
      <c r="F52" s="258"/>
      <c r="G52" s="260"/>
    </row>
    <row r="55" spans="1:7" ht="15">
      <c r="B55" s="262" t="s">
        <v>1562</v>
      </c>
      <c r="C55" s="263"/>
    </row>
    <row r="56" spans="1:7">
      <c r="B56" s="265" t="s">
        <v>802</v>
      </c>
      <c r="C56" s="267">
        <f ca="1">1-C57</f>
        <v>0.38900000000000001</v>
      </c>
    </row>
    <row r="57" spans="1:7">
      <c r="B57" s="265" t="s">
        <v>803</v>
      </c>
      <c r="C57" s="266">
        <f ca="1">ROUND(C51/C52,3)</f>
        <v>0.61099999999999999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北京市通州区经海五路1号院46号楼-1至6层5-101工业用房房地产抵押价值预评估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1689.9073000000001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4412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651209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651209</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140</v>
      </c>
      <c r="F9" s="213"/>
      <c r="G9" s="218"/>
    </row>
    <row r="10" spans="1:8" s="206" customFormat="1" ht="13.5" customHeight="1">
      <c r="A10" s="733" t="s">
        <v>356</v>
      </c>
      <c r="B10" s="216" t="s">
        <v>1480</v>
      </c>
      <c r="C10" s="217">
        <f ca="1">ROUND(D10*E10,0)</f>
        <v>651209</v>
      </c>
      <c r="D10" s="795">
        <f ca="1">IF(B1="",'数据-汇总表'!E6,IF(INDIRECT("'数据-取费表'!c"&amp;$G$1)="住宅",INDIRECT("'数据-取费表'!s"&amp;$G$1),INDIRECT("'数据-取费表'!k"&amp;$G$1)+INDIRECT("'数据-取费表'!s"&amp;$G$1)))</f>
        <v>3830.64</v>
      </c>
      <c r="E10" s="217">
        <f>'数据-取费表'!B28</f>
        <v>170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766128</v>
      </c>
      <c r="D19" s="204">
        <f ca="1">D9+D10</f>
        <v>3830.64</v>
      </c>
      <c r="E19" s="203">
        <f>'数据-取费表'!B31</f>
        <v>200</v>
      </c>
      <c r="F19" s="223"/>
      <c r="G19" s="1714"/>
    </row>
    <row r="20" spans="1:7" s="206" customFormat="1" ht="13.5" customHeight="1">
      <c r="A20" s="247" t="s">
        <v>1574</v>
      </c>
      <c r="B20" s="202" t="s">
        <v>1575</v>
      </c>
      <c r="C20" s="224">
        <f ca="1">ROUND((C5+C19)*F20,0)</f>
        <v>28347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91001</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41404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48710</v>
      </c>
      <c r="D24" s="230"/>
      <c r="E24" s="230"/>
      <c r="F24" s="231"/>
      <c r="G24" s="232" t="s">
        <v>1586</v>
      </c>
    </row>
    <row r="25" spans="1:7" s="206" customFormat="1" ht="24">
      <c r="A25" s="734" t="s">
        <v>1476</v>
      </c>
      <c r="B25" s="207" t="s">
        <v>1587</v>
      </c>
      <c r="C25" s="230">
        <f ca="1">ROUND(IF('数据-取费表'!B22&lt;=1,C20*F22*'数据-取费表'!B22/2,C20*(POWER((1+F22),'数据-取费表'!B22/2)-1)),0)</f>
        <v>887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144568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144568</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1817571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15111875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13407240</v>
      </c>
      <c r="D34" s="209"/>
      <c r="E34" s="212"/>
      <c r="F34" s="249"/>
      <c r="G34" s="211"/>
    </row>
    <row r="35" spans="1:7" ht="13.5" customHeight="1">
      <c r="A35" s="734" t="s">
        <v>351</v>
      </c>
      <c r="B35" s="207" t="s">
        <v>1527</v>
      </c>
      <c r="C35" s="212">
        <f ca="1">ROUND(C34*F35,0)</f>
        <v>670362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766128</v>
      </c>
      <c r="D37" s="209">
        <f ca="1">D19</f>
        <v>3830.64</v>
      </c>
      <c r="E37" s="241">
        <f>'数据-取费表'!B35</f>
        <v>200</v>
      </c>
      <c r="F37" s="251"/>
      <c r="G37" s="253"/>
    </row>
    <row r="38" spans="1:7" ht="13.5" customHeight="1">
      <c r="A38" s="734" t="s">
        <v>354</v>
      </c>
      <c r="B38" s="207" t="s">
        <v>1533</v>
      </c>
      <c r="C38" s="212">
        <f ca="1">ROUND(C34*F38,0)</f>
        <v>268145</v>
      </c>
      <c r="D38" s="212"/>
      <c r="E38" s="212"/>
      <c r="F38" s="251">
        <f>'数据-取费表'!B36</f>
        <v>0.02</v>
      </c>
      <c r="G38" s="211" t="s">
        <v>1528</v>
      </c>
    </row>
    <row r="39" spans="1:7" s="206" customFormat="1" ht="13.5" customHeight="1">
      <c r="A39" s="247" t="s">
        <v>1534</v>
      </c>
      <c r="B39" s="202" t="s">
        <v>1535</v>
      </c>
      <c r="C39" s="224">
        <f ca="1">ROUND(C33*F20,0)</f>
        <v>302238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482462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473002</v>
      </c>
      <c r="D42" s="230"/>
      <c r="E42" s="230"/>
      <c r="F42" s="231"/>
      <c r="G42" s="3366" t="s">
        <v>1591</v>
      </c>
    </row>
    <row r="43" spans="1:7" ht="13.5" customHeight="1">
      <c r="A43" s="734" t="s">
        <v>347</v>
      </c>
      <c r="B43" s="207" t="s">
        <v>1545</v>
      </c>
      <c r="C43" s="230">
        <f ca="1">ROUND(IF('数据-取费表'!B22&lt;=1,C39*F22*'数据-取费表'!B20/2,C39*(POWER((1+F22),'数据-取费表'!B20/2)-1)),0)</f>
        <v>9460</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1541411</v>
      </c>
      <c r="D45" s="227">
        <f ca="1">C47</f>
        <v>2E-3</v>
      </c>
      <c r="E45" s="228" t="s">
        <v>1539</v>
      </c>
      <c r="F45" s="238">
        <f ca="1">F27</f>
        <v>0.1</v>
      </c>
      <c r="G45" s="239" t="s">
        <v>1548</v>
      </c>
    </row>
    <row r="46" spans="1:7" s="206" customFormat="1" ht="13.5" customHeight="1">
      <c r="A46" s="734" t="s">
        <v>346</v>
      </c>
      <c r="B46" s="240" t="s">
        <v>1549</v>
      </c>
      <c r="C46" s="241">
        <f ca="1">ROUND((C33+C39)*F27,0)</f>
        <v>1541411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18851877</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15081502</v>
      </c>
      <c r="D51" s="224"/>
      <c r="E51" s="224"/>
      <c r="F51" s="256"/>
      <c r="G51" s="226" t="s">
        <v>1560</v>
      </c>
    </row>
    <row r="52" spans="1:7" s="200" customFormat="1" ht="16.8" thickBot="1">
      <c r="A52" s="257" t="s">
        <v>1561</v>
      </c>
      <c r="B52" s="258"/>
      <c r="C52" s="259">
        <f ca="1">C31+C51</f>
        <v>16899073</v>
      </c>
      <c r="D52" s="258"/>
      <c r="E52" s="258"/>
      <c r="F52" s="258"/>
      <c r="G52" s="260"/>
    </row>
    <row r="55" spans="1:7" ht="15">
      <c r="B55" s="262" t="s">
        <v>1562</v>
      </c>
      <c r="C55" s="263"/>
    </row>
    <row r="56" spans="1:7">
      <c r="B56" s="265" t="s">
        <v>802</v>
      </c>
      <c r="C56" s="267">
        <f ca="1">1-C57</f>
        <v>0.10799999999999998</v>
      </c>
    </row>
    <row r="57" spans="1:7">
      <c r="B57" s="265" t="s">
        <v>803</v>
      </c>
      <c r="C57" s="266">
        <f ca="1">ROUND(C51/C52,3)</f>
        <v>0.89200000000000002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3830.64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3830.64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140</v>
      </c>
      <c r="F19" s="756"/>
      <c r="G19" s="12"/>
      <c r="H19" s="1108"/>
      <c r="I19" s="761"/>
      <c r="J19" s="761"/>
      <c r="K19" s="762"/>
    </row>
    <row r="20" spans="1:33" s="755" customFormat="1" ht="13.5" customHeight="1">
      <c r="A20" s="752" t="s">
        <v>361</v>
      </c>
      <c r="B20" s="753" t="s">
        <v>1627</v>
      </c>
      <c r="C20" s="21">
        <f ca="1">ROUND(D20*E20/10000,0)</f>
        <v>65</v>
      </c>
      <c r="D20" s="796">
        <f ca="1">IF(C1="",'数据-汇总表'!E6,IF(INDIRECT("'数据-取费表'!c"&amp;$K$1)="住宅",INDIRECT("'数据-取费表'!s"&amp;$K$1),INDIRECT("'数据-取费表'!k"&amp;$K$1)+INDIRECT("'数据-取费表'!s"&amp;$K$1)))</f>
        <v>3830.64</v>
      </c>
      <c r="E20" s="21">
        <f>'数据-取费表'!B28</f>
        <v>170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Normal="80" zoomScaleSheetLayoutView="100" workbookViewId="0">
      <selection activeCell="E42" activeCellId="1" sqref="E33 E4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3830.64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684</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Ⅵ-光机电</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3050</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1786</v>
      </c>
      <c r="C3" s="1846" t="s">
        <v>1941</v>
      </c>
      <c r="D3" s="162" t="s">
        <v>1942</v>
      </c>
      <c r="E3" s="3119" t="s">
        <v>2479</v>
      </c>
      <c r="F3" s="1848" t="s">
        <v>3467</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2404</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376"/>
      <c r="B4" s="3377"/>
      <c r="C4" s="3377"/>
      <c r="D4" s="3378"/>
      <c r="E4" s="3378"/>
      <c r="F4" s="3378"/>
      <c r="G4" s="3378"/>
      <c r="H4" s="3378"/>
      <c r="I4" s="3378"/>
      <c r="J4" s="337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2032</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2045</v>
      </c>
      <c r="D5" s="1252">
        <f>ROUND(C6*C17+C20,0)</f>
        <v>2045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1792</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2120</v>
      </c>
      <c r="D6" s="1861"/>
      <c r="E6" s="1862"/>
      <c r="F6" s="1862"/>
      <c r="G6" s="1863"/>
      <c r="H6" s="1863"/>
      <c r="I6" s="1863"/>
      <c r="J6" s="1864"/>
      <c r="K6" s="1292"/>
      <c r="L6" s="1847" t="s">
        <v>1951</v>
      </c>
      <c r="M6" s="811">
        <f>SUMPRODUCT((区片价!B127:B189=I2)*(区片价!C3:G3=E2)*(区片价!C127:G189))</f>
        <v>2120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1722</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1.2</v>
      </c>
      <c r="AA7" s="1133"/>
      <c r="AB7" s="1133"/>
      <c r="AC7" s="1134"/>
      <c r="AD7" s="1135"/>
      <c r="AE7" s="1135"/>
      <c r="AF7" s="1135"/>
      <c r="AG7" s="1135"/>
      <c r="AH7" s="1135"/>
      <c r="AI7" s="1135"/>
      <c r="AJ7" s="1136"/>
    </row>
    <row r="8" spans="1:36" ht="26.4">
      <c r="A8" s="3010"/>
      <c r="B8" s="162" t="s">
        <v>1957</v>
      </c>
      <c r="C8" s="1870" t="s">
        <v>3468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3" t="s">
        <v>1960</v>
      </c>
      <c r="X8" s="33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5"/>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80" t="s">
        <v>3254</v>
      </c>
      <c r="B20" s="159" t="s">
        <v>1994</v>
      </c>
      <c r="C20" s="3032">
        <f>ROUND(IF(F21="与级别开发程度一致",0,(G21-E21)/C21),0)</f>
        <v>-75</v>
      </c>
      <c r="D20" s="3047" t="s">
        <v>1998</v>
      </c>
      <c r="E20" s="3048"/>
      <c r="F20" s="3386" t="s">
        <v>1995</v>
      </c>
      <c r="G20" s="3387"/>
      <c r="H20" s="3033" t="s">
        <v>3471</v>
      </c>
      <c r="I20" s="3033" t="s">
        <v>3470</v>
      </c>
      <c r="J20" s="3034" t="s">
        <v>3472</v>
      </c>
      <c r="K20" s="1889" t="s">
        <v>3473</v>
      </c>
      <c r="L20" s="1889" t="s">
        <v>3474</v>
      </c>
      <c r="M20" s="1889" t="s">
        <v>3475</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381"/>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3469</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1.093</v>
      </c>
      <c r="D23" s="1896" t="s">
        <v>2002</v>
      </c>
      <c r="E23" s="717">
        <v>44197</v>
      </c>
      <c r="F23" s="1896" t="s">
        <v>2003</v>
      </c>
      <c r="G23" s="718">
        <f>'数据-取费表'!B2</f>
        <v>45902</v>
      </c>
      <c r="H23" s="3049" t="s">
        <v>3477</v>
      </c>
      <c r="I23" s="3050" t="str">
        <f>IF(H23="季度增幅（自定义）",SUMIF(N25:N28,E2,O25:O28),"")</f>
        <v/>
      </c>
      <c r="J23" s="3142" t="s">
        <v>3478</v>
      </c>
      <c r="K23" s="1061"/>
      <c r="L23" s="1897" t="s">
        <v>2004</v>
      </c>
      <c r="M23" s="1241">
        <f>ROUND(SUMIF(地价!B2:G2,E2,地价!B16:G16),0)</f>
        <v>318</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0.89390000000000003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34.69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1.0165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684</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3</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2031</v>
      </c>
      <c r="D33" s="1940">
        <f>'数据-基础表'!I13</f>
        <v>3281.85</v>
      </c>
      <c r="E33" s="727">
        <f>ROUND(C33*D33/10000,0)</f>
        <v>667</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305</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4"/>
      <c r="B37" s="1955" t="s">
        <v>2036</v>
      </c>
      <c r="C37" s="167">
        <f>ROUND(D5*C22*C23*C24*C28*F37,0)</f>
        <v>1219</v>
      </c>
      <c r="D37" s="1940"/>
      <c r="E37" s="163">
        <f>ROUND(C37*D37/10000,0)</f>
        <v>0</v>
      </c>
      <c r="F37" s="163">
        <f>SUMIF(修正!A59:A70,G2,修正!B59:B70)</f>
        <v>0.6</v>
      </c>
      <c r="G37" s="163">
        <f>ROUND(IF(E2="工业",C37*$M$42,C37*$M$41),0)</f>
        <v>183</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5"/>
      <c r="B38" s="1884" t="s">
        <v>2037</v>
      </c>
      <c r="C38" s="167">
        <f>ROUND(D5*C22*C23*C24*C28*F38,0)</f>
        <v>609</v>
      </c>
      <c r="D38" s="1940"/>
      <c r="E38" s="163">
        <f t="shared" ref="E38:E42" si="4">ROUND(C38*D38/10000,0)</f>
        <v>0</v>
      </c>
      <c r="F38" s="163">
        <f>SUMIF(修正!A59:A70,G2,修正!C59:C70)</f>
        <v>0.3</v>
      </c>
      <c r="G38" s="163">
        <f>ROUND(IF(E2="工业",C38*$M$42,C38*$M$41),0)</f>
        <v>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5"/>
      <c r="B39" s="1884" t="s">
        <v>3257</v>
      </c>
      <c r="C39" s="167">
        <f>ROUND(D5*C22*C23*C24*C28*F39,0)</f>
        <v>508</v>
      </c>
      <c r="D39" s="1940"/>
      <c r="E39" s="163">
        <f t="shared" si="4"/>
        <v>0</v>
      </c>
      <c r="F39" s="163">
        <f>SUMIF(修正!A59:A70,G2,修正!D59:D70)</f>
        <v>0.25</v>
      </c>
      <c r="G39" s="163">
        <f>ROUND(IF(E2="工业",C39*$M$42,C39*$M$41),0)</f>
        <v>76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508</v>
      </c>
      <c r="D40" s="1940"/>
      <c r="E40" s="163">
        <f t="shared" si="4"/>
        <v>0</v>
      </c>
      <c r="F40" s="167">
        <f>SUMIF(修正!A59:A70,G2,修正!E59:E70)</f>
        <v>0.25</v>
      </c>
      <c r="G40" s="163">
        <f>ROUND(IF(E2="工业",C40*$M$42,C40*$M$41),0)</f>
        <v>76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508</v>
      </c>
      <c r="D41" s="1940"/>
      <c r="E41" s="163">
        <f t="shared" si="4"/>
        <v>0</v>
      </c>
      <c r="F41" s="167">
        <f>SUMIF(修正!A59:A70,G2,修正!F59:F70)</f>
        <v>0.25</v>
      </c>
      <c r="G41" s="163">
        <f>ROUND(IF(E2="工业",C41*$M$42,C41*$M$41),0)</f>
        <v>76</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305</v>
      </c>
      <c r="D42" s="1945">
        <f>'数据-基础表'!K13</f>
        <v>548.79</v>
      </c>
      <c r="E42" s="179">
        <f t="shared" si="4"/>
        <v>17</v>
      </c>
      <c r="F42" s="723">
        <f>SUMIF(修正!A59:A70,G2,修正!G59:G70)</f>
        <v>0.15</v>
      </c>
      <c r="G42" s="179">
        <f>ROUND(IF(E2="工业",C42*$M$42,C42*$M$41),0)</f>
        <v>46</v>
      </c>
      <c r="H42" s="179">
        <f t="shared" si="5"/>
        <v>548.79</v>
      </c>
      <c r="I42" s="179">
        <f t="shared" si="6"/>
        <v>3</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0.89390000000000003</v>
      </c>
      <c r="D44" s="163" t="s">
        <v>1999</v>
      </c>
      <c r="E44" s="1991">
        <f>G24</f>
        <v>0.05</v>
      </c>
      <c r="F44" s="163" t="s">
        <v>2008</v>
      </c>
      <c r="G44" s="175">
        <f>项目基本情况!H15</f>
        <v>34.69</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1.0165</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3461</v>
      </c>
      <c r="D83" s="1002">
        <f t="shared" ref="D83:D90" si="22">SUMIF($J$82:$N$82,C83,J83:N83)</f>
        <v>6.4999999999999997E-3</v>
      </c>
      <c r="E83" s="702">
        <f>ROUND(SUM(D83:D90),4)</f>
        <v>1.6500000000000001E-2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3461</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71" t="s">
        <v>3268</v>
      </c>
      <c r="B85" s="1262">
        <f>估价对象房地状况!G17</f>
        <v>0</v>
      </c>
      <c r="C85" s="1887" t="s">
        <v>3461</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3476</v>
      </c>
      <c r="D86" s="1002">
        <f t="shared" si="22"/>
        <v>-1.1999999999999999E-3</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3461</v>
      </c>
      <c r="D87" s="1002">
        <f t="shared" si="22"/>
        <v>1.5E-3</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3476</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3461</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3461</v>
      </c>
      <c r="D90" s="1002">
        <f t="shared" si="22"/>
        <v>1.1999999999999999E-3</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52.8">
      <c r="A94" s="3081" t="s">
        <v>3271</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48">
      <c r="A95" s="3071" t="s">
        <v>3267</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7.200000000000003">
      <c r="A96" s="3081" t="s">
        <v>3272</v>
      </c>
      <c r="B96" s="3087" t="s">
        <v>3283</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3273</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36">
      <c r="A98" s="3081" t="s">
        <v>3274</v>
      </c>
      <c r="B98" s="3088" t="s">
        <v>3284</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6.4">
      <c r="A99" s="3081" t="s">
        <v>3275</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6.4">
      <c r="A100" s="3081" t="s">
        <v>3276</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40.200000000000003" thickBot="1">
      <c r="A101" s="3082" t="s">
        <v>3277</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82" t="s">
        <v>3292</v>
      </c>
      <c r="B103" s="3382"/>
      <c r="C103" s="3382"/>
      <c r="D103" s="3382"/>
      <c r="E103" s="3382"/>
      <c r="F103" s="3382"/>
      <c r="G103" s="3382"/>
      <c r="H103" s="3382"/>
      <c r="I103" s="3382"/>
      <c r="J103" s="3382"/>
      <c r="K103" s="1667"/>
      <c r="L103" s="1667"/>
      <c r="M103" s="1667"/>
      <c r="N103" s="1667"/>
    </row>
    <row r="104" spans="1:14">
      <c r="A104" s="3383" t="s">
        <v>3293</v>
      </c>
      <c r="B104" s="3383" t="s">
        <v>3294</v>
      </c>
      <c r="C104" s="3091" t="s">
        <v>3295</v>
      </c>
      <c r="D104" s="3092"/>
      <c r="E104" s="3092"/>
      <c r="F104" s="3092"/>
      <c r="G104" s="3092"/>
      <c r="H104" s="3092"/>
      <c r="I104" s="3092"/>
      <c r="J104" s="3093"/>
      <c r="K104" s="3094"/>
      <c r="L104" s="3094"/>
      <c r="M104" s="3094"/>
      <c r="N104" s="3094"/>
    </row>
    <row r="105" spans="1:14">
      <c r="A105" s="3383"/>
      <c r="B105" s="3383"/>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369"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7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7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7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7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70"/>
      <c r="B111" s="3095" t="s">
        <v>3266</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7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72" t="s">
        <v>3309</v>
      </c>
      <c r="B113" s="3372"/>
      <c r="C113" s="3372"/>
      <c r="D113" s="3372"/>
      <c r="E113" s="3372"/>
      <c r="F113" s="3372"/>
      <c r="G113" s="3372"/>
      <c r="H113" s="3372"/>
      <c r="I113" s="3372"/>
      <c r="J113" s="337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3310</v>
      </c>
      <c r="B116" s="3115">
        <f>G3</f>
        <v>1.2</v>
      </c>
      <c r="C116" s="3100" t="s">
        <v>3311</v>
      </c>
      <c r="D116" s="3101">
        <f>SUMPRODUCT((A118:A122=F116)*(B117:M117=H116)*B118:M122)</f>
        <v>0.63959999999999995</v>
      </c>
      <c r="E116" s="162" t="s">
        <v>3312</v>
      </c>
      <c r="F116" s="3102" t="str">
        <f>E2</f>
        <v>工业</v>
      </c>
      <c r="G116" s="162" t="s">
        <v>3313</v>
      </c>
      <c r="H116" s="3102" t="str">
        <f>G2</f>
        <v>六级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6">I118</f>
        <v>0.82699999999999996</v>
      </c>
      <c r="K118" s="3090">
        <f t="shared" si="36"/>
        <v>0.82699999999999996</v>
      </c>
      <c r="L118" s="3090">
        <f t="shared" si="36"/>
        <v>0.82699999999999996</v>
      </c>
      <c r="M118" s="3110">
        <f t="shared" si="36"/>
        <v>0.82699999999999996</v>
      </c>
      <c r="N118" s="3098"/>
    </row>
    <row r="119" spans="1:14">
      <c r="A119" s="3058" t="s">
        <v>3327</v>
      </c>
      <c r="B119" s="3090">
        <f>ROUND(0.993-0.0112*B116,4)</f>
        <v>0.97960000000000003</v>
      </c>
      <c r="C119" s="3090">
        <f>B119</f>
        <v>0.97960000000000003</v>
      </c>
      <c r="D119" s="3090">
        <f>ROUND(0.9415-0.0142*B116,4)</f>
        <v>0.92449999999999999</v>
      </c>
      <c r="E119" s="3090">
        <f t="shared" ref="E119:H120" si="37">D119</f>
        <v>0.92449999999999999</v>
      </c>
      <c r="F119" s="3090">
        <f t="shared" si="37"/>
        <v>0.92449999999999999</v>
      </c>
      <c r="G119" s="3090">
        <f t="shared" si="37"/>
        <v>0.92449999999999999</v>
      </c>
      <c r="H119" s="3090">
        <f t="shared" si="37"/>
        <v>0.92449999999999999</v>
      </c>
      <c r="I119" s="3090">
        <f>ROUND(0.838-0.0182*B116,4)</f>
        <v>0.81620000000000004</v>
      </c>
      <c r="J119" s="3090">
        <f t="shared" si="36"/>
        <v>0.81620000000000004</v>
      </c>
      <c r="K119" s="3090">
        <f t="shared" si="36"/>
        <v>0.81620000000000004</v>
      </c>
      <c r="L119" s="3090">
        <f t="shared" si="36"/>
        <v>0.81620000000000004</v>
      </c>
      <c r="M119" s="3110">
        <f t="shared" si="36"/>
        <v>0.81620000000000004</v>
      </c>
      <c r="N119" s="3098"/>
    </row>
    <row r="120" spans="1:14">
      <c r="A120" s="3058" t="s">
        <v>3328</v>
      </c>
      <c r="B120" s="3090">
        <f>ROUND(0.9448-0.0115*B116,4)</f>
        <v>0.93100000000000005</v>
      </c>
      <c r="C120" s="3090">
        <f>B120</f>
        <v>0.93100000000000005</v>
      </c>
      <c r="D120" s="3090">
        <f>ROUND(0.937-0.0145*B116,4)</f>
        <v>0.91959999999999997</v>
      </c>
      <c r="E120" s="3090">
        <f t="shared" si="37"/>
        <v>0.91959999999999997</v>
      </c>
      <c r="F120" s="3090">
        <f t="shared" si="37"/>
        <v>0.91959999999999997</v>
      </c>
      <c r="G120" s="3090">
        <f t="shared" si="37"/>
        <v>0.91959999999999997</v>
      </c>
      <c r="H120" s="3090">
        <f t="shared" si="37"/>
        <v>0.91959999999999997</v>
      </c>
      <c r="I120" s="3090">
        <f>ROUND(0.7965-0.0185*B116,4)</f>
        <v>0.77429999999999999</v>
      </c>
      <c r="J120" s="3090">
        <f t="shared" si="36"/>
        <v>0.77429999999999999</v>
      </c>
      <c r="K120" s="3090">
        <f t="shared" si="36"/>
        <v>0.77429999999999999</v>
      </c>
      <c r="L120" s="3090">
        <f t="shared" si="36"/>
        <v>0.77429999999999999</v>
      </c>
      <c r="M120" s="3110">
        <f t="shared" si="36"/>
        <v>0.77429999999999999</v>
      </c>
      <c r="N120" s="3098"/>
    </row>
    <row r="121" spans="1:14" ht="13.8" thickBot="1">
      <c r="A121" s="3111" t="s">
        <v>3329</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6"/>
        <v>0.56769999999999998</v>
      </c>
      <c r="K121" s="3112">
        <f t="shared" si="36"/>
        <v>0.56769999999999998</v>
      </c>
      <c r="L121" s="3112">
        <f t="shared" si="36"/>
        <v>0.56769999999999998</v>
      </c>
      <c r="M121" s="3113">
        <f t="shared" si="36"/>
        <v>0.56769999999999998</v>
      </c>
      <c r="N121" s="3098"/>
    </row>
    <row r="122" spans="1:14">
      <c r="A122" s="3114" t="s">
        <v>2612</v>
      </c>
      <c r="B122" s="3090">
        <f>ROUND(0.9404-0.0106*B116,4)</f>
        <v>0.92769999999999997</v>
      </c>
      <c r="C122" s="3090">
        <f>B122</f>
        <v>0.92769999999999997</v>
      </c>
      <c r="D122" s="3090">
        <f>ROUND(0.8955-0.0135*B116,4)</f>
        <v>0.87929999999999997</v>
      </c>
      <c r="E122" s="3090">
        <f t="shared" ref="E122:H122" si="38">D122</f>
        <v>0.87929999999999997</v>
      </c>
      <c r="F122" s="3090">
        <f t="shared" si="38"/>
        <v>0.87929999999999997</v>
      </c>
      <c r="G122" s="3090">
        <f t="shared" si="38"/>
        <v>0.87929999999999997</v>
      </c>
      <c r="H122" s="3090">
        <f t="shared" si="38"/>
        <v>0.87929999999999997</v>
      </c>
      <c r="I122" s="3090">
        <f>ROUND(0.7632-0.0166*B116,4)</f>
        <v>0.74329999999999996</v>
      </c>
      <c r="J122" s="3090">
        <f t="shared" si="36"/>
        <v>0.74329999999999996</v>
      </c>
      <c r="K122" s="3090">
        <f t="shared" si="36"/>
        <v>0.74329999999999996</v>
      </c>
      <c r="L122" s="3090">
        <f t="shared" si="36"/>
        <v>0.74329999999999996</v>
      </c>
      <c r="M122" s="3110">
        <f t="shared" si="36"/>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C8" xr:uid="{00000000-0002-0000-1500-000005000000}">
      <formula1>商业街名称</formula1>
    </dataValidation>
    <dataValidation type="list" allowBlank="1" showInputMessage="1" showErrorMessage="1" sqref="E3" xr:uid="{00000000-0002-0000-1500-000006000000}">
      <formula1>INDIRECT(E2)</formula1>
    </dataValidation>
    <dataValidation type="list" allowBlank="1" showInputMessage="1" showErrorMessage="1" sqref="C61:C69 C72:C80 C50:C58 C83:C91 C93:C101" xr:uid="{00000000-0002-0000-1500-000007000000}">
      <formula1>五等判定</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92D050"/>
    <pageSetUpPr fitToPage="1"/>
  </sheetPr>
  <dimension ref="A1:AC113"/>
  <sheetViews>
    <sheetView view="pageBreakPreview" topLeftCell="A26" zoomScale="90" zoomScaleNormal="60" zoomScaleSheetLayoutView="90" workbookViewId="0">
      <selection activeCell="G17" sqref="G17"/>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t="s">
        <v>3</v>
      </c>
      <c r="E1" s="3132" t="s">
        <v>3434</v>
      </c>
      <c r="F1" s="1735" t="s">
        <v>3435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5102.0294000000004</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13319</v>
      </c>
      <c r="C3" s="344" t="s">
        <v>1768</v>
      </c>
      <c r="D3" s="343">
        <f>IF(D1="",'数据-汇总表'!E3,SUMIF('数据-汇总表'!$C19:$C33,D1,'数据-汇总表'!$E19:$E33))</f>
        <v>3830.64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9" t="s">
        <v>1773</v>
      </c>
      <c r="W4" s="3389"/>
      <c r="X4" s="1265"/>
      <c r="Y4" s="3411" t="s">
        <v>1775</v>
      </c>
      <c r="Z4" s="3412"/>
      <c r="AA4" s="3398" t="s">
        <v>1771</v>
      </c>
      <c r="AB4" s="3399" t="s">
        <v>1772</v>
      </c>
      <c r="AC4" s="3398" t="s">
        <v>1773</v>
      </c>
    </row>
    <row r="5" spans="1:29">
      <c r="A5" s="348"/>
      <c r="B5" s="349"/>
      <c r="C5" s="3419" t="s">
        <v>3436</v>
      </c>
      <c r="D5" s="3420"/>
      <c r="E5" s="3426" t="s">
        <v>3504</v>
      </c>
      <c r="F5" s="3427"/>
      <c r="G5" s="3419" t="s">
        <v>3506</v>
      </c>
      <c r="H5" s="3420"/>
      <c r="I5" s="3419" t="s">
        <v>3507</v>
      </c>
      <c r="J5" s="3420"/>
      <c r="K5" s="537"/>
      <c r="L5" s="860"/>
      <c r="M5" s="861"/>
      <c r="N5" s="861"/>
      <c r="O5" s="861"/>
      <c r="P5" s="3407"/>
      <c r="Q5" s="3408"/>
      <c r="R5" s="3413"/>
      <c r="S5" s="3414"/>
      <c r="T5" s="3413"/>
      <c r="U5" s="3414"/>
      <c r="V5" s="3389"/>
      <c r="W5" s="3389"/>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860"/>
      <c r="M6" s="861"/>
      <c r="N6" s="861"/>
      <c r="O6" s="861"/>
      <c r="P6" s="3409"/>
      <c r="Q6" s="3410"/>
      <c r="R6" s="3413"/>
      <c r="S6" s="3414"/>
      <c r="T6" s="3415"/>
      <c r="U6" s="3416"/>
      <c r="V6" s="3389"/>
      <c r="W6" s="3389"/>
      <c r="X6" s="1265"/>
      <c r="Y6" s="3415"/>
      <c r="Z6" s="3416"/>
      <c r="AA6" s="3400"/>
      <c r="AB6" s="3400"/>
      <c r="AC6" s="3400"/>
    </row>
    <row r="7" spans="1:29" s="102" customFormat="1" ht="15" thickBot="1">
      <c r="A7" s="352" t="s">
        <v>1679</v>
      </c>
      <c r="B7" s="353"/>
      <c r="C7" s="354">
        <f>'数据-取费表'!B2</f>
        <v>45902</v>
      </c>
      <c r="D7" s="355">
        <v>100</v>
      </c>
      <c r="E7" s="356">
        <f>C7</f>
        <v>45902</v>
      </c>
      <c r="F7" s="357">
        <f>SUMIF(52:52,YEAR(E7)&amp;"-"&amp;MONTH(E7),53:53)</f>
        <v>100</v>
      </c>
      <c r="G7" s="356">
        <f>C7</f>
        <v>45902</v>
      </c>
      <c r="H7" s="355">
        <f>SUMIF(52:52,YEAR(G7)&amp;"-"&amp;MONTH(G7),53:53)</f>
        <v>100</v>
      </c>
      <c r="I7" s="356">
        <f>C7</f>
        <v>45902</v>
      </c>
      <c r="J7" s="355">
        <f>SUMIF(52:52,YEAR(I7)&amp;"-"&amp;MONTH(I7),53:53)</f>
        <v>100</v>
      </c>
      <c r="K7" s="38"/>
      <c r="L7" s="862"/>
      <c r="M7" s="863"/>
      <c r="N7" s="863"/>
      <c r="O7" s="863"/>
      <c r="P7" s="3421" t="s">
        <v>1680</v>
      </c>
      <c r="Q7" s="3423"/>
      <c r="R7" s="664" t="s">
        <v>14</v>
      </c>
      <c r="S7" s="665">
        <f t="shared" ref="S7:S15" si="0">F7</f>
        <v>100</v>
      </c>
      <c r="T7" s="664" t="s">
        <v>14</v>
      </c>
      <c r="U7" s="665">
        <f t="shared" ref="U7:U15" si="1">H7</f>
        <v>100</v>
      </c>
      <c r="V7" s="664" t="s">
        <v>14</v>
      </c>
      <c r="W7" s="665">
        <f t="shared" ref="W7:W15" si="2">J7</f>
        <v>100</v>
      </c>
      <c r="X7" s="666"/>
      <c r="Y7" s="3421" t="s">
        <v>1680</v>
      </c>
      <c r="Z7" s="3422"/>
      <c r="AA7" s="50">
        <f>D7/F7</f>
        <v>1</v>
      </c>
      <c r="AB7" s="50">
        <f>D7/H7</f>
        <v>1</v>
      </c>
      <c r="AC7" s="50">
        <f>D7/J7</f>
        <v>1</v>
      </c>
    </row>
    <row r="8" spans="1:29" s="102" customFormat="1" ht="15" thickBot="1">
      <c r="A8" s="352" t="s">
        <v>1681</v>
      </c>
      <c r="B8" s="353"/>
      <c r="C8" s="358" t="s">
        <v>3437</v>
      </c>
      <c r="D8" s="355">
        <v>100</v>
      </c>
      <c r="E8" s="358" t="s">
        <v>3444</v>
      </c>
      <c r="F8" s="357">
        <f>SUMIF(55:55,E8,56:56)-SUMIF(55:55,C8,56:56)+100</f>
        <v>108</v>
      </c>
      <c r="G8" s="358" t="s">
        <v>3444</v>
      </c>
      <c r="H8" s="355">
        <f>SUMIF(55:55,G8,56:56)-SUMIF(55:55,C8,56:56)+100</f>
        <v>108</v>
      </c>
      <c r="I8" s="358" t="s">
        <v>3444</v>
      </c>
      <c r="J8" s="355">
        <f>SUMIF(55:55,I8,56:56)-SUMIF(55:55,C8,56:56)+100</f>
        <v>108</v>
      </c>
      <c r="K8" s="38"/>
      <c r="L8" s="862"/>
      <c r="M8" s="863"/>
      <c r="N8" s="863"/>
      <c r="O8" s="863"/>
      <c r="P8" s="3421" t="s">
        <v>1683</v>
      </c>
      <c r="Q8" s="3422"/>
      <c r="R8" s="664" t="s">
        <v>14</v>
      </c>
      <c r="S8" s="665">
        <f t="shared" si="0"/>
        <v>108</v>
      </c>
      <c r="T8" s="664" t="s">
        <v>14</v>
      </c>
      <c r="U8" s="665">
        <f t="shared" si="1"/>
        <v>108</v>
      </c>
      <c r="V8" s="664" t="s">
        <v>14</v>
      </c>
      <c r="W8" s="665">
        <f t="shared" si="2"/>
        <v>108</v>
      </c>
      <c r="X8" s="666"/>
      <c r="Y8" s="3421" t="s">
        <v>1683</v>
      </c>
      <c r="Z8" s="3422"/>
      <c r="AA8" s="50">
        <f t="shared" ref="AA8:AA40" si="3">D8/F8</f>
        <v>0.92592592592592593</v>
      </c>
      <c r="AB8" s="50">
        <f t="shared" ref="AB8:AB40" si="4">D8/H8</f>
        <v>0.92592592592592593</v>
      </c>
      <c r="AC8" s="50">
        <f t="shared" ref="AC8:AC40" si="5">D8/J8</f>
        <v>0.92592592592592593</v>
      </c>
    </row>
    <row r="9" spans="1:29" s="102" customFormat="1" ht="14.4">
      <c r="A9" s="359" t="s">
        <v>1684</v>
      </c>
      <c r="B9" s="60" t="s">
        <v>1685</v>
      </c>
      <c r="C9" s="3171" t="s">
        <v>3438</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133" t="str">
        <f>D59</f>
        <v>40（含）-30</v>
      </c>
      <c r="D10" s="119">
        <v>100</v>
      </c>
      <c r="E10" s="3133" t="str">
        <f>D59</f>
        <v>40（含）-30</v>
      </c>
      <c r="F10" s="119">
        <f>SUMIF(59:59,E10,60:60)-SUMIF(59:59,C10,60:60)+100</f>
        <v>100</v>
      </c>
      <c r="G10" s="3134" t="str">
        <f>E59</f>
        <v>30（含）-20</v>
      </c>
      <c r="H10" s="119">
        <f>SUMIF(59:59,G10,60:60)-SUMIF(59:59,C10,60:60)+100</f>
        <v>98</v>
      </c>
      <c r="I10" s="3133" t="str">
        <f>D59</f>
        <v>40（含）-30</v>
      </c>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98</v>
      </c>
      <c r="V10" s="664" t="s">
        <v>14</v>
      </c>
      <c r="W10" s="665">
        <f t="shared" si="2"/>
        <v>100</v>
      </c>
      <c r="X10" s="666"/>
      <c r="Y10" s="3273"/>
      <c r="Z10" s="50" t="str">
        <f t="shared" si="7"/>
        <v>土地使用年限（年）</v>
      </c>
      <c r="AA10" s="50">
        <f t="shared" si="3"/>
        <v>1</v>
      </c>
      <c r="AB10" s="50">
        <f t="shared" si="4"/>
        <v>1.0204081632653061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385"/>
      <c r="C16" s="386" t="s">
        <v>3461</v>
      </c>
      <c r="D16" s="387"/>
      <c r="E16" s="386" t="s">
        <v>3461</v>
      </c>
      <c r="F16" s="388"/>
      <c r="G16" s="386" t="s">
        <v>3461</v>
      </c>
      <c r="H16" s="389"/>
      <c r="I16" s="386" t="s">
        <v>3461</v>
      </c>
      <c r="J16" s="387"/>
      <c r="K16" s="541"/>
      <c r="L16" s="870"/>
      <c r="M16" s="861"/>
      <c r="N16" s="861"/>
      <c r="O16" s="869"/>
      <c r="P16" s="3394"/>
      <c r="Q16" s="1263"/>
      <c r="R16" s="667"/>
      <c r="S16" s="668"/>
      <c r="T16" s="667"/>
      <c r="U16" s="668"/>
      <c r="V16" s="667"/>
      <c r="W16" s="668"/>
      <c r="X16" s="1265"/>
      <c r="Y16" s="339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98</v>
      </c>
      <c r="G17" s="393"/>
      <c r="H17" s="394">
        <f>SUMIF(72:72,G18,73:73)-SUMIF(72:72,C18,73:73)+100</f>
        <v>100</v>
      </c>
      <c r="I17" s="391"/>
      <c r="J17" s="394">
        <f>SUMIF(72:72,I18,73:73)-SUMIF(72:72,C18,73:73)+100</f>
        <v>100</v>
      </c>
      <c r="K17" s="540">
        <v>2</v>
      </c>
      <c r="L17" s="870"/>
      <c r="M17" s="861"/>
      <c r="N17" s="861"/>
      <c r="O17" s="869"/>
      <c r="P17" s="3394"/>
      <c r="Q17" s="1263" t="str">
        <f>B17</f>
        <v>交通便捷度</v>
      </c>
      <c r="R17" s="667" t="s">
        <v>14</v>
      </c>
      <c r="S17" s="668">
        <f>F17</f>
        <v>98</v>
      </c>
      <c r="T17" s="667" t="s">
        <v>14</v>
      </c>
      <c r="U17" s="668">
        <f>H17</f>
        <v>100</v>
      </c>
      <c r="V17" s="667" t="s">
        <v>14</v>
      </c>
      <c r="W17" s="668">
        <f>J17</f>
        <v>100</v>
      </c>
      <c r="X17" s="1265"/>
      <c r="Y17" s="3394"/>
      <c r="Z17" s="1264" t="str">
        <f>Q17</f>
        <v>交通便捷度</v>
      </c>
      <c r="AA17" s="1264">
        <f t="shared" si="3"/>
        <v>1.0204081632653061</v>
      </c>
      <c r="AB17" s="1264">
        <f t="shared" si="4"/>
        <v>1</v>
      </c>
      <c r="AC17" s="1264">
        <f t="shared" si="5"/>
        <v>1</v>
      </c>
    </row>
    <row r="18" spans="1:29" ht="15">
      <c r="A18" s="367"/>
      <c r="B18" s="395"/>
      <c r="C18" s="1755" t="s">
        <v>3461</v>
      </c>
      <c r="D18" s="389"/>
      <c r="E18" s="1755" t="s">
        <v>3512</v>
      </c>
      <c r="F18" s="392"/>
      <c r="G18" s="1755" t="s">
        <v>3461</v>
      </c>
      <c r="H18" s="387"/>
      <c r="I18" s="1755" t="s">
        <v>3461</v>
      </c>
      <c r="J18" s="387"/>
      <c r="K18" s="541"/>
      <c r="L18" s="870"/>
      <c r="M18" s="861"/>
      <c r="N18" s="861"/>
      <c r="O18" s="869"/>
      <c r="P18" s="3394"/>
      <c r="Q18" s="1263"/>
      <c r="R18" s="667"/>
      <c r="S18" s="668"/>
      <c r="T18" s="667"/>
      <c r="U18" s="668"/>
      <c r="V18" s="667"/>
      <c r="W18" s="668"/>
      <c r="X18" s="1265"/>
      <c r="Y18" s="339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94"/>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t="s">
        <v>3461</v>
      </c>
      <c r="D20" s="387"/>
      <c r="E20" s="386" t="s">
        <v>3461</v>
      </c>
      <c r="F20" s="388"/>
      <c r="G20" s="386" t="s">
        <v>3461</v>
      </c>
      <c r="H20" s="387"/>
      <c r="I20" s="386" t="s">
        <v>3461</v>
      </c>
      <c r="J20" s="387"/>
      <c r="K20" s="541"/>
      <c r="L20" s="870"/>
      <c r="M20" s="861"/>
      <c r="N20" s="861"/>
      <c r="O20" s="869"/>
      <c r="P20" s="3394"/>
      <c r="Q20" s="1263"/>
      <c r="R20" s="667"/>
      <c r="S20" s="668"/>
      <c r="T20" s="667"/>
      <c r="U20" s="668"/>
      <c r="V20" s="667"/>
      <c r="W20" s="668"/>
      <c r="X20" s="1265"/>
      <c r="Y20" s="339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94"/>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t="s">
        <v>3453</v>
      </c>
      <c r="D22" s="387"/>
      <c r="E22" s="1755" t="s">
        <v>3453</v>
      </c>
      <c r="F22" s="388"/>
      <c r="G22" s="1755" t="s">
        <v>3453</v>
      </c>
      <c r="H22" s="387"/>
      <c r="I22" s="1755" t="s">
        <v>3453</v>
      </c>
      <c r="J22" s="387"/>
      <c r="K22" s="1064"/>
      <c r="L22" s="870"/>
      <c r="M22" s="861"/>
      <c r="N22" s="861"/>
      <c r="O22" s="869"/>
      <c r="P22" s="3394"/>
      <c r="Q22" s="1263"/>
      <c r="R22" s="667"/>
      <c r="S22" s="668"/>
      <c r="T22" s="667"/>
      <c r="U22" s="668"/>
      <c r="V22" s="667"/>
      <c r="W22" s="668"/>
      <c r="X22" s="1265"/>
      <c r="Y22" s="339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94"/>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264">
        <f t="shared" si="5"/>
        <v>1</v>
      </c>
    </row>
    <row r="24" spans="1:29" ht="15">
      <c r="A24" s="367"/>
      <c r="B24" s="586"/>
      <c r="C24" s="386" t="s">
        <v>3461</v>
      </c>
      <c r="D24" s="387"/>
      <c r="E24" s="386" t="s">
        <v>3461</v>
      </c>
      <c r="F24" s="388"/>
      <c r="G24" s="386" t="s">
        <v>3461</v>
      </c>
      <c r="H24" s="387"/>
      <c r="I24" s="386" t="s">
        <v>3461</v>
      </c>
      <c r="J24" s="387"/>
      <c r="K24" s="541"/>
      <c r="L24" s="870"/>
      <c r="M24" s="861"/>
      <c r="N24" s="861"/>
      <c r="O24" s="869"/>
      <c r="P24" s="3394"/>
      <c r="Q24" s="1263"/>
      <c r="R24" s="667"/>
      <c r="S24" s="668"/>
      <c r="T24" s="667"/>
      <c r="U24" s="668"/>
      <c r="V24" s="667"/>
      <c r="W24" s="668"/>
      <c r="X24" s="1265"/>
      <c r="Y24" s="33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4"/>
      <c r="Q25" s="1263">
        <f>B25</f>
        <v>111</v>
      </c>
      <c r="R25" s="667" t="s">
        <v>14</v>
      </c>
      <c r="S25" s="668">
        <f>F25</f>
        <v>100</v>
      </c>
      <c r="T25" s="667" t="s">
        <v>14</v>
      </c>
      <c r="U25" s="668">
        <f>H25</f>
        <v>100</v>
      </c>
      <c r="V25" s="667" t="s">
        <v>14</v>
      </c>
      <c r="W25" s="668">
        <f>J25</f>
        <v>100</v>
      </c>
      <c r="X25" s="1265"/>
      <c r="Y25" s="33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4"/>
      <c r="Q26" s="1263">
        <f t="shared" ref="Q26:Q40" si="11">B26</f>
        <v>111</v>
      </c>
      <c r="R26" s="667" t="s">
        <v>14</v>
      </c>
      <c r="S26" s="668">
        <f>F26</f>
        <v>100</v>
      </c>
      <c r="T26" s="667" t="s">
        <v>14</v>
      </c>
      <c r="U26" s="668">
        <f>H26</f>
        <v>100</v>
      </c>
      <c r="V26" s="667" t="s">
        <v>14</v>
      </c>
      <c r="W26" s="668">
        <f>J26</f>
        <v>100</v>
      </c>
      <c r="X26" s="1265"/>
      <c r="Y26" s="33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4"/>
      <c r="Q27" s="530">
        <f t="shared" si="11"/>
        <v>111</v>
      </c>
      <c r="R27" s="664" t="s">
        <v>14</v>
      </c>
      <c r="S27" s="665">
        <f>F27</f>
        <v>100</v>
      </c>
      <c r="T27" s="664" t="s">
        <v>14</v>
      </c>
      <c r="U27" s="665">
        <f>H27</f>
        <v>100</v>
      </c>
      <c r="V27" s="664" t="s">
        <v>14</v>
      </c>
      <c r="W27" s="665">
        <f>J27</f>
        <v>100</v>
      </c>
      <c r="X27" s="666"/>
      <c r="Y27" s="339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4"/>
      <c r="Q28" s="1263">
        <f t="shared" si="11"/>
        <v>111</v>
      </c>
      <c r="R28" s="667" t="s">
        <v>14</v>
      </c>
      <c r="S28" s="668">
        <f t="shared" ref="S28:S40" si="12">F28</f>
        <v>100</v>
      </c>
      <c r="T28" s="667" t="s">
        <v>14</v>
      </c>
      <c r="U28" s="668">
        <f t="shared" ref="U28:U40" si="13">H28</f>
        <v>100</v>
      </c>
      <c r="V28" s="667" t="s">
        <v>14</v>
      </c>
      <c r="W28" s="668">
        <f t="shared" ref="W28:W40" si="14">J28</f>
        <v>100</v>
      </c>
      <c r="X28" s="1265"/>
      <c r="Y28" s="3394"/>
      <c r="Z28" s="1264">
        <f t="shared" ref="Z28:Z40" si="15">Q28</f>
        <v>111</v>
      </c>
      <c r="AA28" s="1264">
        <f t="shared" si="3"/>
        <v>1</v>
      </c>
      <c r="AB28" s="1264">
        <f t="shared" si="4"/>
        <v>1</v>
      </c>
      <c r="AC28" s="1264">
        <f t="shared" si="5"/>
        <v>1</v>
      </c>
    </row>
    <row r="29" spans="1:29" ht="30">
      <c r="A29" s="404" t="s">
        <v>1694</v>
      </c>
      <c r="B29" s="60" t="s">
        <v>1817</v>
      </c>
      <c r="C29" s="1764" t="s">
        <v>3446</v>
      </c>
      <c r="D29" s="405">
        <v>100</v>
      </c>
      <c r="E29" s="1764" t="s">
        <v>3446</v>
      </c>
      <c r="F29" s="400">
        <f>SUMIF(88:88,E29,89:89)-SUMIF(88:88,C29,89:89)+100</f>
        <v>100</v>
      </c>
      <c r="G29" s="1764" t="s">
        <v>3446</v>
      </c>
      <c r="H29" s="374">
        <f>SUMIF(88:88,G29,89:89)-SUMIF(88:88,C29,89:89)+100</f>
        <v>100</v>
      </c>
      <c r="I29" s="1764" t="s">
        <v>3446</v>
      </c>
      <c r="J29" s="405">
        <f>SUMIF(88:88,I29,89:89)-SUMIF(88:88,C29,89:89)+100</f>
        <v>100</v>
      </c>
      <c r="K29" s="538">
        <v>2</v>
      </c>
      <c r="L29" s="870"/>
      <c r="M29" s="861"/>
      <c r="N29" s="861"/>
      <c r="O29" s="869"/>
      <c r="P29" s="3395" t="s">
        <v>1696</v>
      </c>
      <c r="Q29" s="1263" t="str">
        <f t="shared" si="11"/>
        <v>建筑类型</v>
      </c>
      <c r="R29" s="667" t="s">
        <v>14</v>
      </c>
      <c r="S29" s="668">
        <f t="shared" si="12"/>
        <v>100</v>
      </c>
      <c r="T29" s="667" t="s">
        <v>14</v>
      </c>
      <c r="U29" s="668">
        <f t="shared" si="13"/>
        <v>100</v>
      </c>
      <c r="V29" s="667" t="s">
        <v>14</v>
      </c>
      <c r="W29" s="668">
        <f t="shared" si="14"/>
        <v>100</v>
      </c>
      <c r="X29" s="1265"/>
      <c r="Y29" s="3396" t="s">
        <v>1696</v>
      </c>
      <c r="Z29" s="1264" t="str">
        <f t="shared" si="15"/>
        <v>建筑类型</v>
      </c>
      <c r="AA29" s="1264">
        <f t="shared" si="3"/>
        <v>1</v>
      </c>
      <c r="AB29" s="1264">
        <f t="shared" si="4"/>
        <v>1</v>
      </c>
      <c r="AC29" s="1264">
        <f t="shared" si="5"/>
        <v>1</v>
      </c>
    </row>
    <row r="30" spans="1:29" s="408" customFormat="1" ht="15">
      <c r="A30" s="406"/>
      <c r="B30" s="364" t="s">
        <v>1697</v>
      </c>
      <c r="C30" s="407">
        <f>'数据-汇总表'!E3</f>
        <v>3830.64</v>
      </c>
      <c r="D30" s="119">
        <v>100</v>
      </c>
      <c r="E30" s="407">
        <v>2000</v>
      </c>
      <c r="F30" s="364">
        <f>LOOKUP(E30,91:91,92:92)-LOOKUP(C30,91:91,92:92)+100</f>
        <v>100</v>
      </c>
      <c r="G30" s="407">
        <v>3620.52</v>
      </c>
      <c r="H30" s="119">
        <f>LOOKUP(G30,91:91,92:92)-LOOKUP(C30,91:91,92:92)+100</f>
        <v>100</v>
      </c>
      <c r="I30" s="407">
        <v>2220</v>
      </c>
      <c r="J30" s="119">
        <f>LOOKUP(I30,91:91,92:92)-LOOKUP(C30,91:91,92:92)+100</f>
        <v>100</v>
      </c>
      <c r="K30" s="539"/>
      <c r="L30" s="868"/>
      <c r="M30" s="871"/>
      <c r="N30" s="871"/>
      <c r="O30" s="872"/>
      <c r="P30" s="3396"/>
      <c r="Q30" s="531" t="str">
        <f t="shared" si="11"/>
        <v>项目建筑规模</v>
      </c>
      <c r="R30" s="669" t="s">
        <v>14</v>
      </c>
      <c r="S30" s="670">
        <f t="shared" si="12"/>
        <v>100</v>
      </c>
      <c r="T30" s="669" t="s">
        <v>14</v>
      </c>
      <c r="U30" s="670">
        <f t="shared" si="13"/>
        <v>100</v>
      </c>
      <c r="V30" s="669" t="s">
        <v>14</v>
      </c>
      <c r="W30" s="670">
        <f t="shared" si="14"/>
        <v>100</v>
      </c>
      <c r="X30" s="671"/>
      <c r="Y30" s="3396"/>
      <c r="Z30" s="672" t="str">
        <f t="shared" si="15"/>
        <v>项目建筑规模</v>
      </c>
      <c r="AA30" s="1264">
        <f t="shared" si="3"/>
        <v>1</v>
      </c>
      <c r="AB30" s="1264">
        <f t="shared" si="4"/>
        <v>1</v>
      </c>
      <c r="AC30" s="1264">
        <f t="shared" si="5"/>
        <v>1</v>
      </c>
    </row>
    <row r="31" spans="1:29" ht="15">
      <c r="A31" s="409"/>
      <c r="B31" s="364" t="s">
        <v>1698</v>
      </c>
      <c r="C31" s="399" t="s">
        <v>3432</v>
      </c>
      <c r="D31" s="374">
        <v>100</v>
      </c>
      <c r="E31" s="399" t="s">
        <v>3432</v>
      </c>
      <c r="F31" s="400">
        <f>SUMIF(93:93,E31,94:94)-SUMIF(93:93,C31,94:94)+100</f>
        <v>100</v>
      </c>
      <c r="G31" s="399" t="s">
        <v>3432</v>
      </c>
      <c r="H31" s="374">
        <f>SUMIF(93:93,G31,94:94)-SUMIF(93:93,C31,94:94)+100</f>
        <v>100</v>
      </c>
      <c r="I31" s="399" t="s">
        <v>3432</v>
      </c>
      <c r="J31" s="374">
        <f>SUMIF(93:93,I31,94:94)-SUMIF(93:93,C31,94:94)+100</f>
        <v>100</v>
      </c>
      <c r="K31" s="538">
        <v>1</v>
      </c>
      <c r="L31" s="870"/>
      <c r="M31" s="861"/>
      <c r="N31" s="861"/>
      <c r="O31" s="869"/>
      <c r="P31" s="3396"/>
      <c r="Q31" s="1263" t="str">
        <f t="shared" si="11"/>
        <v>建筑结构</v>
      </c>
      <c r="R31" s="667" t="s">
        <v>14</v>
      </c>
      <c r="S31" s="668">
        <f t="shared" si="12"/>
        <v>100</v>
      </c>
      <c r="T31" s="667" t="s">
        <v>14</v>
      </c>
      <c r="U31" s="668">
        <f t="shared" si="13"/>
        <v>100</v>
      </c>
      <c r="V31" s="667" t="s">
        <v>14</v>
      </c>
      <c r="W31" s="668">
        <f t="shared" si="14"/>
        <v>100</v>
      </c>
      <c r="X31" s="1265"/>
      <c r="Y31" s="3396"/>
      <c r="Z31" s="1264" t="str">
        <f t="shared" si="15"/>
        <v>建筑结构</v>
      </c>
      <c r="AA31" s="1264">
        <f t="shared" si="3"/>
        <v>1</v>
      </c>
      <c r="AB31" s="1264">
        <f t="shared" si="4"/>
        <v>1</v>
      </c>
      <c r="AC31" s="1264">
        <f t="shared" si="5"/>
        <v>1</v>
      </c>
    </row>
    <row r="32" spans="1:29" ht="15">
      <c r="A32" s="409"/>
      <c r="B32" s="364" t="s">
        <v>1785</v>
      </c>
      <c r="C32" s="399" t="s">
        <v>3449</v>
      </c>
      <c r="D32" s="374">
        <v>100</v>
      </c>
      <c r="E32" s="399" t="s">
        <v>3449</v>
      </c>
      <c r="F32" s="400">
        <f>SUMIF(95:95,E32,96:96)-SUMIF(95:95,C32,96:96)+100</f>
        <v>100</v>
      </c>
      <c r="G32" s="399" t="s">
        <v>3449</v>
      </c>
      <c r="H32" s="374">
        <f>SUMIF(95:95,G32,96:96)-SUMIF(95:95,C32,96:96)+100</f>
        <v>100</v>
      </c>
      <c r="I32" s="399" t="s">
        <v>3449</v>
      </c>
      <c r="J32" s="374">
        <f>SUMIF(95:95,I32,96:96)-SUMIF(95:95,C32,96:96)+100</f>
        <v>100</v>
      </c>
      <c r="K32" s="538">
        <v>2</v>
      </c>
      <c r="L32" s="870"/>
      <c r="M32" s="861"/>
      <c r="N32" s="861"/>
      <c r="O32" s="869"/>
      <c r="P32" s="3396"/>
      <c r="Q32" s="1263" t="str">
        <f t="shared" si="11"/>
        <v>公共部分装修</v>
      </c>
      <c r="R32" s="667" t="s">
        <v>14</v>
      </c>
      <c r="S32" s="668">
        <f t="shared" si="12"/>
        <v>100</v>
      </c>
      <c r="T32" s="667" t="s">
        <v>14</v>
      </c>
      <c r="U32" s="668">
        <f t="shared" si="13"/>
        <v>100</v>
      </c>
      <c r="V32" s="667" t="s">
        <v>14</v>
      </c>
      <c r="W32" s="668">
        <f t="shared" si="14"/>
        <v>100</v>
      </c>
      <c r="X32" s="1265"/>
      <c r="Y32" s="3396"/>
      <c r="Z32" s="1264" t="str">
        <f t="shared" si="15"/>
        <v>公共部分装修</v>
      </c>
      <c r="AA32" s="1264">
        <f t="shared" si="3"/>
        <v>1</v>
      </c>
      <c r="AB32" s="1264">
        <f t="shared" si="4"/>
        <v>1</v>
      </c>
      <c r="AC32" s="1264">
        <f t="shared" si="5"/>
        <v>1</v>
      </c>
    </row>
    <row r="33" spans="1:29" ht="15">
      <c r="A33" s="409"/>
      <c r="B33" s="364" t="s">
        <v>1786</v>
      </c>
      <c r="C33" s="3175">
        <f>'数据-取费表'!N6</f>
        <v>0.8</v>
      </c>
      <c r="D33" s="374">
        <v>100</v>
      </c>
      <c r="E33" s="3175">
        <v>0.85</v>
      </c>
      <c r="F33" s="400">
        <f>LOOKUP(E33,98:98,99:99)-LOOKUP(C33,98:98,99:99)+100</f>
        <v>100</v>
      </c>
      <c r="G33" s="3175">
        <v>0.63</v>
      </c>
      <c r="H33" s="400">
        <f>LOOKUP(G33,98:98,99:99)-LOOKUP(C33,98:98,99:99)+100</f>
        <v>98</v>
      </c>
      <c r="I33" s="3175">
        <v>0.8</v>
      </c>
      <c r="J33" s="374">
        <f>LOOKUP(I33,98:98,99:99)-LOOKUP(C33,98:98,99:99)+100</f>
        <v>100</v>
      </c>
      <c r="K33" s="538">
        <v>1</v>
      </c>
      <c r="L33" s="870"/>
      <c r="M33" s="861"/>
      <c r="N33" s="861"/>
      <c r="O33" s="869"/>
      <c r="P33" s="3396"/>
      <c r="Q33" s="1263" t="str">
        <f t="shared" si="11"/>
        <v>成新度</v>
      </c>
      <c r="R33" s="667" t="s">
        <v>14</v>
      </c>
      <c r="S33" s="668">
        <f t="shared" si="12"/>
        <v>100</v>
      </c>
      <c r="T33" s="667" t="s">
        <v>14</v>
      </c>
      <c r="U33" s="668">
        <f t="shared" si="13"/>
        <v>98</v>
      </c>
      <c r="V33" s="667" t="s">
        <v>14</v>
      </c>
      <c r="W33" s="668">
        <f t="shared" si="14"/>
        <v>100</v>
      </c>
      <c r="X33" s="1265"/>
      <c r="Y33" s="3396"/>
      <c r="Z33" s="1264" t="str">
        <f t="shared" si="15"/>
        <v>成新度</v>
      </c>
      <c r="AA33" s="1264">
        <f t="shared" si="3"/>
        <v>1</v>
      </c>
      <c r="AB33" s="1264">
        <f t="shared" si="4"/>
        <v>1.0204081632653061</v>
      </c>
      <c r="AC33" s="1264">
        <f t="shared" si="5"/>
        <v>1</v>
      </c>
    </row>
    <row r="34" spans="1:29" s="102" customFormat="1" ht="15">
      <c r="A34" s="410"/>
      <c r="B34" s="364" t="s">
        <v>1819</v>
      </c>
      <c r="C34" s="399" t="s">
        <v>3451</v>
      </c>
      <c r="D34" s="119">
        <v>100</v>
      </c>
      <c r="E34" s="399" t="s">
        <v>3451</v>
      </c>
      <c r="F34" s="400">
        <f>SUMIF(100:100,E34,101:101)-SUMIF(100:100,C34,101:101)+100</f>
        <v>100</v>
      </c>
      <c r="G34" s="399" t="s">
        <v>3451</v>
      </c>
      <c r="H34" s="374">
        <f>SUMIF(100:100,G34,101:101)-SUMIF(100:100,C34,101:101)+100</f>
        <v>100</v>
      </c>
      <c r="I34" s="399" t="s">
        <v>3451</v>
      </c>
      <c r="J34" s="374">
        <f>SUMIF(100:100,I34,101:101)-SUMIF(100:100,C34,101:101)+100</f>
        <v>100</v>
      </c>
      <c r="K34" s="538">
        <v>1</v>
      </c>
      <c r="L34" s="862"/>
      <c r="M34" s="863"/>
      <c r="N34" s="863"/>
      <c r="O34" s="864"/>
      <c r="P34" s="3396"/>
      <c r="Q34" s="530" t="str">
        <f t="shared" si="11"/>
        <v>物业管理</v>
      </c>
      <c r="R34" s="664" t="s">
        <v>14</v>
      </c>
      <c r="S34" s="665">
        <f t="shared" si="12"/>
        <v>100</v>
      </c>
      <c r="T34" s="664" t="s">
        <v>14</v>
      </c>
      <c r="U34" s="665">
        <f t="shared" si="13"/>
        <v>100</v>
      </c>
      <c r="V34" s="664" t="s">
        <v>14</v>
      </c>
      <c r="W34" s="665">
        <f t="shared" si="14"/>
        <v>100</v>
      </c>
      <c r="X34" s="666"/>
      <c r="Y34" s="3396"/>
      <c r="Z34" s="50" t="str">
        <f t="shared" si="15"/>
        <v>物业管理</v>
      </c>
      <c r="AA34" s="50">
        <f t="shared" si="3"/>
        <v>1</v>
      </c>
      <c r="AB34" s="50">
        <f t="shared" si="4"/>
        <v>1</v>
      </c>
      <c r="AC34" s="50">
        <f t="shared" si="5"/>
        <v>1</v>
      </c>
    </row>
    <row r="35" spans="1:29" ht="15">
      <c r="A35" s="409"/>
      <c r="B35" s="364" t="s">
        <v>1787</v>
      </c>
      <c r="C35" s="399" t="s">
        <v>3456</v>
      </c>
      <c r="D35" s="374">
        <v>100</v>
      </c>
      <c r="E35" s="399" t="s">
        <v>3456</v>
      </c>
      <c r="F35" s="400">
        <f>SUMIF(102:102,E35,103:103)-SUMIF(102:102,C35,103:103)+100</f>
        <v>100</v>
      </c>
      <c r="G35" s="399" t="s">
        <v>3456</v>
      </c>
      <c r="H35" s="374">
        <f>SUMIF(102:102,G35,103:103)-SUMIF(102:102,C35,103:103)+100</f>
        <v>100</v>
      </c>
      <c r="I35" s="399" t="s">
        <v>3456</v>
      </c>
      <c r="J35" s="374">
        <f>SUMIF(102:102,I35,103:103)-SUMIF(102:102,C35,103:103)+100</f>
        <v>100</v>
      </c>
      <c r="K35" s="538">
        <v>1</v>
      </c>
      <c r="L35" s="870"/>
      <c r="M35" s="861"/>
      <c r="N35" s="861"/>
      <c r="O35" s="869"/>
      <c r="P35" s="3396" t="s">
        <v>1696</v>
      </c>
      <c r="Q35" s="1263" t="str">
        <f t="shared" si="11"/>
        <v>市政基础设施</v>
      </c>
      <c r="R35" s="667" t="s">
        <v>14</v>
      </c>
      <c r="S35" s="668">
        <f t="shared" si="12"/>
        <v>100</v>
      </c>
      <c r="T35" s="667" t="s">
        <v>14</v>
      </c>
      <c r="U35" s="668">
        <f t="shared" si="13"/>
        <v>100</v>
      </c>
      <c r="V35" s="667" t="s">
        <v>14</v>
      </c>
      <c r="W35" s="668">
        <f t="shared" si="14"/>
        <v>100</v>
      </c>
      <c r="X35" s="1265"/>
      <c r="Y35" s="3396" t="s">
        <v>1696</v>
      </c>
      <c r="Z35" s="1264" t="str">
        <f t="shared" si="15"/>
        <v>市政基础设施</v>
      </c>
      <c r="AA35" s="1264">
        <f t="shared" si="3"/>
        <v>1</v>
      </c>
      <c r="AB35" s="1264">
        <f t="shared" si="4"/>
        <v>1</v>
      </c>
      <c r="AC35" s="1264">
        <f t="shared" si="5"/>
        <v>1</v>
      </c>
    </row>
    <row r="36" spans="1:29" ht="15">
      <c r="A36" s="409"/>
      <c r="B36" s="364" t="s">
        <v>1792</v>
      </c>
      <c r="C36" s="399" t="s">
        <v>3449</v>
      </c>
      <c r="D36" s="374">
        <v>100</v>
      </c>
      <c r="E36" s="399" t="s">
        <v>3449</v>
      </c>
      <c r="F36" s="400">
        <f>SUMIF(104:104,E36,105:105)-SUMIF(104:104,C36,105:105)+100</f>
        <v>100</v>
      </c>
      <c r="G36" s="399" t="s">
        <v>3449</v>
      </c>
      <c r="H36" s="374">
        <f>SUMIF(104:104,G36,105:105)-SUMIF(104:104,C36,105:105)+100</f>
        <v>100</v>
      </c>
      <c r="I36" s="399" t="s">
        <v>3449</v>
      </c>
      <c r="J36" s="374">
        <f>SUMIF(104:104,I36,105:105)-SUMIF(104:104,C36,105:105)+100</f>
        <v>100</v>
      </c>
      <c r="K36" s="538">
        <v>2</v>
      </c>
      <c r="L36" s="870"/>
      <c r="M36" s="861"/>
      <c r="N36" s="861"/>
      <c r="O36" s="869"/>
      <c r="P36" s="3396"/>
      <c r="Q36" s="1263" t="str">
        <f t="shared" si="11"/>
        <v>内部装修</v>
      </c>
      <c r="R36" s="667" t="s">
        <v>14</v>
      </c>
      <c r="S36" s="668">
        <f t="shared" si="12"/>
        <v>100</v>
      </c>
      <c r="T36" s="667" t="s">
        <v>14</v>
      </c>
      <c r="U36" s="668">
        <f t="shared" si="13"/>
        <v>100</v>
      </c>
      <c r="V36" s="667" t="s">
        <v>14</v>
      </c>
      <c r="W36" s="668">
        <f t="shared" si="14"/>
        <v>100</v>
      </c>
      <c r="X36" s="1265"/>
      <c r="Y36" s="3396"/>
      <c r="Z36" s="1264" t="str">
        <f t="shared" si="15"/>
        <v>内部装修</v>
      </c>
      <c r="AA36" s="1264">
        <f t="shared" si="3"/>
        <v>1</v>
      </c>
      <c r="AB36" s="1264">
        <f t="shared" si="4"/>
        <v>1</v>
      </c>
      <c r="AC36" s="1264">
        <f t="shared" si="5"/>
        <v>1</v>
      </c>
    </row>
    <row r="37" spans="1:29" ht="15">
      <c r="A37" s="409"/>
      <c r="B37" s="364" t="s">
        <v>1828</v>
      </c>
      <c r="C37" s="542" t="s">
        <v>3461</v>
      </c>
      <c r="D37" s="374">
        <v>100</v>
      </c>
      <c r="E37" s="542" t="s">
        <v>3461</v>
      </c>
      <c r="F37" s="400">
        <f>SUMIF(106:106,E37,107:107)-SUMIF(106:106,C37,107:107)+100</f>
        <v>100</v>
      </c>
      <c r="G37" s="542" t="s">
        <v>3461</v>
      </c>
      <c r="H37" s="374">
        <f>SUMIF(106:106,G37,107:107)-SUMIF(106:106,C37,107:107)+100</f>
        <v>100</v>
      </c>
      <c r="I37" s="542" t="s">
        <v>3461</v>
      </c>
      <c r="J37" s="374">
        <f>SUMIF(106:106,I37,107:107)-SUMIF(106:106,C37,107:107)+100</f>
        <v>100</v>
      </c>
      <c r="K37" s="538">
        <v>1</v>
      </c>
      <c r="L37" s="870"/>
      <c r="M37" s="861"/>
      <c r="N37" s="861"/>
      <c r="O37" s="869"/>
      <c r="P37" s="3396"/>
      <c r="Q37" s="1263" t="str">
        <f t="shared" si="11"/>
        <v>内部装修状况</v>
      </c>
      <c r="R37" s="667" t="s">
        <v>14</v>
      </c>
      <c r="S37" s="668">
        <f t="shared" si="12"/>
        <v>100</v>
      </c>
      <c r="T37" s="667" t="s">
        <v>14</v>
      </c>
      <c r="U37" s="668">
        <f t="shared" si="13"/>
        <v>100</v>
      </c>
      <c r="V37" s="667" t="s">
        <v>14</v>
      </c>
      <c r="W37" s="668">
        <f t="shared" si="14"/>
        <v>100</v>
      </c>
      <c r="X37" s="1265"/>
      <c r="Y37" s="3396"/>
      <c r="Z37" s="1264" t="str">
        <f t="shared" si="15"/>
        <v>内部装修状况</v>
      </c>
      <c r="AA37" s="1264">
        <f t="shared" si="3"/>
        <v>1</v>
      </c>
      <c r="AB37" s="1264">
        <f t="shared" si="4"/>
        <v>1</v>
      </c>
      <c r="AC37" s="1264">
        <f t="shared" si="5"/>
        <v>1</v>
      </c>
    </row>
    <row r="38" spans="1:29" s="408" customFormat="1" ht="15">
      <c r="A38" s="406"/>
      <c r="B38" s="3176" t="s">
        <v>3495</v>
      </c>
      <c r="C38" s="3181" t="s">
        <v>3496</v>
      </c>
      <c r="D38" s="374">
        <v>100</v>
      </c>
      <c r="E38" s="3182" t="s">
        <v>3496</v>
      </c>
      <c r="F38" s="400">
        <f>SUMIF(108:108,E38,109:109)-SUMIF(108:108,C38,109:109)+100</f>
        <v>100</v>
      </c>
      <c r="G38" s="3182" t="s">
        <v>3496</v>
      </c>
      <c r="H38" s="374">
        <f>SUMIF(108:108,G38,109:109)-SUMIF(108:108,C38,109:109)+100</f>
        <v>100</v>
      </c>
      <c r="I38" s="3182" t="s">
        <v>3505</v>
      </c>
      <c r="J38" s="374">
        <f>SUMIF(108:108,I38,109:1038)-SUMIF(108:108,C38,109:109)+100</f>
        <v>105</v>
      </c>
      <c r="K38" s="539"/>
      <c r="L38" s="868"/>
      <c r="M38" s="871"/>
      <c r="N38" s="871"/>
      <c r="O38" s="872"/>
      <c r="P38" s="3396"/>
      <c r="Q38" s="531" t="str">
        <f t="shared" si="11"/>
        <v>是否有地下</v>
      </c>
      <c r="R38" s="669" t="s">
        <v>14</v>
      </c>
      <c r="S38" s="670">
        <f t="shared" si="12"/>
        <v>100</v>
      </c>
      <c r="T38" s="669" t="s">
        <v>14</v>
      </c>
      <c r="U38" s="670">
        <f t="shared" si="13"/>
        <v>100</v>
      </c>
      <c r="V38" s="669" t="s">
        <v>14</v>
      </c>
      <c r="W38" s="670">
        <f t="shared" si="14"/>
        <v>105</v>
      </c>
      <c r="X38" s="671"/>
      <c r="Y38" s="3396"/>
      <c r="Z38" s="672" t="str">
        <f t="shared" si="15"/>
        <v>是否有地下</v>
      </c>
      <c r="AA38" s="1264">
        <f t="shared" si="3"/>
        <v>1</v>
      </c>
      <c r="AB38" s="1264">
        <f t="shared" si="4"/>
        <v>1</v>
      </c>
      <c r="AC38" s="1264">
        <f t="shared" si="5"/>
        <v>0.95238095238095233</v>
      </c>
    </row>
    <row r="39" spans="1:29" ht="15">
      <c r="A39" s="409"/>
      <c r="B39" s="3176"/>
      <c r="C39" s="407">
        <f>'数据-取费表'!N18</f>
        <v>2013</v>
      </c>
      <c r="D39" s="374">
        <v>100</v>
      </c>
      <c r="E39" s="373">
        <v>2016</v>
      </c>
      <c r="F39" s="400">
        <f>SUMIF(110:110,E39,111:111)-SUMIF(110:110,C39,111:111)+100</f>
        <v>100</v>
      </c>
      <c r="G39" s="407"/>
      <c r="H39" s="374">
        <f>SUMIF(110:110,G39,111:111)-SUMIF(110:110,C39,111:111)+100</f>
        <v>100</v>
      </c>
      <c r="I39" s="407" t="s">
        <v>3508</v>
      </c>
      <c r="J39" s="374">
        <f>SUMIF(110:110,I39,111:111)-SUMIF(110:110,C39,111:111)+100</f>
        <v>100</v>
      </c>
      <c r="K39" s="539"/>
      <c r="L39" s="870"/>
      <c r="M39" s="861"/>
      <c r="N39" s="861"/>
      <c r="O39" s="869"/>
      <c r="P39" s="3396"/>
      <c r="Q39" s="1263">
        <f t="shared" si="11"/>
        <v>0</v>
      </c>
      <c r="R39" s="667" t="s">
        <v>14</v>
      </c>
      <c r="S39" s="668">
        <f t="shared" si="12"/>
        <v>100</v>
      </c>
      <c r="T39" s="667" t="s">
        <v>14</v>
      </c>
      <c r="U39" s="668">
        <f t="shared" si="13"/>
        <v>100</v>
      </c>
      <c r="V39" s="667" t="s">
        <v>14</v>
      </c>
      <c r="W39" s="668">
        <f t="shared" si="14"/>
        <v>100</v>
      </c>
      <c r="X39" s="1265"/>
      <c r="Y39" s="3396"/>
      <c r="Z39" s="1264">
        <f t="shared" si="15"/>
        <v>0</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7"/>
      <c r="Q40" s="1263">
        <f t="shared" si="11"/>
        <v>111</v>
      </c>
      <c r="R40" s="667" t="s">
        <v>14</v>
      </c>
      <c r="S40" s="668">
        <f t="shared" si="12"/>
        <v>100</v>
      </c>
      <c r="T40" s="667" t="s">
        <v>14</v>
      </c>
      <c r="U40" s="668">
        <f t="shared" si="13"/>
        <v>100</v>
      </c>
      <c r="V40" s="667" t="s">
        <v>14</v>
      </c>
      <c r="W40" s="668">
        <f t="shared" si="14"/>
        <v>100</v>
      </c>
      <c r="X40" s="1265"/>
      <c r="Y40" s="3397"/>
      <c r="Z40" s="1264">
        <f t="shared" si="15"/>
        <v>111</v>
      </c>
      <c r="AA40" s="1264">
        <f t="shared" si="3"/>
        <v>1</v>
      </c>
      <c r="AB40" s="1264">
        <f t="shared" si="4"/>
        <v>1</v>
      </c>
      <c r="AC40" s="1264">
        <f t="shared" si="5"/>
        <v>1</v>
      </c>
    </row>
    <row r="41" spans="1:29" ht="14.4">
      <c r="A41" s="416" t="s">
        <v>1708</v>
      </c>
      <c r="B41" s="417"/>
      <c r="C41" s="1081" t="s">
        <v>0</v>
      </c>
      <c r="D41" s="418"/>
      <c r="E41" s="419">
        <v>14000</v>
      </c>
      <c r="F41" s="420"/>
      <c r="G41" s="421">
        <v>14004</v>
      </c>
      <c r="H41" s="422"/>
      <c r="I41" s="419">
        <v>15000</v>
      </c>
      <c r="J41" s="422"/>
      <c r="K41" s="674"/>
      <c r="L41" s="873"/>
      <c r="M41" s="861"/>
      <c r="N41" s="861"/>
      <c r="O41" s="861"/>
      <c r="P41" s="3388" t="str">
        <f>A41</f>
        <v>成交单价（元/平方米）</v>
      </c>
      <c r="Q41" s="3388"/>
      <c r="R41" s="3389">
        <f>E41</f>
        <v>14000</v>
      </c>
      <c r="S41" s="3389"/>
      <c r="T41" s="3389">
        <f>G41</f>
        <v>14004</v>
      </c>
      <c r="U41" s="3389"/>
      <c r="V41" s="3389">
        <f>I41</f>
        <v>15000</v>
      </c>
      <c r="W41" s="3389"/>
      <c r="X41" s="385"/>
      <c r="Y41" s="673"/>
      <c r="Z41" s="385"/>
      <c r="AA41" s="385"/>
      <c r="AB41" s="385"/>
      <c r="AC41" s="385"/>
    </row>
    <row r="42" spans="1:29" ht="15" thickBot="1">
      <c r="A42" s="423" t="s">
        <v>1793</v>
      </c>
      <c r="B42" s="424"/>
      <c r="C42" s="1082">
        <f>R43</f>
        <v>13319</v>
      </c>
      <c r="D42" s="2141" t="s">
        <v>2138</v>
      </c>
      <c r="E42" s="1083">
        <f>R42</f>
        <v>13228</v>
      </c>
      <c r="F42" s="2142"/>
      <c r="G42" s="1082">
        <f>T42</f>
        <v>13501</v>
      </c>
      <c r="H42" s="2142"/>
      <c r="I42" s="1083">
        <f>V42</f>
        <v>13228</v>
      </c>
      <c r="J42" s="2142"/>
      <c r="K42" s="2144">
        <f>F42+H42+J42</f>
        <v>0</v>
      </c>
      <c r="L42" s="873"/>
      <c r="M42" s="861"/>
      <c r="N42" s="861"/>
      <c r="O42" s="861"/>
      <c r="P42" s="3388" t="str">
        <f>A42</f>
        <v>比较价值（元/平方米）</v>
      </c>
      <c r="Q42" s="3388"/>
      <c r="R42" s="3389">
        <f>IF(F1="售价",ROUND(PRODUCT(R41,AA7:AA40),0),ROUND(PRODUCT(R41,AA7:AA40),1))</f>
        <v>13228</v>
      </c>
      <c r="S42" s="3389"/>
      <c r="T42" s="3389">
        <f>IF(F1="售价",ROUND(PRODUCT(T41,AB7:AB40),0),ROUND(PRODUCT(T41,AB7:AB40),1))</f>
        <v>13501</v>
      </c>
      <c r="U42" s="3389"/>
      <c r="V42" s="3389">
        <f>IF(F1="售价",ROUND(PRODUCT(V41,AC7:AC40),0),ROUND(PRODUCT(V41,AC7:AC40),1))</f>
        <v>13228</v>
      </c>
      <c r="W42" s="3389"/>
      <c r="X42" s="385"/>
      <c r="Y42" s="385"/>
      <c r="Z42" s="385"/>
      <c r="AA42" s="385"/>
      <c r="AB42" s="385"/>
      <c r="AC42" s="385"/>
    </row>
    <row r="43" spans="1:29" ht="15" thickBot="1">
      <c r="A43" s="427" t="s">
        <v>1794</v>
      </c>
      <c r="B43" s="428"/>
      <c r="C43" s="351">
        <f>R43</f>
        <v>13319</v>
      </c>
      <c r="D43" s="351"/>
      <c r="E43" s="351"/>
      <c r="F43" s="351"/>
      <c r="G43" s="351"/>
      <c r="H43" s="351"/>
      <c r="I43" s="351"/>
      <c r="J43" s="351"/>
      <c r="K43" s="675"/>
      <c r="L43" s="873"/>
      <c r="M43" s="861"/>
      <c r="N43" s="861"/>
      <c r="O43" s="861"/>
      <c r="P43" s="3390" t="str">
        <f>A43</f>
        <v>估价对象XX用房的比较价值（楼面单价，元/平方米）</v>
      </c>
      <c r="Q43" s="3391"/>
      <c r="R43" s="3392">
        <f>IF(F1="售价",ROUND(IF(D42="简单平均",AVERAGE(R42:V42),R42*F42+T42*H42+V42*J42),0),ROUND(IF(D42="简单平均",AVERAGE(R42:V42),R42*F42+T42*H42+V42*J42),1))</f>
        <v>13319</v>
      </c>
      <c r="S43" s="3392"/>
      <c r="T43" s="3392"/>
      <c r="U43" s="3392"/>
      <c r="V43" s="3392"/>
      <c r="W43" s="339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5.836105231327493E-2</v>
      </c>
      <c r="F46" s="435" t="str">
        <f>IF(OR(E46&gt;=0.3,E46&lt;=-0.3),"超过30%","")</f>
        <v/>
      </c>
      <c r="G46" s="434">
        <f>IF(G41&lt;G42,G42/G41-1,G41/G42-1)</f>
        <v>3.7256499518554254E-2</v>
      </c>
      <c r="H46" s="435" t="str">
        <f>IF(OR(G46&gt;=0.3,G46&lt;=-0.3),"超过30%","")</f>
        <v/>
      </c>
      <c r="I46" s="434">
        <f>IF(I41&lt;I42,I42/I41-1,I41/I42-1)</f>
        <v>0.13395827033565166</v>
      </c>
      <c r="J46" s="435" t="str">
        <f>IF(OR(I46&gt;=0.3,I46&lt;=-0.3),"超过30%","")</f>
        <v/>
      </c>
      <c r="K46" s="2500"/>
      <c r="L46" s="836"/>
      <c r="M46" s="861"/>
      <c r="N46" s="861"/>
      <c r="O46" s="861"/>
    </row>
    <row r="47" spans="1:29" ht="13.5" customHeight="1">
      <c r="A47" s="2488"/>
      <c r="B47" s="2488"/>
      <c r="C47" s="432" t="s">
        <v>1796</v>
      </c>
      <c r="D47" s="436"/>
      <c r="E47" s="434">
        <f>IF(E42&lt;G42,G42/E42-1,E42/G42-1)</f>
        <v>2.0638040520108758E-2</v>
      </c>
      <c r="F47" s="435" t="str">
        <f>IF(OR(E47&gt;=0.2,E47&lt;=-0.2),"超过20%","")</f>
        <v/>
      </c>
      <c r="G47" s="434">
        <f>IF(G42&lt;I42,I42/G42-1,G42/I42-1)</f>
        <v>2.0638040520108758E-2</v>
      </c>
      <c r="H47" s="435" t="str">
        <f>IF(OR(G47&gt;=0.2,G47&lt;=-0.2),"超过20%","")</f>
        <v/>
      </c>
      <c r="I47" s="434">
        <f>IF(I42&lt;E42,E42/I42-1,I42/E42-1)</f>
        <v>0</v>
      </c>
      <c r="J47" s="435" t="str">
        <f>IF(OR(I47&gt;=0.2,I47&lt;=-0.2),"超过20%","")</f>
        <v/>
      </c>
      <c r="K47" s="2500"/>
      <c r="L47" s="836"/>
      <c r="M47" s="861"/>
      <c r="N47" s="861"/>
      <c r="O47" s="861"/>
    </row>
    <row r="48" spans="1:29" s="437" customFormat="1" ht="13.5" customHeight="1">
      <c r="A48" s="2498"/>
      <c r="B48" s="2498"/>
      <c r="C48" s="432" t="s">
        <v>1797</v>
      </c>
      <c r="D48" s="436"/>
      <c r="E48" s="434">
        <f>IF(E41&lt;G41,G41/E41-1,E41/G41-1)</f>
        <v>2.8571428571422253E-4</v>
      </c>
      <c r="F48" s="435" t="str">
        <f>IF(OR(E48&gt;=0.3,E48&lt;=-0.3),"超过30%","")</f>
        <v/>
      </c>
      <c r="G48" s="434">
        <f>IF(G41&lt;I41,I41/G41-1,G41/I41-1)</f>
        <v>7.1122536418166238E-2</v>
      </c>
      <c r="H48" s="435" t="str">
        <f>IF(OR(G48&gt;=0.3,G48&lt;=-0.3),"超过30%","")</f>
        <v/>
      </c>
      <c r="I48" s="434">
        <f>IF(I41&lt;E41,E41/I41-1,I41/E41-1)</f>
        <v>7.1428571428571397E-2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72" t="s">
        <v>3445</v>
      </c>
      <c r="E55" s="31"/>
      <c r="F55" s="31"/>
      <c r="G55" s="31"/>
      <c r="H55" s="31"/>
      <c r="I55" s="31"/>
      <c r="J55" s="31"/>
      <c r="K55" s="31"/>
      <c r="L55" s="457"/>
      <c r="M55" s="458"/>
      <c r="N55" s="878"/>
      <c r="O55" s="878"/>
      <c r="P55" s="459"/>
      <c r="Q55" s="439"/>
    </row>
    <row r="56" spans="1:17" s="102" customFormat="1" ht="14.4" thickBot="1">
      <c r="A56" s="455"/>
      <c r="B56" s="444"/>
      <c r="C56" s="563">
        <v>100</v>
      </c>
      <c r="D56" s="446">
        <v>108</v>
      </c>
      <c r="E56" s="446"/>
      <c r="F56" s="446"/>
      <c r="G56" s="446"/>
      <c r="H56" s="446"/>
      <c r="I56" s="446"/>
      <c r="J56" s="446"/>
      <c r="K56" s="446"/>
      <c r="L56" s="446"/>
      <c r="M56" s="448"/>
      <c r="N56" s="878"/>
      <c r="O56" s="878"/>
      <c r="P56" s="439"/>
      <c r="Q56" s="439"/>
    </row>
    <row r="57" spans="1:17" ht="14.4">
      <c r="A57" s="379" t="s">
        <v>1719</v>
      </c>
      <c r="B57" s="460" t="s">
        <v>1685</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t="s">
        <v>3439</v>
      </c>
      <c r="D59" s="513" t="s">
        <v>3440</v>
      </c>
      <c r="E59" s="513" t="s">
        <v>3441</v>
      </c>
      <c r="F59" s="513" t="s">
        <v>3442</v>
      </c>
      <c r="G59" s="513" t="s">
        <v>3443</v>
      </c>
      <c r="H59" s="513"/>
      <c r="I59" s="513"/>
      <c r="J59" s="513"/>
      <c r="K59" s="514"/>
      <c r="L59" s="515"/>
      <c r="M59" s="516"/>
      <c r="N59" s="879"/>
      <c r="O59" s="879"/>
      <c r="P59" s="40"/>
      <c r="Q59" s="439"/>
    </row>
    <row r="60" spans="1:17" ht="14.4"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 thickTop="1">
      <c r="A61" s="367"/>
      <c r="B61" s="477" t="s">
        <v>1689</v>
      </c>
      <c r="C61" s="478" t="str">
        <f>C62&amp;"（含）"&amp;"-"&amp;D62</f>
        <v>0（含）-1</v>
      </c>
      <c r="D61" s="478" t="str">
        <f t="shared" ref="D61:L61" si="18">D62&amp;"（含）"&amp;"-"&amp;E62</f>
        <v>1（含）-2</v>
      </c>
      <c r="E61" s="478" t="str">
        <f t="shared" si="18"/>
        <v>2（含）-</v>
      </c>
      <c r="F61" s="478" t="str">
        <f t="shared" si="18"/>
        <v>（含）-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1</v>
      </c>
      <c r="E62" s="480">
        <v>2</v>
      </c>
      <c r="F62" s="480"/>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3173" t="s">
        <v>3447</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8.2" thickTop="1">
      <c r="A90" s="367"/>
      <c r="B90" s="469" t="s">
        <v>1737</v>
      </c>
      <c r="C90" s="509" t="str">
        <f>C91&amp;"(含)"&amp;"-"&amp;D91</f>
        <v>0(含)-2000</v>
      </c>
      <c r="D90" s="509" t="str">
        <f t="shared" ref="D90:L90" si="21">D91&amp;"(含)"&amp;"-"&amp;E91</f>
        <v>2000(含)-4000</v>
      </c>
      <c r="E90" s="509" t="str">
        <f t="shared" si="21"/>
        <v>4000(含)-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2000</v>
      </c>
      <c r="E91" s="6">
        <v>4000</v>
      </c>
      <c r="F91" s="6"/>
      <c r="G91" s="6"/>
      <c r="H91" s="6"/>
      <c r="I91" s="6"/>
      <c r="J91" s="524"/>
      <c r="K91" s="524"/>
      <c r="L91" s="525"/>
      <c r="M91" s="526"/>
      <c r="N91" s="881"/>
      <c r="O91" s="881"/>
      <c r="P91" s="489"/>
      <c r="Q91" s="490"/>
    </row>
    <row r="92" spans="1:17" s="408" customFormat="1" ht="14.4" thickBot="1">
      <c r="A92" s="484"/>
      <c r="B92" s="474"/>
      <c r="C92" s="491">
        <v>100</v>
      </c>
      <c r="D92" s="467">
        <v>101</v>
      </c>
      <c r="E92" s="467">
        <v>102</v>
      </c>
      <c r="F92" s="467"/>
      <c r="G92" s="467"/>
      <c r="H92" s="467"/>
      <c r="I92" s="467"/>
      <c r="J92" s="467"/>
      <c r="K92" s="467"/>
      <c r="L92" s="467"/>
      <c r="M92" s="468"/>
      <c r="N92" s="880"/>
      <c r="O92" s="880"/>
      <c r="P92" s="489"/>
      <c r="Q92" s="490"/>
    </row>
    <row r="93" spans="1:17" ht="15" thickTop="1">
      <c r="A93" s="409"/>
      <c r="B93" s="469" t="s">
        <v>1738</v>
      </c>
      <c r="C93" s="3174" t="s">
        <v>3448</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1740</v>
      </c>
      <c r="C95" s="3174" t="s">
        <v>3450</v>
      </c>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3">C96-$K32</f>
        <v>98</v>
      </c>
      <c r="E96" s="475">
        <f t="shared" si="23"/>
        <v>96</v>
      </c>
      <c r="F96" s="475">
        <f t="shared" si="23"/>
        <v>94</v>
      </c>
      <c r="G96" s="475">
        <f t="shared" si="23"/>
        <v>92</v>
      </c>
      <c r="H96" s="475">
        <f t="shared" si="23"/>
        <v>90</v>
      </c>
      <c r="I96" s="475">
        <f t="shared" si="23"/>
        <v>88</v>
      </c>
      <c r="J96" s="475">
        <f t="shared" si="23"/>
        <v>86</v>
      </c>
      <c r="K96" s="475">
        <f t="shared" si="23"/>
        <v>84</v>
      </c>
      <c r="L96" s="475">
        <f t="shared" si="23"/>
        <v>82</v>
      </c>
      <c r="M96" s="476">
        <f t="shared" si="23"/>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1741</v>
      </c>
      <c r="C100" s="3174" t="s">
        <v>3452</v>
      </c>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1742</v>
      </c>
      <c r="C102" s="3174" t="s">
        <v>3454</v>
      </c>
      <c r="D102" s="3174" t="s">
        <v>3455</v>
      </c>
      <c r="E102" s="3174" t="s">
        <v>3457</v>
      </c>
      <c r="F102" s="485"/>
      <c r="G102" s="485"/>
      <c r="H102" s="513"/>
      <c r="I102" s="513"/>
      <c r="J102" s="513"/>
      <c r="K102" s="514"/>
      <c r="L102" s="515"/>
      <c r="M102" s="516"/>
      <c r="N102" s="879"/>
      <c r="O102" s="879"/>
      <c r="P102" s="40"/>
      <c r="Q102" s="439"/>
    </row>
    <row r="103" spans="1:17" ht="14.4"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1744</v>
      </c>
      <c r="C104" s="3174" t="s">
        <v>3450</v>
      </c>
      <c r="D104" s="3174" t="s">
        <v>3458</v>
      </c>
      <c r="E104" s="3174" t="s">
        <v>3459</v>
      </c>
      <c r="F104" s="3174" t="s">
        <v>3460</v>
      </c>
      <c r="G104" s="485"/>
      <c r="H104" s="513"/>
      <c r="I104" s="513"/>
      <c r="J104" s="513"/>
      <c r="K104" s="514"/>
      <c r="L104" s="515"/>
      <c r="M104" s="516"/>
      <c r="N104" s="879"/>
      <c r="O104" s="879"/>
      <c r="P104" s="40"/>
      <c r="Q104" s="439"/>
    </row>
    <row r="105" spans="1:17" ht="14.4"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是否有地下</v>
      </c>
      <c r="C108" s="3183" t="s">
        <v>3505</v>
      </c>
      <c r="D108" s="3183" t="s">
        <v>3496</v>
      </c>
      <c r="E108" s="485"/>
      <c r="F108" s="485"/>
      <c r="G108" s="485"/>
      <c r="H108" s="486"/>
      <c r="I108" s="486"/>
      <c r="J108" s="486"/>
      <c r="K108" s="486"/>
      <c r="L108" s="487"/>
      <c r="M108" s="488"/>
      <c r="N108" s="881"/>
      <c r="O108" s="881"/>
      <c r="P108" s="489"/>
      <c r="Q108" s="490"/>
    </row>
    <row r="109" spans="1:17" s="408" customFormat="1" ht="14.4" thickBot="1">
      <c r="A109" s="484"/>
      <c r="B109" s="466"/>
      <c r="C109" s="491">
        <v>100</v>
      </c>
      <c r="D109" s="467">
        <v>95</v>
      </c>
      <c r="E109" s="467"/>
      <c r="F109" s="467"/>
      <c r="G109" s="491"/>
      <c r="H109" s="493"/>
      <c r="I109" s="493"/>
      <c r="J109" s="493"/>
      <c r="K109" s="493"/>
      <c r="L109" s="493"/>
      <c r="M109" s="494"/>
      <c r="N109" s="881"/>
      <c r="O109" s="881"/>
      <c r="P109" s="489"/>
      <c r="Q109" s="490"/>
    </row>
    <row r="110" spans="1:17" ht="14.4" thickTop="1">
      <c r="A110" s="409"/>
      <c r="B110" s="469">
        <f>B39</f>
        <v>0</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25" priority="16" stopIfTrue="1">
      <formula>$F$46="超过30%"</formula>
    </cfRule>
  </conditionalFormatting>
  <conditionalFormatting sqref="E47">
    <cfRule type="expression" dxfId="124" priority="15" stopIfTrue="1">
      <formula>$F$47="超过20%"</formula>
    </cfRule>
  </conditionalFormatting>
  <conditionalFormatting sqref="E48">
    <cfRule type="expression" dxfId="123" priority="14"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cfRule type="containsText" dxfId="120" priority="17" stopIfTrue="1" operator="containsText" text="超过">
      <formula>NOT(ISERROR(SEARCH("超过",F46)))</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G48">
    <cfRule type="expression" dxfId="117" priority="13"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conditionalFormatting sqref="J46:J48">
    <cfRule type="containsText" dxfId="111" priority="8" stopIfTrue="1" operator="containsText" text="超过">
      <formula>NOT(ISERROR(SEARCH("超过",J46)))</formula>
    </cfRule>
  </conditionalFormatting>
  <dataValidations count="20">
    <dataValidation type="list" allowBlank="1" showInputMessage="1" showErrorMessage="1" sqref="D1" xr:uid="{00000000-0002-0000-1600-000000000000}">
      <formula1>项目类型</formula1>
    </dataValidation>
    <dataValidation type="list" allowBlank="1" showInputMessage="1" showErrorMessage="1" sqref="C20 G20 E20 I20" xr:uid="{00000000-0002-0000-1600-000001000000}">
      <formula1>公共配套设施</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4 G24 I24 C24" xr:uid="{00000000-0002-0000-1600-000003000000}">
      <formula1>环境</formula1>
    </dataValidation>
    <dataValidation type="list" allowBlank="1" showInputMessage="1" showErrorMessage="1" sqref="C8 E8 G8 I8" xr:uid="{00000000-0002-0000-1600-000004000000}">
      <formula1>工业交易情况</formula1>
    </dataValidation>
    <dataValidation type="list" allowBlank="1" showInputMessage="1" showErrorMessage="1" sqref="E9 G9 I9" xr:uid="{00000000-0002-0000-1600-000005000000}">
      <formula1>工业用途</formula1>
    </dataValidation>
    <dataValidation type="list" allowBlank="1" showInputMessage="1" showErrorMessage="1" sqref="C29 E29 G29 I29" xr:uid="{00000000-0002-0000-1600-000006000000}">
      <formula1>工业建筑类型</formula1>
    </dataValidation>
    <dataValidation type="list" allowBlank="1" showInputMessage="1" showErrorMessage="1" sqref="C31 E31 G31 I31" xr:uid="{00000000-0002-0000-1600-000007000000}">
      <formula1>工业建筑结构</formula1>
    </dataValidation>
    <dataValidation type="list" allowBlank="1" showInputMessage="1" showErrorMessage="1" sqref="C32 E32 G32 I32" xr:uid="{00000000-0002-0000-1600-000008000000}">
      <formula1>工业公共部分装修</formula1>
    </dataValidation>
    <dataValidation type="list" allowBlank="1" showInputMessage="1" showErrorMessage="1" sqref="C34 E34 G34 I34" xr:uid="{00000000-0002-0000-1600-000009000000}">
      <formula1>工业物业管理</formula1>
    </dataValidation>
    <dataValidation type="list" allowBlank="1" showInputMessage="1" showErrorMessage="1" sqref="C35 E35 G35 I35" xr:uid="{00000000-0002-0000-1600-00000A000000}">
      <formula1>工业基础设施水平</formula1>
    </dataValidation>
    <dataValidation type="list" allowBlank="1" showInputMessage="1" showErrorMessage="1" sqref="C36 E36 G36 I36" xr:uid="{00000000-0002-0000-1600-00000B000000}">
      <formula1>工业内部装修</formula1>
    </dataValidation>
    <dataValidation type="list" allowBlank="1" showInputMessage="1" showErrorMessage="1" sqref="C37 E37 G37 I37" xr:uid="{00000000-0002-0000-1600-00000C000000}">
      <formula1>内部装修维护情况</formula1>
    </dataValidation>
    <dataValidation type="list" allowBlank="1" showInputMessage="1" showErrorMessage="1" sqref="C16 E16 G16 I16" xr:uid="{00000000-0002-0000-1600-00000D000000}">
      <formula1>产业集聚程度</formula1>
    </dataValidation>
    <dataValidation type="list" allowBlank="1" showInputMessage="1" showErrorMessage="1" sqref="C22 E22 G22 I22" xr:uid="{00000000-0002-0000-1600-00000E000000}">
      <formula1>基础设施水平</formula1>
    </dataValidation>
    <dataValidation type="list" allowBlank="1" showInputMessage="1" showErrorMessage="1" sqref="F1" xr:uid="{00000000-0002-0000-1600-00000F000000}">
      <formula1>"售价,租金"</formula1>
    </dataValidation>
    <dataValidation type="list" allowBlank="1" showInputMessage="1" showErrorMessage="1" sqref="C2" xr:uid="{00000000-0002-0000-1600-000010000000}">
      <formula1>"需扣减承租人权益,——"</formula1>
    </dataValidation>
    <dataValidation type="list" allowBlank="1" showInputMessage="1" showErrorMessage="1" sqref="F2" xr:uid="{00000000-0002-0000-1600-000011000000}">
      <formula1>估价方法</formula1>
    </dataValidation>
    <dataValidation type="list" allowBlank="1" showInputMessage="1" showErrorMessage="1" sqref="D42" xr:uid="{00000000-0002-0000-1600-000012000000}">
      <formula1>"简单平均,加权平均"</formula1>
    </dataValidation>
    <dataValidation type="list" allowBlank="1" showInputMessage="1" showErrorMessage="1" sqref="E1" xr:uid="{00000000-0002-0000-16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0" zoomScaleNormal="70" zoomScaleSheetLayoutView="80" workbookViewId="0">
      <selection activeCell="J40" sqref="J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34.69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2965</v>
      </c>
      <c r="C2" s="1289" t="s">
        <v>805</v>
      </c>
      <c r="D2" s="1289"/>
      <c r="E2" s="1295"/>
      <c r="F2" s="1296"/>
      <c r="G2" s="2479"/>
      <c r="H2" s="2469"/>
      <c r="I2" s="2469"/>
      <c r="J2" s="2469"/>
      <c r="K2" s="2470"/>
      <c r="L2" s="2469"/>
      <c r="M2" s="2469"/>
    </row>
    <row r="3" spans="1:37" ht="18" customHeight="1" thickBot="1">
      <c r="A3" s="1297" t="s">
        <v>806</v>
      </c>
      <c r="B3" s="1298">
        <f ca="1">IF(ISERROR(B2*10000/F43),0,ROUND(B2*10000/F43,0))</f>
        <v>7740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189</v>
      </c>
      <c r="D5" s="1273" t="s">
        <v>693</v>
      </c>
      <c r="E5" s="1008"/>
      <c r="F5" s="1009"/>
      <c r="G5" s="1292"/>
      <c r="H5" s="291">
        <v>1</v>
      </c>
      <c r="I5" s="292" t="s">
        <v>692</v>
      </c>
      <c r="J5" s="1007">
        <f ca="1">J6+J10+J12</f>
        <v>0</v>
      </c>
      <c r="K5" s="1273" t="s">
        <v>693</v>
      </c>
      <c r="L5" s="1008"/>
      <c r="M5" s="1009"/>
    </row>
    <row r="6" spans="1:37" ht="18" customHeight="1">
      <c r="A6" s="1006" t="s">
        <v>398</v>
      </c>
      <c r="B6" s="3430" t="s">
        <v>694</v>
      </c>
      <c r="C6" s="1011">
        <f ca="1">ROUND(F6*F8*F7*(1-F9)/10000,0)</f>
        <v>189</v>
      </c>
      <c r="D6" s="147" t="s">
        <v>2109</v>
      </c>
      <c r="E6" s="294" t="s">
        <v>696</v>
      </c>
      <c r="F6" s="295">
        <f ca="1">INDIRECT("'数据-取费表'!u"&amp;$G$1)</f>
        <v>1.5</v>
      </c>
      <c r="G6" s="1292"/>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3830.64</v>
      </c>
      <c r="G7" s="1292"/>
      <c r="H7" s="296"/>
      <c r="I7" s="3431"/>
      <c r="J7" s="298"/>
      <c r="K7" s="299"/>
      <c r="L7" s="294" t="s">
        <v>697</v>
      </c>
      <c r="M7" s="295">
        <f ca="1">F7</f>
        <v>3830.64</v>
      </c>
    </row>
    <row r="8" spans="1:37" ht="18" customHeight="1">
      <c r="A8" s="296"/>
      <c r="B8" s="3431"/>
      <c r="C8" s="298"/>
      <c r="D8" s="299"/>
      <c r="E8" s="294" t="s">
        <v>698</v>
      </c>
      <c r="F8" s="295">
        <f ca="1">INDIRECT("'数据-取费表'!ai"&amp;$G$1)</f>
        <v>365</v>
      </c>
      <c r="G8" s="1292"/>
      <c r="H8" s="296"/>
      <c r="I8" s="3431"/>
      <c r="J8" s="298"/>
      <c r="K8" s="299"/>
      <c r="L8" s="294" t="s">
        <v>698</v>
      </c>
      <c r="M8" s="295">
        <f ca="1">INDIRECT("'数据-取费表'!ai"&amp;$G$1)</f>
        <v>365</v>
      </c>
    </row>
    <row r="9" spans="1:37" ht="18" customHeight="1">
      <c r="A9" s="296"/>
      <c r="B9" s="3432"/>
      <c r="C9" s="298"/>
      <c r="D9" s="299"/>
      <c r="E9" s="294" t="s">
        <v>699</v>
      </c>
      <c r="F9" s="304">
        <f ca="1">INDIRECT("'数据-取费表'!w"&amp;$G$1)</f>
        <v>0.1</v>
      </c>
      <c r="G9" s="1292"/>
      <c r="H9" s="296"/>
      <c r="I9" s="343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3431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1508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1341</v>
      </c>
      <c r="D14" s="1257" t="s">
        <v>708</v>
      </c>
      <c r="E14" s="1255"/>
      <c r="F14" s="311"/>
      <c r="G14" s="1292"/>
      <c r="H14" s="928" t="s">
        <v>398</v>
      </c>
      <c r="I14" s="294" t="s">
        <v>709</v>
      </c>
      <c r="J14" s="21">
        <f ca="1">C29</f>
        <v>1885</v>
      </c>
      <c r="K14" s="12"/>
      <c r="L14" s="759"/>
      <c r="M14" s="760"/>
    </row>
    <row r="15" spans="1:37" s="1304" customFormat="1" ht="18" customHeight="1" thickBot="1">
      <c r="A15" s="928" t="s">
        <v>399</v>
      </c>
      <c r="B15" s="294" t="s">
        <v>710</v>
      </c>
      <c r="C15" s="21">
        <f ca="1">ROUND(C14*F15,0)</f>
        <v>67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v>
      </c>
      <c r="K16" s="1024" t="s">
        <v>715</v>
      </c>
      <c r="L16" s="1025"/>
      <c r="M16" s="1009"/>
    </row>
    <row r="17" spans="1:37" s="1304" customFormat="1" ht="18" customHeight="1">
      <c r="A17" s="928" t="s">
        <v>681</v>
      </c>
      <c r="B17" s="294" t="s">
        <v>716</v>
      </c>
      <c r="C17" s="21">
        <f ca="1">ROUND(F17*(F43+INDIRECT("'数据-取费表'!S"&amp;$G$1))/10000,0)</f>
        <v>77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1512</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5.66</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v>
      </c>
      <c r="K25" s="1032" t="s">
        <v>753</v>
      </c>
      <c r="L25" s="1033"/>
      <c r="M25" s="1034"/>
    </row>
    <row r="26" spans="1:37">
      <c r="A26" s="928" t="s">
        <v>397</v>
      </c>
      <c r="B26" s="294" t="s">
        <v>754</v>
      </c>
      <c r="C26" s="21">
        <f ca="1">ROUND((C19+C20)*F26,0)</f>
        <v>154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1885</v>
      </c>
      <c r="D29" s="1029"/>
      <c r="E29" s="1027"/>
      <c r="F29" s="1030"/>
      <c r="G29" s="1303"/>
      <c r="H29" s="325" t="s">
        <v>396</v>
      </c>
      <c r="I29" s="326" t="s">
        <v>768</v>
      </c>
      <c r="J29" s="327">
        <f ca="1">ROUND(J26/(1+F40)^F41,0)</f>
        <v>0</v>
      </c>
      <c r="K29" s="328" t="s">
        <v>769</v>
      </c>
      <c r="L29" s="329"/>
      <c r="M29" s="330">
        <f ca="1">INDIRECT("'数据-取费表'!k"&amp;$G$1)</f>
        <v>3830.64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31.5</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9.9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21.6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5.66</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1.51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3.78</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147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2904</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34.69</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7581</v>
      </c>
      <c r="D43" s="328" t="s">
        <v>777</v>
      </c>
      <c r="E43" s="329" t="s">
        <v>778</v>
      </c>
      <c r="F43" s="330">
        <f ca="1">INDIRECT("'数据-取费表'!k"&amp;$G$1)</f>
        <v>3830.64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f ca="1">C68-C40</f>
        <v>-3018</v>
      </c>
      <c r="D46" s="1313" t="str">
        <f>C2</f>
        <v>万元</v>
      </c>
      <c r="E46" s="1307"/>
      <c r="F46" s="1307"/>
      <c r="I46" s="1314" t="s">
        <v>810</v>
      </c>
      <c r="J46" s="1315"/>
      <c r="K46" s="1316"/>
      <c r="L46" s="1317">
        <f ca="1">IF(M47="住宅",0,IF(L48&gt;J51,L60,J60))</f>
        <v>61</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3432</v>
      </c>
      <c r="K47" s="1323" t="s">
        <v>816</v>
      </c>
      <c r="L47" s="1324">
        <f ca="1">INDIRECT("'数据-取费表'!d"&amp;$G$1)</f>
        <v>50</v>
      </c>
      <c r="M47" s="1288" t="str">
        <f>IF(ISNUMBER(FIND("住宅",C1)),"住宅","非住宅")</f>
        <v>非住宅</v>
      </c>
      <c r="O47" s="1325" t="s">
        <v>403</v>
      </c>
      <c r="P47" s="1326" t="s">
        <v>817</v>
      </c>
      <c r="Q47" s="1327">
        <f ca="1">C40+J29</f>
        <v>2904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34.69</v>
      </c>
      <c r="O48" s="1325" t="s">
        <v>404</v>
      </c>
      <c r="P48" s="1326" t="s">
        <v>821</v>
      </c>
      <c r="Q48" s="1327">
        <f ca="1">J60</f>
        <v>61</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2013</v>
      </c>
      <c r="K49" s="1330" t="s">
        <v>824</v>
      </c>
      <c r="L49" s="1333"/>
      <c r="O49" s="1334" t="s">
        <v>405</v>
      </c>
      <c r="P49" s="1326" t="s">
        <v>825</v>
      </c>
      <c r="Q49" s="1327">
        <f ca="1">C29</f>
        <v>1885</v>
      </c>
      <c r="R49" s="1327" t="s">
        <v>818</v>
      </c>
    </row>
    <row r="50" spans="1:18" s="1292" customFormat="1" ht="13.8" thickBot="1">
      <c r="A50" s="922"/>
      <c r="B50" s="925"/>
      <c r="C50" s="1055"/>
      <c r="D50" s="899"/>
      <c r="E50" s="993" t="s">
        <v>697</v>
      </c>
      <c r="F50" s="994">
        <f ca="1">F7</f>
        <v>3830.64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810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34.69</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34.69</v>
      </c>
      <c r="K53" s="3428" t="s">
        <v>837</v>
      </c>
      <c r="L53" s="3429"/>
      <c r="O53" s="1325" t="s">
        <v>409</v>
      </c>
      <c r="P53" s="1326" t="s">
        <v>838</v>
      </c>
      <c r="Q53" s="1327">
        <f ca="1">Q47+Q48</f>
        <v>2965</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0.222</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1508</v>
      </c>
      <c r="D56" s="1352"/>
      <c r="E56" s="1353"/>
      <c r="F56" s="1345"/>
      <c r="I56" s="1354" t="s">
        <v>842</v>
      </c>
      <c r="J56" s="1355" t="s">
        <v>3423</v>
      </c>
      <c r="K56" s="1328" t="s">
        <v>843</v>
      </c>
      <c r="L56" s="1331" t="str">
        <f ca="1">IF(L48&lt;J51,"——",L48-J53)</f>
        <v>——</v>
      </c>
      <c r="O56" s="1325" t="s">
        <v>403</v>
      </c>
      <c r="P56" s="1326" t="s">
        <v>817</v>
      </c>
      <c r="Q56" s="1327">
        <f ca="1">C40+J29</f>
        <v>2904</v>
      </c>
      <c r="R56" s="1327" t="s">
        <v>818</v>
      </c>
    </row>
    <row r="57" spans="1:18" s="1292" customFormat="1" ht="24.6" thickBot="1">
      <c r="A57" s="1356"/>
      <c r="B57" s="896" t="s">
        <v>767</v>
      </c>
      <c r="C57" s="230">
        <f ca="1">C29</f>
        <v>1885</v>
      </c>
      <c r="D57" s="1357"/>
      <c r="E57" s="1358"/>
      <c r="F57" s="1359"/>
      <c r="I57" s="1360" t="s">
        <v>844</v>
      </c>
      <c r="J57" s="1361">
        <f ca="1">IF(OR(M47="住宅",J51&lt;L48,J56="是"),"——",J51-L48)</f>
        <v>13.310000000000002</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61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2904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5.66</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1.51</v>
      </c>
      <c r="D65" s="910" t="s">
        <v>743</v>
      </c>
      <c r="E65" s="896" t="s">
        <v>744</v>
      </c>
      <c r="F65" s="321">
        <f t="shared" ca="1" si="0"/>
        <v>1E-3</v>
      </c>
      <c r="I65" s="1367" t="s">
        <v>867</v>
      </c>
      <c r="J65" s="610">
        <v>40</v>
      </c>
      <c r="K65" s="610">
        <v>30</v>
      </c>
      <c r="L65" s="610">
        <v>50</v>
      </c>
      <c r="M65" s="1369">
        <v>0.02</v>
      </c>
      <c r="O65" s="1325" t="s">
        <v>403</v>
      </c>
      <c r="P65" s="1326" t="s">
        <v>868</v>
      </c>
      <c r="Q65" s="1327">
        <f ca="1">C40+J29</f>
        <v>2904</v>
      </c>
      <c r="R65" s="1327" t="s">
        <v>818</v>
      </c>
    </row>
    <row r="66" spans="1:18" s="1292" customFormat="1" ht="16.2"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24.6" thickBot="1">
      <c r="A67" s="903" t="s">
        <v>394</v>
      </c>
      <c r="B67" s="913" t="s">
        <v>752</v>
      </c>
      <c r="C67" s="308">
        <f ca="1">C48-C58</f>
        <v>-7</v>
      </c>
      <c r="D67" s="909" t="s">
        <v>753</v>
      </c>
      <c r="E67" s="914"/>
      <c r="F67" s="915"/>
      <c r="O67" s="1334" t="s">
        <v>405</v>
      </c>
      <c r="P67" s="1326" t="s">
        <v>850</v>
      </c>
      <c r="Q67" s="1370">
        <f ca="1">L51</f>
        <v>810</v>
      </c>
      <c r="R67" s="1327" t="s">
        <v>870</v>
      </c>
    </row>
    <row r="68" spans="1:18" s="1292" customFormat="1" ht="16.2" thickBot="1">
      <c r="A68" s="893" t="s">
        <v>395</v>
      </c>
      <c r="B68" s="894" t="s">
        <v>774</v>
      </c>
      <c r="C68" s="293">
        <f ca="1">ROUND(C67*(1-((1+F70)/(1+F68))^F69)/(F68-F70),0)</f>
        <v>-114</v>
      </c>
      <c r="D68" s="911" t="s">
        <v>758</v>
      </c>
      <c r="E68" s="896" t="s">
        <v>759</v>
      </c>
      <c r="F68" s="304">
        <f ca="1">F40</f>
        <v>0.05</v>
      </c>
      <c r="O68" s="1334" t="s">
        <v>406</v>
      </c>
      <c r="P68" s="1371" t="s">
        <v>871</v>
      </c>
      <c r="Q68" s="1327">
        <f ca="1">ROUND(Q69-Q70*Q71,0)</f>
        <v>41</v>
      </c>
      <c r="R68" s="1327" t="s">
        <v>414</v>
      </c>
    </row>
    <row r="69" spans="1:18" s="1292" customFormat="1" ht="13.8" thickBot="1">
      <c r="A69" s="897"/>
      <c r="B69" s="898"/>
      <c r="C69" s="298"/>
      <c r="D69" s="916" t="s">
        <v>762</v>
      </c>
      <c r="E69" s="896" t="s">
        <v>763</v>
      </c>
      <c r="F69" s="324">
        <f ca="1">F41</f>
        <v>34.69</v>
      </c>
      <c r="O69" s="1334" t="s">
        <v>411</v>
      </c>
      <c r="P69" s="1371" t="s">
        <v>872</v>
      </c>
      <c r="Q69" s="1327">
        <f ca="1">C39</f>
        <v>147</v>
      </c>
      <c r="R69" s="1327" t="s">
        <v>818</v>
      </c>
    </row>
    <row r="70" spans="1:18" s="1292" customFormat="1" ht="13.8" thickBot="1">
      <c r="A70" s="900"/>
      <c r="B70" s="901"/>
      <c r="C70" s="302"/>
      <c r="D70" s="912"/>
      <c r="E70" s="896" t="s">
        <v>766</v>
      </c>
      <c r="F70" s="991"/>
      <c r="O70" s="1334" t="s">
        <v>412</v>
      </c>
      <c r="P70" s="1371" t="s">
        <v>873</v>
      </c>
      <c r="Q70" s="1327">
        <f ca="1">C13</f>
        <v>1508</v>
      </c>
      <c r="R70" s="1327" t="s">
        <v>818</v>
      </c>
    </row>
    <row r="71" spans="1:18" s="1292" customFormat="1" ht="13.8" thickBot="1">
      <c r="A71" s="917" t="s">
        <v>396</v>
      </c>
      <c r="B71" s="918" t="s">
        <v>776</v>
      </c>
      <c r="C71" s="327">
        <f ca="1">ROUND(C68*10000/F71,0)</f>
        <v>-298</v>
      </c>
      <c r="D71" s="919" t="s">
        <v>777</v>
      </c>
      <c r="E71" s="920" t="s">
        <v>778</v>
      </c>
      <c r="F71" s="330">
        <f ca="1">F43</f>
        <v>3830.64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106</v>
      </c>
      <c r="D75" s="1292"/>
      <c r="E75" s="1292"/>
      <c r="F75" s="1292"/>
      <c r="K75" s="1309"/>
      <c r="L75" s="1292"/>
      <c r="O75" s="1325" t="s">
        <v>409</v>
      </c>
      <c r="P75" s="1326" t="s">
        <v>838</v>
      </c>
      <c r="Q75" s="1327">
        <f ca="1">Q65+Q66</f>
        <v>2904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0.27900000000000003</v>
      </c>
    </row>
    <row r="80" spans="1:18">
      <c r="B80" s="331" t="s">
        <v>800</v>
      </c>
      <c r="C80" s="266">
        <f ca="1">ROUND(C75/C39,3)</f>
        <v>0.72099999999999997</v>
      </c>
    </row>
    <row r="81" spans="2:3">
      <c r="B81" s="262" t="s">
        <v>801</v>
      </c>
      <c r="C81" s="230"/>
    </row>
    <row r="82" spans="2:3">
      <c r="B82" s="265" t="s">
        <v>802</v>
      </c>
      <c r="C82" s="267">
        <f ca="1">1-C83</f>
        <v>0.48099999999999998</v>
      </c>
    </row>
    <row r="83" spans="2:3">
      <c r="B83" s="265" t="s">
        <v>803</v>
      </c>
      <c r="C83" s="266">
        <f ca="1">ROUND(C13/C40,3)</f>
        <v>0.51900000000000002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9" zoomScale="80" zoomScaleNormal="70" zoomScaleSheetLayoutView="80" workbookViewId="0">
      <selection activeCell="I37" sqref="I37"/>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34.69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2957.5284999999999</v>
      </c>
      <c r="C2" s="1289" t="s">
        <v>879</v>
      </c>
      <c r="D2" s="1375">
        <f ca="1">C40+J29+L46</f>
        <v>29575285</v>
      </c>
      <c r="E2" s="1295" t="s">
        <v>880</v>
      </c>
      <c r="F2" s="1296"/>
      <c r="G2" s="2479"/>
      <c r="H2" s="2469"/>
      <c r="I2" s="2469"/>
      <c r="J2" s="2469"/>
      <c r="K2" s="2470"/>
      <c r="L2" s="2469"/>
      <c r="M2" s="2469"/>
    </row>
    <row r="3" spans="1:37" ht="18" customHeight="1" thickBot="1">
      <c r="A3" s="1297" t="s">
        <v>881</v>
      </c>
      <c r="B3" s="1298">
        <f ca="1">IF(ISERROR(D2/F43),0,ROUND(D2/F43,0))</f>
        <v>7721</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1889907</v>
      </c>
      <c r="D5" s="1273" t="s">
        <v>889</v>
      </c>
      <c r="E5" s="1008"/>
      <c r="F5" s="1009"/>
      <c r="G5" s="1292"/>
      <c r="H5" s="291">
        <v>1</v>
      </c>
      <c r="I5" s="292" t="s">
        <v>888</v>
      </c>
      <c r="J5" s="1007">
        <f ca="1">J6+J10+J12</f>
        <v>0</v>
      </c>
      <c r="K5" s="1273" t="s">
        <v>889</v>
      </c>
      <c r="L5" s="1008"/>
      <c r="M5" s="1009"/>
    </row>
    <row r="6" spans="1:37" ht="18" customHeight="1">
      <c r="A6" s="1006" t="s">
        <v>398</v>
      </c>
      <c r="B6" s="3430" t="s">
        <v>694</v>
      </c>
      <c r="C6" s="1011">
        <f ca="1">ROUND(F6*F8*F7*(1-F9),0)</f>
        <v>1887548</v>
      </c>
      <c r="D6" s="147" t="s">
        <v>2106</v>
      </c>
      <c r="E6" s="294" t="s">
        <v>696</v>
      </c>
      <c r="F6" s="295">
        <f ca="1">INDIRECT("'数据-取费表'!u"&amp;$G$1)</f>
        <v>1.5</v>
      </c>
      <c r="G6" s="1292"/>
      <c r="H6" s="1006" t="s">
        <v>398</v>
      </c>
      <c r="I6" s="3430" t="s">
        <v>694</v>
      </c>
      <c r="J6" s="293">
        <f ca="1">ROUND(M6*M8*M7*(1-M9),0)</f>
        <v>0</v>
      </c>
      <c r="K6" s="1284"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3830.64</v>
      </c>
      <c r="G7" s="1292"/>
      <c r="H7" s="296"/>
      <c r="I7" s="3431"/>
      <c r="J7" s="298"/>
      <c r="K7" s="299"/>
      <c r="L7" s="294" t="s">
        <v>697</v>
      </c>
      <c r="M7" s="295">
        <f ca="1">F7</f>
        <v>3830.64</v>
      </c>
    </row>
    <row r="8" spans="1:37" ht="18" customHeight="1">
      <c r="A8" s="296"/>
      <c r="B8" s="3431"/>
      <c r="C8" s="298"/>
      <c r="D8" s="299"/>
      <c r="E8" s="294" t="s">
        <v>698</v>
      </c>
      <c r="F8" s="295">
        <f ca="1">INDIRECT("'数据-取费表'!ai"&amp;$G$1)</f>
        <v>365</v>
      </c>
      <c r="G8" s="1292"/>
      <c r="H8" s="296"/>
      <c r="I8" s="3431"/>
      <c r="J8" s="298"/>
      <c r="K8" s="299"/>
      <c r="L8" s="294" t="s">
        <v>698</v>
      </c>
      <c r="M8" s="295">
        <f ca="1">INDIRECT("'数据-取费表'!ai"&amp;$G$1)</f>
        <v>365</v>
      </c>
    </row>
    <row r="9" spans="1:37" ht="18" customHeight="1">
      <c r="A9" s="296"/>
      <c r="B9" s="3432"/>
      <c r="C9" s="298"/>
      <c r="D9" s="299"/>
      <c r="E9" s="294" t="s">
        <v>699</v>
      </c>
      <c r="F9" s="304">
        <f ca="1">INDIRECT("'数据-取费表'!w"&amp;$G$1)</f>
        <v>0.1</v>
      </c>
      <c r="G9" s="1292"/>
      <c r="H9" s="296"/>
      <c r="I9" s="3432"/>
      <c r="J9" s="298"/>
      <c r="K9" s="299"/>
      <c r="L9" s="305" t="s">
        <v>699</v>
      </c>
      <c r="M9" s="306">
        <f ca="1">INDIRECT("'数据-取费表'!ab"&amp;$G$1)</f>
        <v>0</v>
      </c>
    </row>
    <row r="10" spans="1:37" ht="18" customHeight="1">
      <c r="A10" s="1006" t="s">
        <v>402</v>
      </c>
      <c r="B10" s="1274" t="s">
        <v>700</v>
      </c>
      <c r="C10" s="308">
        <f ca="1">ROUND(IF(F10="押一",C6/12*F11,IF(F10="押二",C6/12*2*F11,IF(F10="押三",C6/12*3*F11,C11*F11))),0)</f>
        <v>2359</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15081502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13407240</v>
      </c>
      <c r="D14" s="1257" t="s">
        <v>708</v>
      </c>
      <c r="E14" s="1255"/>
      <c r="F14" s="311"/>
      <c r="G14" s="1292"/>
      <c r="H14" s="928" t="s">
        <v>398</v>
      </c>
      <c r="I14" s="294" t="s">
        <v>709</v>
      </c>
      <c r="J14" s="21">
        <f ca="1">C29</f>
        <v>18851877</v>
      </c>
      <c r="K14" s="12"/>
      <c r="L14" s="759"/>
      <c r="M14" s="760"/>
    </row>
    <row r="15" spans="1:37" s="1304" customFormat="1" ht="18" customHeight="1" thickBot="1">
      <c r="A15" s="928" t="s">
        <v>399</v>
      </c>
      <c r="B15" s="294" t="s">
        <v>710</v>
      </c>
      <c r="C15" s="21">
        <f ca="1">ROUND(C14*F15,0)</f>
        <v>670362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56556</v>
      </c>
      <c r="K16" s="1024" t="s">
        <v>715</v>
      </c>
      <c r="L16" s="1025"/>
      <c r="M16" s="1009"/>
    </row>
    <row r="17" spans="1:37" s="1304" customFormat="1" ht="18" customHeight="1">
      <c r="A17" s="928" t="s">
        <v>681</v>
      </c>
      <c r="B17" s="294" t="s">
        <v>716</v>
      </c>
      <c r="C17" s="21">
        <f ca="1">ROUND(F17*(F43+INDIRECT("'数据-取费表'!S"&amp;$G$1)),0)</f>
        <v>766128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268145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15111875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302238</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56556</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482462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-56556</v>
      </c>
      <c r="K25" s="1032" t="s">
        <v>753</v>
      </c>
      <c r="L25" s="1033"/>
      <c r="M25" s="1034"/>
    </row>
    <row r="26" spans="1:37" ht="18" customHeight="1">
      <c r="A26" s="928" t="s">
        <v>397</v>
      </c>
      <c r="B26" s="294" t="s">
        <v>754</v>
      </c>
      <c r="C26" s="21">
        <f ca="1">ROUND((C19+C20)*F26,0)</f>
        <v>1541411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18851877</v>
      </c>
      <c r="D29" s="1029"/>
      <c r="E29" s="1027"/>
      <c r="F29" s="1030"/>
      <c r="G29" s="1303"/>
      <c r="H29" s="325" t="s">
        <v>396</v>
      </c>
      <c r="I29" s="326" t="s">
        <v>768</v>
      </c>
      <c r="J29" s="327">
        <f ca="1">ROUND(J26/(1+F40)^F41,0)</f>
        <v>0</v>
      </c>
      <c r="K29" s="328" t="s">
        <v>769</v>
      </c>
      <c r="L29" s="329"/>
      <c r="M29" s="330">
        <f ca="1">INDIRECT("'数据-取费表'!k"&amp;$G$1)</f>
        <v>3830.64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424028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314592</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98872</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215720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56556</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15082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37798</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1465879</v>
      </c>
      <c r="D39" s="1032" t="s">
        <v>773</v>
      </c>
      <c r="E39" s="1033"/>
      <c r="F39" s="1034"/>
      <c r="G39" s="1292"/>
      <c r="H39" s="2474"/>
      <c r="I39" s="1305"/>
      <c r="J39" s="1306"/>
      <c r="K39" s="2472"/>
      <c r="L39" s="2474"/>
      <c r="M39" s="2474"/>
    </row>
    <row r="40" spans="1:18" ht="18" customHeight="1">
      <c r="A40" s="291" t="s">
        <v>395</v>
      </c>
      <c r="B40" s="292" t="s">
        <v>774</v>
      </c>
      <c r="C40" s="293">
        <f ca="1">ROUND(C39*(1-((1+F42)/(1+F40))^F41)/(F40-F42),0)</f>
        <v>28961728</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34.69</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7561</v>
      </c>
      <c r="D43" s="328" t="s">
        <v>777</v>
      </c>
      <c r="E43" s="329" t="s">
        <v>778</v>
      </c>
      <c r="F43" s="330">
        <f ca="1">INDIRECT("'数据-取费表'!k"&amp;$G$1)</f>
        <v>3830.64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-3013.0783999999999</v>
      </c>
      <c r="D45" s="3131" t="s">
        <v>3351</v>
      </c>
      <c r="E45" s="1307"/>
      <c r="F45" s="1307"/>
      <c r="O45" s="1310" t="s">
        <v>808</v>
      </c>
      <c r="P45" s="1366"/>
      <c r="Q45" s="1366"/>
      <c r="R45" s="1366"/>
    </row>
    <row r="46" spans="1:18" s="1292" customFormat="1" ht="13.8" thickBot="1">
      <c r="A46" s="1311" t="s">
        <v>809</v>
      </c>
      <c r="C46" s="1312">
        <f ca="1">ROUND(C45,0)</f>
        <v>-3013</v>
      </c>
      <c r="D46" s="1313" t="str">
        <f>C2</f>
        <v>万元</v>
      </c>
      <c r="I46" s="1314" t="s">
        <v>810</v>
      </c>
      <c r="J46" s="1315"/>
      <c r="K46" s="1316"/>
      <c r="L46" s="1317">
        <f ca="1">IF(M47="住宅",0,IF(L48&gt;J51,L60,J60))</f>
        <v>613557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50</v>
      </c>
      <c r="M47" s="1288" t="str">
        <f>IF(ISNUMBER(FIND("住宅",C1)),"住宅","非住宅")</f>
        <v>非住宅</v>
      </c>
      <c r="O47" s="1325" t="s">
        <v>403</v>
      </c>
      <c r="P47" s="1326" t="s">
        <v>817</v>
      </c>
      <c r="Q47" s="1327">
        <f ca="1">C40+J29</f>
        <v>28961728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34.69</v>
      </c>
      <c r="O48" s="1325" t="s">
        <v>404</v>
      </c>
      <c r="P48" s="1326" t="s">
        <v>821</v>
      </c>
      <c r="Q48" s="1327">
        <f ca="1">J60</f>
        <v>613557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18851877</v>
      </c>
      <c r="R49" s="1327" t="s">
        <v>818</v>
      </c>
    </row>
    <row r="50" spans="1:18" s="1292" customFormat="1" ht="13.8" thickBot="1">
      <c r="A50" s="922"/>
      <c r="B50" s="925"/>
      <c r="C50" s="926"/>
      <c r="D50" s="899"/>
      <c r="E50" s="993" t="s">
        <v>697</v>
      </c>
      <c r="F50" s="994">
        <f ca="1">F7</f>
        <v>3830.64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8012995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34.69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34.69</v>
      </c>
      <c r="K53" s="3428" t="s">
        <v>837</v>
      </c>
      <c r="L53" s="3429"/>
      <c r="O53" s="1325" t="s">
        <v>409</v>
      </c>
      <c r="P53" s="1326" t="s">
        <v>838</v>
      </c>
      <c r="Q53" s="1327">
        <f ca="1">Q47+Q48</f>
        <v>29575285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0.222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15081502</v>
      </c>
      <c r="D56" s="1352"/>
      <c r="E56" s="1353"/>
      <c r="F56" s="1345"/>
      <c r="I56" s="1354" t="s">
        <v>842</v>
      </c>
      <c r="J56" s="1355" t="s">
        <v>3423</v>
      </c>
      <c r="K56" s="1328" t="s">
        <v>843</v>
      </c>
      <c r="L56" s="1331" t="str">
        <f ca="1">IF(L48&lt;J51,"——",L48-J51)</f>
        <v>——</v>
      </c>
      <c r="O56" s="1325" t="s">
        <v>403</v>
      </c>
      <c r="P56" s="1326" t="s">
        <v>817</v>
      </c>
      <c r="Q56" s="1327">
        <f ca="1">C40+J29</f>
        <v>28961728</v>
      </c>
      <c r="R56" s="1327" t="s">
        <v>818</v>
      </c>
    </row>
    <row r="57" spans="1:18" s="1292" customFormat="1" ht="24.6" thickBot="1">
      <c r="A57" s="1356"/>
      <c r="B57" s="896" t="s">
        <v>767</v>
      </c>
      <c r="C57" s="230">
        <f ca="1">C29</f>
        <v>18851877</v>
      </c>
      <c r="D57" s="1357"/>
      <c r="E57" s="1358"/>
      <c r="F57" s="1359"/>
      <c r="I57" s="1360" t="s">
        <v>844</v>
      </c>
      <c r="J57" s="1361">
        <f ca="1">IF(OR(M47="住宅",J51&lt;L48,J56="是"),"——",J51-L48)</f>
        <v>13.310000000000002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71638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7540751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613557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28961728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56556</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15082</v>
      </c>
      <c r="D65" s="910" t="s">
        <v>743</v>
      </c>
      <c r="E65" s="896" t="s">
        <v>744</v>
      </c>
      <c r="F65" s="321">
        <f t="shared" ca="1" si="0"/>
        <v>1E-3</v>
      </c>
      <c r="I65" s="1367" t="s">
        <v>867</v>
      </c>
      <c r="J65" s="610">
        <v>40</v>
      </c>
      <c r="K65" s="610">
        <v>30</v>
      </c>
      <c r="L65" s="610">
        <v>50</v>
      </c>
      <c r="M65" s="1369">
        <v>0.02</v>
      </c>
      <c r="O65" s="1325" t="s">
        <v>403</v>
      </c>
      <c r="P65" s="1326" t="s">
        <v>868</v>
      </c>
      <c r="Q65" s="1327">
        <f ca="1">C40+J29</f>
        <v>28961728</v>
      </c>
      <c r="R65" s="1327" t="s">
        <v>818</v>
      </c>
    </row>
    <row r="66" spans="1:18" s="1292" customFormat="1" ht="16.2" thickBot="1">
      <c r="A66" s="928" t="s">
        <v>793</v>
      </c>
      <c r="B66" s="896" t="s">
        <v>728</v>
      </c>
      <c r="C66" s="21">
        <f ca="1">ROUND(C48*F66,0)</f>
        <v>0</v>
      </c>
      <c r="D66" s="910" t="s">
        <v>794</v>
      </c>
      <c r="E66" s="896" t="s">
        <v>712</v>
      </c>
      <c r="F66" s="304">
        <f t="shared" ca="1" si="0"/>
        <v>0.02</v>
      </c>
      <c r="O66" s="1325" t="s">
        <v>404</v>
      </c>
      <c r="P66" s="1326" t="s">
        <v>846</v>
      </c>
      <c r="Q66" s="1327">
        <f ca="1">L60</f>
        <v>0</v>
      </c>
      <c r="R66" s="1327" t="s">
        <v>869</v>
      </c>
    </row>
    <row r="67" spans="1:18" s="1292" customFormat="1" ht="24.6" thickBot="1">
      <c r="A67" s="903" t="s">
        <v>394</v>
      </c>
      <c r="B67" s="913" t="s">
        <v>752</v>
      </c>
      <c r="C67" s="308">
        <f ca="1">C48-C58</f>
        <v>-71638</v>
      </c>
      <c r="D67" s="909" t="s">
        <v>753</v>
      </c>
      <c r="E67" s="914"/>
      <c r="F67" s="915"/>
      <c r="O67" s="1334" t="s">
        <v>405</v>
      </c>
      <c r="P67" s="1326" t="s">
        <v>850</v>
      </c>
      <c r="Q67" s="1370">
        <f ca="1">L51</f>
        <v>8012995</v>
      </c>
      <c r="R67" s="1327" t="s">
        <v>870</v>
      </c>
    </row>
    <row r="68" spans="1:18" s="1292" customFormat="1" ht="16.2" thickBot="1">
      <c r="A68" s="893" t="s">
        <v>395</v>
      </c>
      <c r="B68" s="894" t="s">
        <v>774</v>
      </c>
      <c r="C68" s="293">
        <f ca="1">ROUND(C67*(1-((1+F70)/(1+F68))^F69)/(F68-F70),0)</f>
        <v>-1169056</v>
      </c>
      <c r="D68" s="911" t="s">
        <v>758</v>
      </c>
      <c r="E68" s="896" t="s">
        <v>759</v>
      </c>
      <c r="F68" s="304">
        <f ca="1">F40</f>
        <v>0.05</v>
      </c>
      <c r="O68" s="1334" t="s">
        <v>406</v>
      </c>
      <c r="P68" s="1371" t="s">
        <v>871</v>
      </c>
      <c r="Q68" s="1327">
        <f ca="1">ROUND(Q69-Q70*Q71,0)</f>
        <v>410174</v>
      </c>
      <c r="R68" s="1327" t="s">
        <v>414</v>
      </c>
    </row>
    <row r="69" spans="1:18" s="1292" customFormat="1" ht="13.8" thickBot="1">
      <c r="A69" s="897"/>
      <c r="B69" s="898"/>
      <c r="C69" s="298"/>
      <c r="D69" s="916" t="s">
        <v>762</v>
      </c>
      <c r="E69" s="896" t="s">
        <v>763</v>
      </c>
      <c r="F69" s="324">
        <f ca="1">F41</f>
        <v>34.69</v>
      </c>
      <c r="O69" s="1334" t="s">
        <v>411</v>
      </c>
      <c r="P69" s="1371" t="s">
        <v>872</v>
      </c>
      <c r="Q69" s="1327">
        <f ca="1">C39</f>
        <v>1465879</v>
      </c>
      <c r="R69" s="1327" t="s">
        <v>818</v>
      </c>
    </row>
    <row r="70" spans="1:18" s="1292" customFormat="1" ht="13.8" thickBot="1">
      <c r="A70" s="900"/>
      <c r="B70" s="901"/>
      <c r="C70" s="302"/>
      <c r="D70" s="912"/>
      <c r="E70" s="896" t="s">
        <v>766</v>
      </c>
      <c r="F70" s="991"/>
      <c r="O70" s="1334" t="s">
        <v>412</v>
      </c>
      <c r="P70" s="1371" t="s">
        <v>873</v>
      </c>
      <c r="Q70" s="1327">
        <f ca="1">C13</f>
        <v>15081502</v>
      </c>
      <c r="R70" s="1327" t="s">
        <v>818</v>
      </c>
    </row>
    <row r="71" spans="1:18" s="1292" customFormat="1" ht="13.8" thickBot="1">
      <c r="A71" s="917" t="s">
        <v>396</v>
      </c>
      <c r="B71" s="918" t="s">
        <v>776</v>
      </c>
      <c r="C71" s="327">
        <f ca="1">ROUND(C68/F71,0)</f>
        <v>-305</v>
      </c>
      <c r="D71" s="919" t="s">
        <v>777</v>
      </c>
      <c r="E71" s="920" t="s">
        <v>778</v>
      </c>
      <c r="F71" s="330">
        <f ca="1">F43</f>
        <v>3830.64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1055705</v>
      </c>
      <c r="D75" s="1292"/>
      <c r="E75" s="1292"/>
      <c r="F75" s="1292"/>
      <c r="K75" s="1309"/>
      <c r="L75" s="1292"/>
      <c r="O75" s="1325" t="s">
        <v>409</v>
      </c>
      <c r="P75" s="1326" t="s">
        <v>838</v>
      </c>
      <c r="Q75" s="1327">
        <f ca="1">Q65+Q66</f>
        <v>28961728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0.28000000000000003</v>
      </c>
    </row>
    <row r="80" spans="1:18">
      <c r="B80" s="331" t="s">
        <v>800</v>
      </c>
      <c r="C80" s="266">
        <f ca="1">ROUND(C75/C39,3)</f>
        <v>0.72</v>
      </c>
    </row>
    <row r="81" spans="2:3">
      <c r="B81" s="262" t="s">
        <v>801</v>
      </c>
      <c r="C81" s="230"/>
    </row>
    <row r="82" spans="2:3">
      <c r="B82" s="265" t="s">
        <v>802</v>
      </c>
      <c r="C82" s="267">
        <f ca="1">1-C83</f>
        <v>0.47899999999999998</v>
      </c>
    </row>
    <row r="83" spans="2:3">
      <c r="B83" s="265" t="s">
        <v>803</v>
      </c>
      <c r="C83" s="266">
        <f ca="1">ROUND(C13/C40,3)</f>
        <v>0.52100000000000002</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3357</v>
      </c>
      <c r="E2" s="3140"/>
      <c r="F2" s="2598"/>
      <c r="G2" s="2599"/>
      <c r="H2" s="2600"/>
      <c r="I2" s="2601"/>
      <c r="J2" s="3439" t="s">
        <v>2317</v>
      </c>
      <c r="K2" s="3440"/>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441" t="s">
        <v>2327</v>
      </c>
      <c r="K3" s="3442"/>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441" t="s">
        <v>2329</v>
      </c>
      <c r="K4" s="3442"/>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447" t="s">
        <v>2333</v>
      </c>
      <c r="B6" s="3448"/>
      <c r="C6" s="3449"/>
      <c r="D6" s="2622"/>
      <c r="E6" s="2623"/>
      <c r="F6" s="2624"/>
      <c r="G6" s="2625"/>
      <c r="H6" s="2600"/>
      <c r="I6" s="2601"/>
      <c r="J6" s="3433">
        <v>1</v>
      </c>
      <c r="K6" s="343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433"/>
      <c r="K7" s="3435"/>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450" t="s">
        <v>2347</v>
      </c>
      <c r="C8" s="3451"/>
      <c r="D8" s="2641" t="s">
        <v>2348</v>
      </c>
      <c r="E8" s="2642" t="s">
        <v>2349</v>
      </c>
      <c r="F8" s="2643" t="s">
        <v>2350</v>
      </c>
      <c r="G8" s="2644"/>
      <c r="H8" s="2600"/>
      <c r="I8" s="2601"/>
      <c r="J8" s="3433"/>
      <c r="K8" s="3435"/>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450" t="s">
        <v>2353</v>
      </c>
      <c r="C9" s="3451"/>
      <c r="D9" s="2641">
        <f>ROUND(D6*E9,0)</f>
        <v>0</v>
      </c>
      <c r="E9" s="2645"/>
      <c r="F9" s="2646" t="s">
        <v>2354</v>
      </c>
      <c r="G9" s="2625"/>
      <c r="H9" s="2600"/>
      <c r="I9" s="2601"/>
      <c r="J9" s="3433"/>
      <c r="K9" s="3435"/>
      <c r="L9" s="2635" t="s">
        <v>2355</v>
      </c>
      <c r="M9" s="2636"/>
      <c r="N9" s="2612"/>
      <c r="O9" s="2637"/>
      <c r="P9" s="2637"/>
      <c r="Q9" s="2638">
        <v>365</v>
      </c>
      <c r="R9" s="2639">
        <f t="shared" si="0"/>
        <v>0</v>
      </c>
      <c r="S9" s="2593"/>
      <c r="T9" s="2593"/>
      <c r="U9" s="2593"/>
      <c r="V9" s="2601"/>
    </row>
    <row r="10" spans="1:22" s="2605" customFormat="1" ht="13.2" customHeight="1">
      <c r="A10" s="2640">
        <v>2</v>
      </c>
      <c r="B10" s="3450" t="s">
        <v>2356</v>
      </c>
      <c r="C10" s="3451"/>
      <c r="D10" s="2641">
        <f>ROUND(D6*E10,0)</f>
        <v>0</v>
      </c>
      <c r="E10" s="2645"/>
      <c r="F10" s="2646" t="s">
        <v>2357</v>
      </c>
      <c r="G10" s="2625"/>
      <c r="H10" s="2600"/>
      <c r="I10" s="2601"/>
      <c r="J10" s="3433"/>
      <c r="K10" s="3435"/>
      <c r="L10" s="2635" t="s">
        <v>2358</v>
      </c>
      <c r="M10" s="2636"/>
      <c r="N10" s="2612"/>
      <c r="O10" s="2637"/>
      <c r="P10" s="2637"/>
      <c r="Q10" s="2638">
        <v>365</v>
      </c>
      <c r="R10" s="2639">
        <f t="shared" si="0"/>
        <v>0</v>
      </c>
      <c r="S10" s="2593"/>
      <c r="T10" s="2593"/>
      <c r="U10" s="2593"/>
      <c r="V10" s="2601"/>
    </row>
    <row r="11" spans="1:22" s="2605" customFormat="1" ht="13.2" customHeight="1">
      <c r="A11" s="2640">
        <v>3</v>
      </c>
      <c r="B11" s="3450" t="s">
        <v>2359</v>
      </c>
      <c r="C11" s="3451"/>
      <c r="D11" s="2641">
        <f>D12+D14+D15+D16</f>
        <v>0</v>
      </c>
      <c r="E11" s="2647" t="e">
        <f>D11/D6</f>
        <v>#DIV/0!</v>
      </c>
      <c r="F11" s="2643"/>
      <c r="G11" s="2644"/>
      <c r="H11" s="2600"/>
      <c r="I11" s="2601"/>
      <c r="J11" s="3433"/>
      <c r="K11" s="3435"/>
      <c r="L11" s="2635" t="s">
        <v>2360</v>
      </c>
      <c r="M11" s="2636"/>
      <c r="N11" s="2612"/>
      <c r="O11" s="2637"/>
      <c r="P11" s="2637"/>
      <c r="Q11" s="2638">
        <v>365</v>
      </c>
      <c r="R11" s="2639">
        <f t="shared" si="0"/>
        <v>0</v>
      </c>
      <c r="S11" s="2593"/>
      <c r="T11" s="2593"/>
      <c r="U11" s="2593"/>
      <c r="V11" s="2601"/>
    </row>
    <row r="12" spans="1:22" s="2605" customFormat="1" ht="13.2" customHeight="1">
      <c r="A12" s="2648" t="s">
        <v>2361</v>
      </c>
      <c r="B12" s="3443" t="s">
        <v>2362</v>
      </c>
      <c r="C12" s="3444"/>
      <c r="D12" s="2649">
        <f>ROUND(D13*1.2%*(1-30%),0)</f>
        <v>0</v>
      </c>
      <c r="E12" s="2650">
        <v>1.2E-2</v>
      </c>
      <c r="F12" s="2643" t="s">
        <v>2363</v>
      </c>
      <c r="G12" s="2644"/>
      <c r="H12" s="2600"/>
      <c r="I12" s="2601"/>
      <c r="J12" s="3433"/>
      <c r="K12" s="3435"/>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433"/>
      <c r="K13" s="3435"/>
      <c r="L13" s="2635" t="s">
        <v>2366</v>
      </c>
      <c r="M13" s="2636"/>
      <c r="N13" s="2612"/>
      <c r="O13" s="2637"/>
      <c r="P13" s="2637"/>
      <c r="Q13" s="2638">
        <v>365</v>
      </c>
      <c r="R13" s="2639">
        <f t="shared" si="0"/>
        <v>0</v>
      </c>
      <c r="S13" s="2593"/>
      <c r="T13" s="2593"/>
      <c r="U13" s="2593"/>
      <c r="V13" s="2601"/>
    </row>
    <row r="14" spans="1:22" s="2605" customFormat="1" ht="13.2" customHeight="1">
      <c r="A14" s="2648" t="s">
        <v>2367</v>
      </c>
      <c r="B14" s="3443" t="s">
        <v>2368</v>
      </c>
      <c r="C14" s="3444"/>
      <c r="D14" s="2649">
        <f>ROUND(E14*B5/10000,0)</f>
        <v>0</v>
      </c>
      <c r="E14" s="2638"/>
      <c r="F14" s="2643" t="s">
        <v>2369</v>
      </c>
      <c r="G14" s="2644"/>
      <c r="H14" s="2600"/>
      <c r="I14" s="2601"/>
      <c r="J14" s="3433"/>
      <c r="K14" s="343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443" t="s">
        <v>2372</v>
      </c>
      <c r="C15" s="3444"/>
      <c r="D15" s="2649">
        <f>ROUND(D6*E15,0)</f>
        <v>0</v>
      </c>
      <c r="E15" s="2650">
        <v>5.5E-2</v>
      </c>
      <c r="F15" s="2643" t="s">
        <v>2373</v>
      </c>
      <c r="G15" s="2625"/>
      <c r="H15" s="2600"/>
      <c r="I15" s="2601"/>
      <c r="J15" s="3433">
        <v>2</v>
      </c>
      <c r="K15" s="343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443" t="s">
        <v>2381</v>
      </c>
      <c r="C16" s="3444"/>
      <c r="D16" s="2660">
        <f>D6*E16</f>
        <v>0</v>
      </c>
      <c r="E16" s="2661"/>
      <c r="F16" s="2646" t="s">
        <v>2382</v>
      </c>
      <c r="G16" s="2625"/>
      <c r="H16" s="2600"/>
      <c r="I16" s="2601"/>
      <c r="J16" s="3433"/>
      <c r="K16" s="3435"/>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445" t="s">
        <v>2384</v>
      </c>
      <c r="C17" s="3446"/>
      <c r="D17" s="2663">
        <f>ROUND(D6*E17,0)</f>
        <v>0</v>
      </c>
      <c r="E17" s="2664"/>
      <c r="F17" s="2665" t="s">
        <v>2385</v>
      </c>
      <c r="G17" s="2625"/>
      <c r="H17" s="2600"/>
      <c r="I17" s="2601"/>
      <c r="J17" s="3433"/>
      <c r="K17" s="3435"/>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433"/>
      <c r="K18" s="3435"/>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433"/>
      <c r="K19" s="343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33">
        <v>3</v>
      </c>
      <c r="K20" s="343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433"/>
      <c r="K21" s="3435"/>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433"/>
      <c r="K22" s="3435"/>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433"/>
      <c r="K23" s="3435"/>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433"/>
      <c r="K24" s="343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437">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438"/>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439" t="s">
        <v>2317</v>
      </c>
      <c r="K32" s="3440"/>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441" t="s">
        <v>2327</v>
      </c>
      <c r="K33" s="3442"/>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441" t="s">
        <v>2329</v>
      </c>
      <c r="K34" s="3442"/>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433">
        <v>1</v>
      </c>
      <c r="K36" s="3434"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433"/>
      <c r="K37" s="3435"/>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33"/>
      <c r="K38" s="3435"/>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433"/>
      <c r="K39" s="3435"/>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433"/>
      <c r="K40" s="3436"/>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437">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438"/>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2965</v>
      </c>
      <c r="C2" s="1729" t="s">
        <v>1651</v>
      </c>
      <c r="D2" s="1730" t="s">
        <v>1652</v>
      </c>
      <c r="E2" s="2393">
        <f>SUM(E6:E13)</f>
        <v>3830.64</v>
      </c>
      <c r="F2" s="2480"/>
      <c r="G2" s="459"/>
      <c r="H2" s="459"/>
      <c r="I2" s="459"/>
      <c r="J2" s="459"/>
      <c r="K2" s="459"/>
      <c r="L2" s="459"/>
      <c r="M2" s="459"/>
      <c r="N2" s="459"/>
      <c r="O2" s="459"/>
      <c r="P2" s="459"/>
      <c r="Q2" s="459"/>
      <c r="R2" s="459"/>
      <c r="S2" s="459"/>
    </row>
    <row r="3" spans="1:22" ht="15.6">
      <c r="A3" s="1728" t="s">
        <v>686</v>
      </c>
      <c r="B3" s="2387">
        <f ca="1">ROUND(B2*10000/E2,0)</f>
        <v>7740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52" t="s">
        <v>1654</v>
      </c>
      <c r="C5" s="3453"/>
      <c r="D5" s="2481"/>
      <c r="E5" s="1731" t="s">
        <v>1655</v>
      </c>
      <c r="F5" s="129" t="s">
        <v>1656</v>
      </c>
      <c r="G5" s="459"/>
      <c r="H5" s="459"/>
      <c r="I5" s="459"/>
      <c r="J5" s="459"/>
      <c r="K5" s="459"/>
      <c r="L5" s="459"/>
      <c r="M5" s="459"/>
      <c r="N5" s="459"/>
      <c r="O5" s="459"/>
      <c r="P5" s="459"/>
      <c r="Q5" s="459"/>
      <c r="R5" s="459"/>
      <c r="S5" s="459"/>
    </row>
    <row r="6" spans="1:22" ht="14.4">
      <c r="A6" s="2390" t="str">
        <f>'数据-取费表'!AN6</f>
        <v>收益法</v>
      </c>
      <c r="B6" s="2388">
        <f ca="1">IF(F6="是",'数据-取费表'!AO6,0)</f>
        <v>2965</v>
      </c>
      <c r="C6" s="1729" t="s">
        <v>1651</v>
      </c>
      <c r="D6" s="2480"/>
      <c r="E6" s="2392">
        <f>IF(OR(A6=0,F6="否"),0,'数据-取费表'!K6+'数据-取费表'!S6)</f>
        <v>3830.64</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3830.64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01" t="s">
        <v>1667</v>
      </c>
      <c r="D4" s="3402"/>
      <c r="E4" s="3403" t="s">
        <v>1668</v>
      </c>
      <c r="F4" s="3404"/>
      <c r="G4" s="3401" t="s">
        <v>1669</v>
      </c>
      <c r="H4" s="3402"/>
      <c r="I4" s="3401" t="s">
        <v>1670</v>
      </c>
      <c r="J4" s="3402"/>
      <c r="K4" s="1744" t="s">
        <v>1671</v>
      </c>
      <c r="L4" s="2487"/>
      <c r="M4" s="2488"/>
      <c r="N4" s="2488"/>
      <c r="O4" s="2488"/>
      <c r="P4" s="3405" t="s">
        <v>1672</v>
      </c>
      <c r="Q4" s="3406"/>
      <c r="R4" s="3411" t="s">
        <v>1668</v>
      </c>
      <c r="S4" s="3412"/>
      <c r="T4" s="3411" t="s">
        <v>1669</v>
      </c>
      <c r="U4" s="3412"/>
      <c r="V4" s="3389" t="s">
        <v>1670</v>
      </c>
      <c r="W4" s="3389"/>
      <c r="X4" s="1265"/>
      <c r="Y4" s="3411" t="s">
        <v>1672</v>
      </c>
      <c r="Z4" s="3412"/>
      <c r="AA4" s="3398" t="s">
        <v>1668</v>
      </c>
      <c r="AB4" s="3398" t="s">
        <v>1669</v>
      </c>
      <c r="AC4" s="3398" t="s">
        <v>1670</v>
      </c>
    </row>
    <row r="5" spans="1:29">
      <c r="A5" s="348"/>
      <c r="B5" s="349"/>
      <c r="C5" s="3460" t="s">
        <v>1673</v>
      </c>
      <c r="D5" s="3420"/>
      <c r="E5" s="3461" t="s">
        <v>1674</v>
      </c>
      <c r="F5" s="3427"/>
      <c r="G5" s="3460" t="s">
        <v>1675</v>
      </c>
      <c r="H5" s="3420"/>
      <c r="I5" s="3460" t="s">
        <v>1676</v>
      </c>
      <c r="J5" s="3420"/>
      <c r="K5" s="1745"/>
      <c r="L5" s="2487"/>
      <c r="M5" s="2488"/>
      <c r="N5" s="2488"/>
      <c r="O5" s="2488"/>
      <c r="P5" s="3407"/>
      <c r="Q5" s="3408"/>
      <c r="R5" s="3413"/>
      <c r="S5" s="3414"/>
      <c r="T5" s="3413"/>
      <c r="U5" s="3414"/>
      <c r="V5" s="3389"/>
      <c r="W5" s="3389"/>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1745" t="s">
        <v>1678</v>
      </c>
      <c r="L6" s="2487"/>
      <c r="M6" s="2488"/>
      <c r="N6" s="2488"/>
      <c r="O6" s="2488"/>
      <c r="P6" s="3409"/>
      <c r="Q6" s="3410"/>
      <c r="R6" s="3413"/>
      <c r="S6" s="3414"/>
      <c r="T6" s="3415"/>
      <c r="U6" s="3416"/>
      <c r="V6" s="3389"/>
      <c r="W6" s="3389"/>
      <c r="X6" s="1265"/>
      <c r="Y6" s="3415"/>
      <c r="Z6" s="3416"/>
      <c r="AA6" s="3400"/>
      <c r="AB6" s="3400"/>
      <c r="AC6" s="3400"/>
    </row>
    <row r="7" spans="1:29" s="102" customFormat="1" ht="15" thickBot="1">
      <c r="A7" s="352" t="s">
        <v>1679</v>
      </c>
      <c r="B7" s="353"/>
      <c r="C7" s="354">
        <f>'数据-取费表'!B2</f>
        <v>45902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1" t="s">
        <v>1680</v>
      </c>
      <c r="Q7" s="3423"/>
      <c r="R7" s="664" t="s">
        <v>20</v>
      </c>
      <c r="S7" s="665">
        <f t="shared" ref="S7:S15" si="0">F7</f>
        <v>0</v>
      </c>
      <c r="T7" s="664" t="s">
        <v>20</v>
      </c>
      <c r="U7" s="665">
        <f t="shared" ref="U7:U15" si="1">H7</f>
        <v>0</v>
      </c>
      <c r="V7" s="664" t="s">
        <v>20</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9"/>
      <c r="Q11" s="530" t="str">
        <f t="shared" si="6"/>
        <v>容积率</v>
      </c>
      <c r="R11" s="664" t="s">
        <v>18</v>
      </c>
      <c r="S11" s="665" t="e">
        <f t="shared" si="0"/>
        <v>#N/A</v>
      </c>
      <c r="T11" s="664" t="s">
        <v>18</v>
      </c>
      <c r="U11" s="665" t="e">
        <f t="shared" si="1"/>
        <v>#N/A</v>
      </c>
      <c r="V11" s="664" t="s">
        <v>18</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9"/>
      <c r="Q12" s="530">
        <f t="shared" si="6"/>
        <v>111</v>
      </c>
      <c r="R12" s="664" t="s">
        <v>18</v>
      </c>
      <c r="S12" s="665">
        <f t="shared" si="0"/>
        <v>100</v>
      </c>
      <c r="T12" s="664" t="s">
        <v>18</v>
      </c>
      <c r="U12" s="665">
        <f t="shared" si="1"/>
        <v>100</v>
      </c>
      <c r="V12" s="664" t="s">
        <v>18</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9"/>
      <c r="Q13" s="530">
        <f t="shared" si="6"/>
        <v>111</v>
      </c>
      <c r="R13" s="664" t="s">
        <v>18</v>
      </c>
      <c r="S13" s="665">
        <f t="shared" si="0"/>
        <v>100</v>
      </c>
      <c r="T13" s="664" t="s">
        <v>18</v>
      </c>
      <c r="U13" s="665">
        <f t="shared" si="1"/>
        <v>100</v>
      </c>
      <c r="V13" s="664" t="s">
        <v>18</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9"/>
      <c r="Q14" s="530">
        <f t="shared" si="6"/>
        <v>111</v>
      </c>
      <c r="R14" s="664" t="s">
        <v>18</v>
      </c>
      <c r="S14" s="665">
        <f t="shared" si="0"/>
        <v>100</v>
      </c>
      <c r="T14" s="664" t="s">
        <v>18</v>
      </c>
      <c r="U14" s="665">
        <f t="shared" si="1"/>
        <v>100</v>
      </c>
      <c r="V14" s="664" t="s">
        <v>18</v>
      </c>
      <c r="W14" s="665">
        <f t="shared" si="2"/>
        <v>100</v>
      </c>
      <c r="X14" s="666"/>
      <c r="Y14" s="327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7" t="s">
        <v>1691</v>
      </c>
      <c r="Q15" s="1263" t="str">
        <f t="shared" si="6"/>
        <v>居住社区成熟度</v>
      </c>
      <c r="R15" s="667" t="s">
        <v>18</v>
      </c>
      <c r="S15" s="668">
        <f t="shared" si="0"/>
        <v>100</v>
      </c>
      <c r="T15" s="667" t="s">
        <v>18</v>
      </c>
      <c r="U15" s="668">
        <f t="shared" si="1"/>
        <v>100</v>
      </c>
      <c r="V15" s="667" t="s">
        <v>18</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8"/>
      <c r="Q16" s="1263"/>
      <c r="R16" s="667"/>
      <c r="S16" s="668"/>
      <c r="T16" s="667"/>
      <c r="U16" s="668"/>
      <c r="V16" s="667"/>
      <c r="W16" s="668"/>
      <c r="X16" s="1265"/>
      <c r="Y16" s="339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8"/>
      <c r="Q17" s="1263" t="str">
        <f>B17</f>
        <v>交通便捷度</v>
      </c>
      <c r="R17" s="667" t="s">
        <v>18</v>
      </c>
      <c r="S17" s="668">
        <f>F17</f>
        <v>100</v>
      </c>
      <c r="T17" s="667" t="s">
        <v>18</v>
      </c>
      <c r="U17" s="668">
        <f>H17</f>
        <v>100</v>
      </c>
      <c r="V17" s="667" t="s">
        <v>18</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8"/>
      <c r="Q18" s="1263"/>
      <c r="R18" s="667"/>
      <c r="S18" s="668"/>
      <c r="T18" s="667"/>
      <c r="U18" s="668"/>
      <c r="V18" s="667"/>
      <c r="W18" s="668"/>
      <c r="X18" s="1265"/>
      <c r="Y18" s="339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8"/>
      <c r="Q19" s="1263" t="str">
        <f>B19</f>
        <v>公共配套设施</v>
      </c>
      <c r="R19" s="667" t="s">
        <v>18</v>
      </c>
      <c r="S19" s="668">
        <f>F19</f>
        <v>100</v>
      </c>
      <c r="T19" s="667" t="s">
        <v>18</v>
      </c>
      <c r="U19" s="668">
        <f>H19</f>
        <v>100</v>
      </c>
      <c r="V19" s="667" t="s">
        <v>18</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8"/>
      <c r="Q20" s="1263"/>
      <c r="R20" s="667"/>
      <c r="S20" s="668"/>
      <c r="T20" s="667"/>
      <c r="U20" s="668"/>
      <c r="V20" s="667"/>
      <c r="W20" s="668"/>
      <c r="X20" s="1265"/>
      <c r="Y20" s="339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8"/>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8"/>
      <c r="Q22" s="1263"/>
      <c r="R22" s="667"/>
      <c r="S22" s="668"/>
      <c r="T22" s="667"/>
      <c r="U22" s="668"/>
      <c r="V22" s="667"/>
      <c r="W22" s="668"/>
      <c r="X22" s="1265"/>
      <c r="Y22" s="339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8"/>
      <c r="Q23" s="1263" t="str">
        <f>B23</f>
        <v>自然及人文环境</v>
      </c>
      <c r="R23" s="667" t="s">
        <v>18</v>
      </c>
      <c r="S23" s="668">
        <f>F23</f>
        <v>100</v>
      </c>
      <c r="T23" s="667" t="s">
        <v>18</v>
      </c>
      <c r="U23" s="668">
        <f>H23</f>
        <v>100</v>
      </c>
      <c r="V23" s="667" t="s">
        <v>18</v>
      </c>
      <c r="W23" s="668">
        <f>J23</f>
        <v>100</v>
      </c>
      <c r="X23" s="1265"/>
      <c r="Y23" s="339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8"/>
      <c r="Q24" s="1263"/>
      <c r="R24" s="667"/>
      <c r="S24" s="668"/>
      <c r="T24" s="667"/>
      <c r="U24" s="668"/>
      <c r="V24" s="667"/>
      <c r="W24" s="668"/>
      <c r="X24" s="1265"/>
      <c r="Y24" s="339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8"/>
      <c r="Q26" s="1263" t="str">
        <f t="shared" si="11"/>
        <v>朝向</v>
      </c>
      <c r="R26" s="667" t="s">
        <v>18</v>
      </c>
      <c r="S26" s="668">
        <f t="shared" si="12"/>
        <v>100</v>
      </c>
      <c r="T26" s="667" t="s">
        <v>18</v>
      </c>
      <c r="U26" s="668">
        <f t="shared" si="13"/>
        <v>100</v>
      </c>
      <c r="V26" s="667" t="s">
        <v>18</v>
      </c>
      <c r="W26" s="668">
        <f t="shared" si="14"/>
        <v>100</v>
      </c>
      <c r="X26" s="1265"/>
      <c r="Y26" s="339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8"/>
      <c r="Q27" s="530">
        <f t="shared" si="11"/>
        <v>111</v>
      </c>
      <c r="R27" s="664" t="s">
        <v>18</v>
      </c>
      <c r="S27" s="665">
        <f t="shared" si="12"/>
        <v>100</v>
      </c>
      <c r="T27" s="664" t="s">
        <v>18</v>
      </c>
      <c r="U27" s="665">
        <f t="shared" si="13"/>
        <v>100</v>
      </c>
      <c r="V27" s="664" t="s">
        <v>18</v>
      </c>
      <c r="W27" s="665">
        <f t="shared" si="14"/>
        <v>100</v>
      </c>
      <c r="X27" s="666"/>
      <c r="Y27" s="339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8"/>
      <c r="Q28" s="1263">
        <f t="shared" si="11"/>
        <v>111</v>
      </c>
      <c r="R28" s="667" t="s">
        <v>18</v>
      </c>
      <c r="S28" s="668">
        <f t="shared" si="12"/>
        <v>100</v>
      </c>
      <c r="T28" s="667" t="s">
        <v>18</v>
      </c>
      <c r="U28" s="668">
        <f t="shared" si="13"/>
        <v>100</v>
      </c>
      <c r="V28" s="667" t="s">
        <v>18</v>
      </c>
      <c r="W28" s="668">
        <f t="shared" si="14"/>
        <v>100</v>
      </c>
      <c r="X28" s="1265"/>
      <c r="Y28" s="339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8"/>
      <c r="Q29" s="1263">
        <f t="shared" si="11"/>
        <v>111</v>
      </c>
      <c r="R29" s="667" t="s">
        <v>18</v>
      </c>
      <c r="S29" s="668">
        <f t="shared" si="12"/>
        <v>100</v>
      </c>
      <c r="T29" s="667" t="s">
        <v>18</v>
      </c>
      <c r="U29" s="668">
        <f t="shared" si="13"/>
        <v>100</v>
      </c>
      <c r="V29" s="667" t="s">
        <v>18</v>
      </c>
      <c r="W29" s="668">
        <f t="shared" si="14"/>
        <v>100</v>
      </c>
      <c r="X29" s="1265"/>
      <c r="Y29" s="33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8"/>
      <c r="Q30" s="1263">
        <f t="shared" si="11"/>
        <v>111</v>
      </c>
      <c r="R30" s="667" t="s">
        <v>18</v>
      </c>
      <c r="S30" s="668">
        <f t="shared" si="12"/>
        <v>100</v>
      </c>
      <c r="T30" s="667" t="s">
        <v>18</v>
      </c>
      <c r="U30" s="668">
        <f t="shared" si="13"/>
        <v>100</v>
      </c>
      <c r="V30" s="667" t="s">
        <v>18</v>
      </c>
      <c r="W30" s="668">
        <f t="shared" si="14"/>
        <v>100</v>
      </c>
      <c r="X30" s="1265"/>
      <c r="Y30" s="339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8"/>
      <c r="Q31" s="1263">
        <f t="shared" si="11"/>
        <v>111</v>
      </c>
      <c r="R31" s="667" t="s">
        <v>18</v>
      </c>
      <c r="S31" s="668">
        <f t="shared" si="12"/>
        <v>100</v>
      </c>
      <c r="T31" s="667" t="s">
        <v>18</v>
      </c>
      <c r="U31" s="668">
        <f t="shared" si="13"/>
        <v>100</v>
      </c>
      <c r="V31" s="667" t="s">
        <v>18</v>
      </c>
      <c r="W31" s="668">
        <f t="shared" si="14"/>
        <v>100</v>
      </c>
      <c r="X31" s="1265"/>
      <c r="Y31" s="339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4" t="s">
        <v>1696</v>
      </c>
      <c r="Q32" s="1263" t="str">
        <f t="shared" si="11"/>
        <v>建筑类型</v>
      </c>
      <c r="R32" s="667" t="s">
        <v>18</v>
      </c>
      <c r="S32" s="668">
        <f t="shared" si="12"/>
        <v>100</v>
      </c>
      <c r="T32" s="667" t="s">
        <v>18</v>
      </c>
      <c r="U32" s="668">
        <f t="shared" si="13"/>
        <v>100</v>
      </c>
      <c r="V32" s="667" t="s">
        <v>18</v>
      </c>
      <c r="W32" s="668">
        <f t="shared" si="14"/>
        <v>100</v>
      </c>
      <c r="X32" s="1265"/>
      <c r="Y32" s="339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5"/>
      <c r="Q33" s="531" t="str">
        <f t="shared" si="11"/>
        <v>项目建筑规模</v>
      </c>
      <c r="R33" s="669" t="s">
        <v>18</v>
      </c>
      <c r="S33" s="670" t="e">
        <f t="shared" si="12"/>
        <v>#N/A</v>
      </c>
      <c r="T33" s="669" t="s">
        <v>18</v>
      </c>
      <c r="U33" s="670" t="e">
        <f t="shared" si="13"/>
        <v>#N/A</v>
      </c>
      <c r="V33" s="669" t="s">
        <v>18</v>
      </c>
      <c r="W33" s="670" t="e">
        <f t="shared" si="14"/>
        <v>#N/A</v>
      </c>
      <c r="X33" s="671"/>
      <c r="Y33" s="339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5"/>
      <c r="Q34" s="1263" t="str">
        <f t="shared" si="11"/>
        <v>建筑结构</v>
      </c>
      <c r="R34" s="667" t="s">
        <v>18</v>
      </c>
      <c r="S34" s="668">
        <f t="shared" si="12"/>
        <v>100</v>
      </c>
      <c r="T34" s="667" t="s">
        <v>18</v>
      </c>
      <c r="U34" s="668">
        <f t="shared" si="13"/>
        <v>100</v>
      </c>
      <c r="V34" s="667" t="s">
        <v>18</v>
      </c>
      <c r="W34" s="668">
        <f t="shared" si="14"/>
        <v>100</v>
      </c>
      <c r="X34" s="1265"/>
      <c r="Y34" s="339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5"/>
      <c r="Q35" s="1263" t="str">
        <f t="shared" si="11"/>
        <v>建筑品质</v>
      </c>
      <c r="R35" s="667" t="s">
        <v>18</v>
      </c>
      <c r="S35" s="668">
        <f t="shared" si="12"/>
        <v>100</v>
      </c>
      <c r="T35" s="667" t="s">
        <v>18</v>
      </c>
      <c r="U35" s="668">
        <f t="shared" si="13"/>
        <v>100</v>
      </c>
      <c r="V35" s="667" t="s">
        <v>18</v>
      </c>
      <c r="W35" s="668">
        <f t="shared" si="14"/>
        <v>100</v>
      </c>
      <c r="X35" s="1265"/>
      <c r="Y35" s="339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5"/>
      <c r="Q36" s="1263" t="str">
        <f t="shared" si="11"/>
        <v>公共部分装修</v>
      </c>
      <c r="R36" s="667" t="s">
        <v>18</v>
      </c>
      <c r="S36" s="668">
        <f t="shared" si="12"/>
        <v>100</v>
      </c>
      <c r="T36" s="667" t="s">
        <v>18</v>
      </c>
      <c r="U36" s="668">
        <f t="shared" si="13"/>
        <v>100</v>
      </c>
      <c r="V36" s="667" t="s">
        <v>18</v>
      </c>
      <c r="W36" s="668">
        <f t="shared" si="14"/>
        <v>100</v>
      </c>
      <c r="X36" s="1265"/>
      <c r="Y36" s="339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5"/>
      <c r="Q37" s="530" t="str">
        <f t="shared" si="11"/>
        <v>成新度</v>
      </c>
      <c r="R37" s="664" t="s">
        <v>18</v>
      </c>
      <c r="S37" s="665" t="e">
        <f t="shared" si="12"/>
        <v>#N/A</v>
      </c>
      <c r="T37" s="664" t="s">
        <v>18</v>
      </c>
      <c r="U37" s="665" t="e">
        <f t="shared" si="13"/>
        <v>#N/A</v>
      </c>
      <c r="V37" s="664" t="s">
        <v>18</v>
      </c>
      <c r="W37" s="665" t="e">
        <f t="shared" si="14"/>
        <v>#N/A</v>
      </c>
      <c r="X37" s="666"/>
      <c r="Y37" s="339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5" t="s">
        <v>1696</v>
      </c>
      <c r="Q38" s="1263" t="str">
        <f t="shared" si="11"/>
        <v>物业管理</v>
      </c>
      <c r="R38" s="667" t="s">
        <v>18</v>
      </c>
      <c r="S38" s="668">
        <f t="shared" si="12"/>
        <v>100</v>
      </c>
      <c r="T38" s="667" t="s">
        <v>18</v>
      </c>
      <c r="U38" s="668">
        <f t="shared" si="13"/>
        <v>100</v>
      </c>
      <c r="V38" s="667" t="s">
        <v>18</v>
      </c>
      <c r="W38" s="668">
        <f t="shared" si="14"/>
        <v>100</v>
      </c>
      <c r="X38" s="1265"/>
      <c r="Y38" s="339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5"/>
      <c r="Q39" s="1263" t="str">
        <f t="shared" si="11"/>
        <v>市政基础设施</v>
      </c>
      <c r="R39" s="667" t="s">
        <v>18</v>
      </c>
      <c r="S39" s="668">
        <f t="shared" si="12"/>
        <v>100</v>
      </c>
      <c r="T39" s="667" t="s">
        <v>18</v>
      </c>
      <c r="U39" s="668">
        <f t="shared" si="13"/>
        <v>100</v>
      </c>
      <c r="V39" s="667" t="s">
        <v>18</v>
      </c>
      <c r="W39" s="668">
        <f t="shared" si="14"/>
        <v>100</v>
      </c>
      <c r="X39" s="1265"/>
      <c r="Y39" s="339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5"/>
      <c r="Q40" s="1263" t="str">
        <f t="shared" si="11"/>
        <v>房型</v>
      </c>
      <c r="R40" s="667" t="s">
        <v>18</v>
      </c>
      <c r="S40" s="668">
        <f t="shared" si="12"/>
        <v>100</v>
      </c>
      <c r="T40" s="667" t="s">
        <v>18</v>
      </c>
      <c r="U40" s="668">
        <f t="shared" si="13"/>
        <v>100</v>
      </c>
      <c r="V40" s="667" t="s">
        <v>18</v>
      </c>
      <c r="W40" s="668">
        <f t="shared" si="14"/>
        <v>100</v>
      </c>
      <c r="X40" s="1265"/>
      <c r="Y40" s="339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5"/>
      <c r="Q41" s="531" t="str">
        <f t="shared" si="11"/>
        <v>单套/主力户型建筑面积</v>
      </c>
      <c r="R41" s="669" t="s">
        <v>18</v>
      </c>
      <c r="S41" s="670">
        <f t="shared" si="12"/>
        <v>100</v>
      </c>
      <c r="T41" s="669" t="s">
        <v>18</v>
      </c>
      <c r="U41" s="670">
        <f t="shared" si="13"/>
        <v>100</v>
      </c>
      <c r="V41" s="669" t="s">
        <v>18</v>
      </c>
      <c r="W41" s="670">
        <f t="shared" si="14"/>
        <v>100</v>
      </c>
      <c r="X41" s="671"/>
      <c r="Y41" s="339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5"/>
      <c r="Q42" s="1263" t="str">
        <f t="shared" si="11"/>
        <v>内部装修</v>
      </c>
      <c r="R42" s="667" t="s">
        <v>18</v>
      </c>
      <c r="S42" s="668">
        <f t="shared" si="12"/>
        <v>100</v>
      </c>
      <c r="T42" s="667" t="s">
        <v>18</v>
      </c>
      <c r="U42" s="668">
        <f t="shared" si="13"/>
        <v>100</v>
      </c>
      <c r="V42" s="667" t="s">
        <v>18</v>
      </c>
      <c r="W42" s="668">
        <f t="shared" si="14"/>
        <v>100</v>
      </c>
      <c r="X42" s="1265"/>
      <c r="Y42" s="339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5"/>
      <c r="Q43" s="1263" t="str">
        <f t="shared" si="11"/>
        <v>内部装修维护情况</v>
      </c>
      <c r="R43" s="667" t="s">
        <v>18</v>
      </c>
      <c r="S43" s="668">
        <f t="shared" si="12"/>
        <v>100</v>
      </c>
      <c r="T43" s="667" t="s">
        <v>18</v>
      </c>
      <c r="U43" s="668">
        <f t="shared" si="13"/>
        <v>100</v>
      </c>
      <c r="V43" s="667" t="s">
        <v>18</v>
      </c>
      <c r="W43" s="668">
        <f t="shared" si="14"/>
        <v>100</v>
      </c>
      <c r="X43" s="1265"/>
      <c r="Y43" s="339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5"/>
      <c r="Q44" s="530">
        <f t="shared" si="11"/>
        <v>111</v>
      </c>
      <c r="R44" s="664" t="s">
        <v>18</v>
      </c>
      <c r="S44" s="665">
        <f t="shared" si="12"/>
        <v>100</v>
      </c>
      <c r="T44" s="664" t="s">
        <v>18</v>
      </c>
      <c r="U44" s="665">
        <f t="shared" si="13"/>
        <v>100</v>
      </c>
      <c r="V44" s="664" t="s">
        <v>18</v>
      </c>
      <c r="W44" s="665">
        <f t="shared" si="14"/>
        <v>100</v>
      </c>
      <c r="X44" s="666"/>
      <c r="Y44" s="339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5"/>
      <c r="Q45" s="1263">
        <f t="shared" si="11"/>
        <v>111</v>
      </c>
      <c r="R45" s="667" t="s">
        <v>18</v>
      </c>
      <c r="S45" s="668">
        <f t="shared" si="12"/>
        <v>100</v>
      </c>
      <c r="T45" s="667" t="s">
        <v>18</v>
      </c>
      <c r="U45" s="668">
        <f t="shared" si="13"/>
        <v>100</v>
      </c>
      <c r="V45" s="667" t="s">
        <v>18</v>
      </c>
      <c r="W45" s="668">
        <f t="shared" si="14"/>
        <v>100</v>
      </c>
      <c r="X45" s="1265"/>
      <c r="Y45" s="339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6"/>
      <c r="Q46" s="1263">
        <f t="shared" si="11"/>
        <v>111</v>
      </c>
      <c r="R46" s="667" t="s">
        <v>17</v>
      </c>
      <c r="S46" s="668">
        <f t="shared" si="12"/>
        <v>100</v>
      </c>
      <c r="T46" s="667" t="s">
        <v>17</v>
      </c>
      <c r="U46" s="668">
        <f t="shared" si="13"/>
        <v>100</v>
      </c>
      <c r="V46" s="667" t="s">
        <v>17</v>
      </c>
      <c r="W46" s="668">
        <f t="shared" si="14"/>
        <v>100</v>
      </c>
      <c r="X46" s="1265"/>
      <c r="Y46" s="339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3830.64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9" t="s">
        <v>1773</v>
      </c>
      <c r="W4" s="3389"/>
      <c r="X4" s="1265"/>
      <c r="Y4" s="3411" t="s">
        <v>1775</v>
      </c>
      <c r="Z4" s="3412"/>
      <c r="AA4" s="3398" t="s">
        <v>1771</v>
      </c>
      <c r="AB4" s="3389" t="s">
        <v>1772</v>
      </c>
      <c r="AC4" s="3398" t="s">
        <v>1773</v>
      </c>
    </row>
    <row r="5" spans="1:29">
      <c r="A5" s="348"/>
      <c r="B5" s="349"/>
      <c r="C5" s="3460" t="s">
        <v>1673</v>
      </c>
      <c r="D5" s="3420"/>
      <c r="E5" s="3461" t="s">
        <v>1674</v>
      </c>
      <c r="F5" s="3427"/>
      <c r="G5" s="3460" t="s">
        <v>1675</v>
      </c>
      <c r="H5" s="3420"/>
      <c r="I5" s="3460" t="s">
        <v>1676</v>
      </c>
      <c r="J5" s="3420"/>
      <c r="K5" s="537"/>
      <c r="L5" s="2487"/>
      <c r="M5" s="2488"/>
      <c r="N5" s="2488"/>
      <c r="O5" s="2488"/>
      <c r="P5" s="3407"/>
      <c r="Q5" s="3408"/>
      <c r="R5" s="3413"/>
      <c r="S5" s="3414"/>
      <c r="T5" s="3413"/>
      <c r="U5" s="3414"/>
      <c r="V5" s="3389"/>
      <c r="W5" s="3389"/>
      <c r="X5" s="1265"/>
      <c r="Y5" s="3413"/>
      <c r="Z5" s="3414"/>
      <c r="AA5" s="3399"/>
      <c r="AB5" s="338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9"/>
      <c r="W6" s="3389"/>
      <c r="X6" s="1265"/>
      <c r="Y6" s="3415"/>
      <c r="Z6" s="3416"/>
      <c r="AA6" s="3400"/>
      <c r="AB6" s="3389"/>
      <c r="AC6" s="3400"/>
    </row>
    <row r="7" spans="1:29" s="102" customFormat="1" ht="15" thickBot="1">
      <c r="A7" s="352" t="s">
        <v>1679</v>
      </c>
      <c r="B7" s="353"/>
      <c r="C7" s="354">
        <f>'数据-取费表'!B2</f>
        <v>45902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9"/>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7" t="s">
        <v>1691</v>
      </c>
      <c r="Q15" s="1263" t="str">
        <f t="shared" si="6"/>
        <v>商业繁华度</v>
      </c>
      <c r="R15" s="667" t="s">
        <v>14</v>
      </c>
      <c r="S15" s="668">
        <f t="shared" si="0"/>
        <v>100</v>
      </c>
      <c r="T15" s="667" t="s">
        <v>14</v>
      </c>
      <c r="U15" s="668">
        <f t="shared" si="1"/>
        <v>100</v>
      </c>
      <c r="V15" s="667" t="s">
        <v>14</v>
      </c>
      <c r="W15" s="668">
        <f t="shared" si="2"/>
        <v>100</v>
      </c>
      <c r="X15" s="1265"/>
      <c r="Y15" s="339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8"/>
      <c r="Q16" s="1263"/>
      <c r="R16" s="667"/>
      <c r="S16" s="668"/>
      <c r="T16" s="667"/>
      <c r="U16" s="668"/>
      <c r="V16" s="667"/>
      <c r="W16" s="668"/>
      <c r="X16" s="1265"/>
      <c r="Y16" s="339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8"/>
      <c r="Q18" s="1263"/>
      <c r="R18" s="667"/>
      <c r="S18" s="668"/>
      <c r="T18" s="667"/>
      <c r="U18" s="668"/>
      <c r="V18" s="667"/>
      <c r="W18" s="668"/>
      <c r="X18" s="1265"/>
      <c r="Y18" s="339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8"/>
      <c r="Q20" s="1263"/>
      <c r="R20" s="667"/>
      <c r="S20" s="668"/>
      <c r="T20" s="667"/>
      <c r="U20" s="668"/>
      <c r="V20" s="667"/>
      <c r="W20" s="668"/>
      <c r="X20" s="1265"/>
      <c r="Y20" s="339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8"/>
      <c r="Q22" s="1263"/>
      <c r="R22" s="667"/>
      <c r="S22" s="668"/>
      <c r="T22" s="667"/>
      <c r="U22" s="668"/>
      <c r="V22" s="667"/>
      <c r="W22" s="668"/>
      <c r="X22" s="1265"/>
      <c r="Y22" s="339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8"/>
      <c r="Q23" s="1263" t="str">
        <f>B23</f>
        <v>自然及人文环境</v>
      </c>
      <c r="R23" s="667" t="s">
        <v>14</v>
      </c>
      <c r="S23" s="668">
        <f>F23</f>
        <v>100</v>
      </c>
      <c r="T23" s="667" t="s">
        <v>14</v>
      </c>
      <c r="U23" s="668">
        <f>H23</f>
        <v>100</v>
      </c>
      <c r="V23" s="667" t="s">
        <v>14</v>
      </c>
      <c r="W23" s="668">
        <f>J23</f>
        <v>100</v>
      </c>
      <c r="X23" s="1265"/>
      <c r="Y23" s="339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8"/>
      <c r="Q24" s="1263"/>
      <c r="R24" s="667"/>
      <c r="S24" s="668"/>
      <c r="T24" s="667"/>
      <c r="U24" s="668"/>
      <c r="V24" s="667"/>
      <c r="W24" s="668"/>
      <c r="X24" s="1265"/>
      <c r="Y24" s="339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8"/>
      <c r="Q25" s="1263" t="str">
        <f t="shared" ref="Q25:Q46" si="11">B25</f>
        <v>临街状况</v>
      </c>
      <c r="R25" s="667" t="s">
        <v>14</v>
      </c>
      <c r="S25" s="668">
        <f>F25</f>
        <v>100</v>
      </c>
      <c r="T25" s="667" t="s">
        <v>14</v>
      </c>
      <c r="U25" s="668">
        <f>H25</f>
        <v>100</v>
      </c>
      <c r="V25" s="667" t="s">
        <v>14</v>
      </c>
      <c r="W25" s="668">
        <f>J25</f>
        <v>100</v>
      </c>
      <c r="X25" s="1265"/>
      <c r="Y25" s="339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8"/>
      <c r="Q26" s="1263" t="str">
        <f t="shared" si="11"/>
        <v>平面位置/可视性</v>
      </c>
      <c r="R26" s="667" t="s">
        <v>14</v>
      </c>
      <c r="S26" s="668">
        <f>F26</f>
        <v>100</v>
      </c>
      <c r="T26" s="667" t="s">
        <v>14</v>
      </c>
      <c r="U26" s="668">
        <f>H26</f>
        <v>100</v>
      </c>
      <c r="V26" s="667" t="s">
        <v>14</v>
      </c>
      <c r="W26" s="668">
        <f>J26</f>
        <v>100</v>
      </c>
      <c r="X26" s="1265"/>
      <c r="Y26" s="339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8"/>
      <c r="Q27" s="530" t="str">
        <f t="shared" si="11"/>
        <v>人流量</v>
      </c>
      <c r="R27" s="664" t="s">
        <v>14</v>
      </c>
      <c r="S27" s="665">
        <f>F27</f>
        <v>100</v>
      </c>
      <c r="T27" s="664" t="s">
        <v>14</v>
      </c>
      <c r="U27" s="665">
        <f>H27</f>
        <v>100</v>
      </c>
      <c r="V27" s="664" t="s">
        <v>14</v>
      </c>
      <c r="W27" s="665">
        <f>J27</f>
        <v>100</v>
      </c>
      <c r="X27" s="666"/>
      <c r="Y27" s="339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8"/>
      <c r="Q29" s="1263">
        <f t="shared" si="11"/>
        <v>111</v>
      </c>
      <c r="R29" s="667" t="s">
        <v>14</v>
      </c>
      <c r="S29" s="668">
        <f t="shared" si="12"/>
        <v>100</v>
      </c>
      <c r="T29" s="667" t="s">
        <v>14</v>
      </c>
      <c r="U29" s="668">
        <f t="shared" si="13"/>
        <v>100</v>
      </c>
      <c r="V29" s="667" t="s">
        <v>14</v>
      </c>
      <c r="W29" s="668">
        <f t="shared" si="14"/>
        <v>100</v>
      </c>
      <c r="X29" s="1265"/>
      <c r="Y29" s="339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4" t="s">
        <v>1696</v>
      </c>
      <c r="Q32" s="1263" t="str">
        <f t="shared" si="11"/>
        <v>商业类型</v>
      </c>
      <c r="R32" s="667" t="s">
        <v>14</v>
      </c>
      <c r="S32" s="668">
        <f t="shared" si="12"/>
        <v>100</v>
      </c>
      <c r="T32" s="667" t="s">
        <v>14</v>
      </c>
      <c r="U32" s="668">
        <f t="shared" si="13"/>
        <v>100</v>
      </c>
      <c r="V32" s="667" t="s">
        <v>14</v>
      </c>
      <c r="W32" s="668">
        <f t="shared" si="14"/>
        <v>100</v>
      </c>
      <c r="X32" s="1265"/>
      <c r="Y32" s="339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5"/>
      <c r="Q33" s="531" t="str">
        <f t="shared" si="11"/>
        <v>项目建筑规模</v>
      </c>
      <c r="R33" s="669" t="s">
        <v>14</v>
      </c>
      <c r="S33" s="670" t="e">
        <f t="shared" si="12"/>
        <v>#N/A</v>
      </c>
      <c r="T33" s="669" t="s">
        <v>14</v>
      </c>
      <c r="U33" s="670" t="e">
        <f t="shared" si="13"/>
        <v>#N/A</v>
      </c>
      <c r="V33" s="669" t="s">
        <v>14</v>
      </c>
      <c r="W33" s="670" t="e">
        <f t="shared" si="14"/>
        <v>#N/A</v>
      </c>
      <c r="X33" s="671"/>
      <c r="Y33" s="339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5"/>
      <c r="Q34" s="1263" t="str">
        <f t="shared" si="11"/>
        <v>建筑结构</v>
      </c>
      <c r="R34" s="667" t="s">
        <v>14</v>
      </c>
      <c r="S34" s="668">
        <f t="shared" si="12"/>
        <v>100</v>
      </c>
      <c r="T34" s="667" t="s">
        <v>14</v>
      </c>
      <c r="U34" s="668">
        <f t="shared" si="13"/>
        <v>100</v>
      </c>
      <c r="V34" s="667" t="s">
        <v>14</v>
      </c>
      <c r="W34" s="668">
        <f t="shared" si="14"/>
        <v>100</v>
      </c>
      <c r="X34" s="1265"/>
      <c r="Y34" s="339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5"/>
      <c r="Q35" s="1263" t="str">
        <f t="shared" si="11"/>
        <v>公共部分装修</v>
      </c>
      <c r="R35" s="667" t="s">
        <v>14</v>
      </c>
      <c r="S35" s="668">
        <f t="shared" si="12"/>
        <v>100</v>
      </c>
      <c r="T35" s="667" t="s">
        <v>14</v>
      </c>
      <c r="U35" s="668">
        <f t="shared" si="13"/>
        <v>100</v>
      </c>
      <c r="V35" s="667" t="s">
        <v>14</v>
      </c>
      <c r="W35" s="668">
        <f t="shared" si="14"/>
        <v>100</v>
      </c>
      <c r="X35" s="1265"/>
      <c r="Y35" s="339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5"/>
      <c r="Q36" s="1263" t="str">
        <f t="shared" si="11"/>
        <v>成新度</v>
      </c>
      <c r="R36" s="667" t="s">
        <v>14</v>
      </c>
      <c r="S36" s="668" t="e">
        <f t="shared" si="12"/>
        <v>#N/A</v>
      </c>
      <c r="T36" s="667" t="s">
        <v>14</v>
      </c>
      <c r="U36" s="668" t="e">
        <f t="shared" si="13"/>
        <v>#N/A</v>
      </c>
      <c r="V36" s="667" t="s">
        <v>14</v>
      </c>
      <c r="W36" s="668" t="e">
        <f t="shared" si="14"/>
        <v>#N/A</v>
      </c>
      <c r="X36" s="1265"/>
      <c r="Y36" s="339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5"/>
      <c r="Q37" s="530" t="str">
        <f t="shared" si="11"/>
        <v>市政基础设施</v>
      </c>
      <c r="R37" s="664" t="s">
        <v>14</v>
      </c>
      <c r="S37" s="665">
        <f t="shared" si="12"/>
        <v>100</v>
      </c>
      <c r="T37" s="664" t="s">
        <v>14</v>
      </c>
      <c r="U37" s="665">
        <f t="shared" si="13"/>
        <v>100</v>
      </c>
      <c r="V37" s="664" t="s">
        <v>14</v>
      </c>
      <c r="W37" s="665">
        <f t="shared" si="14"/>
        <v>100</v>
      </c>
      <c r="X37" s="666"/>
      <c r="Y37" s="339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5" t="s">
        <v>1696</v>
      </c>
      <c r="Q38" s="1263" t="str">
        <f t="shared" si="11"/>
        <v>业态</v>
      </c>
      <c r="R38" s="667" t="s">
        <v>14</v>
      </c>
      <c r="S38" s="668">
        <f t="shared" si="12"/>
        <v>100</v>
      </c>
      <c r="T38" s="667" t="s">
        <v>14</v>
      </c>
      <c r="U38" s="668">
        <f t="shared" si="13"/>
        <v>100</v>
      </c>
      <c r="V38" s="667" t="s">
        <v>14</v>
      </c>
      <c r="W38" s="668">
        <f t="shared" si="14"/>
        <v>100</v>
      </c>
      <c r="X38" s="1265"/>
      <c r="Y38" s="339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5"/>
      <c r="Q39" s="1263" t="str">
        <f t="shared" si="11"/>
        <v>层高</v>
      </c>
      <c r="R39" s="667" t="s">
        <v>14</v>
      </c>
      <c r="S39" s="668">
        <f t="shared" si="12"/>
        <v>100</v>
      </c>
      <c r="T39" s="667" t="s">
        <v>14</v>
      </c>
      <c r="U39" s="668">
        <f t="shared" si="13"/>
        <v>100</v>
      </c>
      <c r="V39" s="667" t="s">
        <v>14</v>
      </c>
      <c r="W39" s="668">
        <f t="shared" si="14"/>
        <v>100</v>
      </c>
      <c r="X39" s="1265"/>
      <c r="Y39" s="339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5"/>
      <c r="Q40" s="1263" t="str">
        <f t="shared" si="11"/>
        <v>单套建筑面积</v>
      </c>
      <c r="R40" s="667" t="s">
        <v>14</v>
      </c>
      <c r="S40" s="668">
        <f t="shared" si="12"/>
        <v>100</v>
      </c>
      <c r="T40" s="667" t="s">
        <v>14</v>
      </c>
      <c r="U40" s="668">
        <f t="shared" si="13"/>
        <v>100</v>
      </c>
      <c r="V40" s="667" t="s">
        <v>14</v>
      </c>
      <c r="W40" s="668">
        <f t="shared" si="14"/>
        <v>100</v>
      </c>
      <c r="X40" s="1265"/>
      <c r="Y40" s="339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5"/>
      <c r="Q41" s="531" t="str">
        <f t="shared" si="11"/>
        <v>进深比</v>
      </c>
      <c r="R41" s="669" t="s">
        <v>14</v>
      </c>
      <c r="S41" s="670">
        <f t="shared" si="12"/>
        <v>100</v>
      </c>
      <c r="T41" s="669" t="s">
        <v>14</v>
      </c>
      <c r="U41" s="670">
        <f t="shared" si="13"/>
        <v>100</v>
      </c>
      <c r="V41" s="669" t="s">
        <v>14</v>
      </c>
      <c r="W41" s="670">
        <f t="shared" si="14"/>
        <v>100</v>
      </c>
      <c r="X41" s="671"/>
      <c r="Y41" s="339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5"/>
      <c r="Q42" s="1263" t="str">
        <f t="shared" si="11"/>
        <v>内部装修</v>
      </c>
      <c r="R42" s="667" t="s">
        <v>14</v>
      </c>
      <c r="S42" s="668">
        <f t="shared" si="12"/>
        <v>100</v>
      </c>
      <c r="T42" s="667" t="s">
        <v>14</v>
      </c>
      <c r="U42" s="668">
        <f t="shared" si="13"/>
        <v>100</v>
      </c>
      <c r="V42" s="667" t="s">
        <v>14</v>
      </c>
      <c r="W42" s="668">
        <f t="shared" si="14"/>
        <v>100</v>
      </c>
      <c r="X42" s="1265"/>
      <c r="Y42" s="339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5"/>
      <c r="Q43" s="1263" t="str">
        <f t="shared" si="11"/>
        <v>内部装修维护情况</v>
      </c>
      <c r="R43" s="667" t="s">
        <v>14</v>
      </c>
      <c r="S43" s="668">
        <f t="shared" si="12"/>
        <v>100</v>
      </c>
      <c r="T43" s="667" t="s">
        <v>14</v>
      </c>
      <c r="U43" s="668">
        <f t="shared" si="13"/>
        <v>100</v>
      </c>
      <c r="V43" s="667" t="s">
        <v>14</v>
      </c>
      <c r="W43" s="668">
        <f t="shared" si="14"/>
        <v>100</v>
      </c>
      <c r="X43" s="1265"/>
      <c r="Y43" s="339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5"/>
      <c r="Q44" s="530">
        <f t="shared" si="11"/>
        <v>111</v>
      </c>
      <c r="R44" s="664" t="s">
        <v>14</v>
      </c>
      <c r="S44" s="665">
        <f t="shared" si="12"/>
        <v>100</v>
      </c>
      <c r="T44" s="664" t="s">
        <v>14</v>
      </c>
      <c r="U44" s="665">
        <f t="shared" si="13"/>
        <v>100</v>
      </c>
      <c r="V44" s="664" t="s">
        <v>14</v>
      </c>
      <c r="W44" s="665">
        <f t="shared" si="14"/>
        <v>100</v>
      </c>
      <c r="X44" s="666"/>
      <c r="Y44" s="339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5"/>
      <c r="Q45" s="1263">
        <f t="shared" si="11"/>
        <v>111</v>
      </c>
      <c r="R45" s="667" t="s">
        <v>14</v>
      </c>
      <c r="S45" s="668">
        <f t="shared" si="12"/>
        <v>100</v>
      </c>
      <c r="T45" s="667" t="s">
        <v>14</v>
      </c>
      <c r="U45" s="668">
        <f t="shared" si="13"/>
        <v>100</v>
      </c>
      <c r="V45" s="667" t="s">
        <v>14</v>
      </c>
      <c r="W45" s="668">
        <f t="shared" si="14"/>
        <v>100</v>
      </c>
      <c r="X45" s="1265"/>
      <c r="Y45" s="339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6"/>
      <c r="Q46" s="1263">
        <f t="shared" si="11"/>
        <v>111</v>
      </c>
      <c r="R46" s="667" t="s">
        <v>14</v>
      </c>
      <c r="S46" s="668">
        <f t="shared" si="12"/>
        <v>100</v>
      </c>
      <c r="T46" s="667" t="s">
        <v>14</v>
      </c>
      <c r="U46" s="668">
        <f t="shared" si="13"/>
        <v>100</v>
      </c>
      <c r="V46" s="667" t="s">
        <v>14</v>
      </c>
      <c r="W46" s="668">
        <f t="shared" si="14"/>
        <v>100</v>
      </c>
      <c r="X46" s="1265"/>
      <c r="Y46" s="339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受贵公司委托，我公司对北京市通州区经海五路1号院46号楼-1至6层5-101工业用房房地产抵押价值进行了预评估。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估价对象为北京市通州区经海五路1号院46号楼-1至6层5-101工业用房房地产，为所有。根据《国有土地使用证》[]，估价对象（分摊）出让国有建设用地使用权面积为0平方米，建筑面积为3830.64平方米。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五路1号院46号楼-1至6层5-101工业用房房地产,属开发建设的工业项目，该项目尚在开发建设中。根据《国有土地使用证》[]，估价对象（分摊）出让国有建设用地使用权面积为0平方米，规划建筑面积为3830.64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2025年9月2日（评估专业人员实地查勘之日）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3830.64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68" t="s">
        <v>1775</v>
      </c>
      <c r="Q4" s="3469"/>
      <c r="R4" s="3472" t="s">
        <v>1771</v>
      </c>
      <c r="S4" s="3473"/>
      <c r="T4" s="3472" t="s">
        <v>1772</v>
      </c>
      <c r="U4" s="3473"/>
      <c r="V4" s="3474" t="s">
        <v>1773</v>
      </c>
      <c r="W4" s="3474"/>
      <c r="X4" s="1809"/>
      <c r="Y4" s="3472" t="s">
        <v>1775</v>
      </c>
      <c r="Z4" s="3473"/>
      <c r="AA4" s="3476" t="s">
        <v>1771</v>
      </c>
      <c r="AB4" s="3476" t="s">
        <v>1772</v>
      </c>
      <c r="AC4" s="3465" t="s">
        <v>1773</v>
      </c>
    </row>
    <row r="5" spans="1:29">
      <c r="A5" s="348"/>
      <c r="B5" s="349"/>
      <c r="C5" s="3460" t="s">
        <v>1673</v>
      </c>
      <c r="D5" s="3420"/>
      <c r="E5" s="3461" t="s">
        <v>1674</v>
      </c>
      <c r="F5" s="3427"/>
      <c r="G5" s="3460" t="s">
        <v>1675</v>
      </c>
      <c r="H5" s="3420"/>
      <c r="I5" s="3460" t="s">
        <v>1676</v>
      </c>
      <c r="J5" s="3420"/>
      <c r="K5" s="537"/>
      <c r="L5" s="2487"/>
      <c r="M5" s="2488"/>
      <c r="N5" s="2488"/>
      <c r="O5" s="2488"/>
      <c r="P5" s="3470"/>
      <c r="Q5" s="3408"/>
      <c r="R5" s="3413"/>
      <c r="S5" s="3414"/>
      <c r="T5" s="3413"/>
      <c r="U5" s="3414"/>
      <c r="V5" s="3389"/>
      <c r="W5" s="3389"/>
      <c r="X5" s="1265"/>
      <c r="Y5" s="3413"/>
      <c r="Z5" s="3414"/>
      <c r="AA5" s="3399"/>
      <c r="AB5" s="3399"/>
      <c r="AC5" s="3466"/>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71"/>
      <c r="Q6" s="3410"/>
      <c r="R6" s="3413"/>
      <c r="S6" s="3414"/>
      <c r="T6" s="3415"/>
      <c r="U6" s="3416"/>
      <c r="V6" s="3389"/>
      <c r="W6" s="3389"/>
      <c r="X6" s="1265"/>
      <c r="Y6" s="3415"/>
      <c r="Z6" s="3416"/>
      <c r="AA6" s="3400"/>
      <c r="AB6" s="3400"/>
      <c r="AC6" s="3467"/>
    </row>
    <row r="7" spans="1:29" s="102" customFormat="1" ht="15" thickBot="1">
      <c r="A7" s="352" t="s">
        <v>1679</v>
      </c>
      <c r="B7" s="353"/>
      <c r="C7" s="354">
        <f>'数据-取费表'!B2</f>
        <v>45902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5"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5"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9"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9"/>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9"/>
      <c r="Q11" s="530" t="str">
        <f t="shared" si="6"/>
        <v>容积率</v>
      </c>
      <c r="R11" s="664" t="s">
        <v>14</v>
      </c>
      <c r="S11" s="665">
        <f t="shared" si="0"/>
        <v>100</v>
      </c>
      <c r="T11" s="664" t="s">
        <v>14</v>
      </c>
      <c r="U11" s="665">
        <f t="shared" si="1"/>
        <v>100</v>
      </c>
      <c r="V11" s="664" t="s">
        <v>14</v>
      </c>
      <c r="W11" s="665">
        <f t="shared" si="2"/>
        <v>100</v>
      </c>
      <c r="X11" s="666"/>
      <c r="Y11" s="327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9"/>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9"/>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9"/>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7" t="s">
        <v>1691</v>
      </c>
      <c r="Q15" s="1263" t="str">
        <f t="shared" si="6"/>
        <v>办公集聚程度</v>
      </c>
      <c r="R15" s="667" t="s">
        <v>14</v>
      </c>
      <c r="S15" s="668">
        <f t="shared" si="0"/>
        <v>100</v>
      </c>
      <c r="T15" s="667" t="s">
        <v>14</v>
      </c>
      <c r="U15" s="668">
        <f t="shared" si="1"/>
        <v>100</v>
      </c>
      <c r="V15" s="667" t="s">
        <v>14</v>
      </c>
      <c r="W15" s="668">
        <f t="shared" si="2"/>
        <v>100</v>
      </c>
      <c r="X15" s="1265"/>
      <c r="Y15" s="339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8"/>
      <c r="Q16" s="1263"/>
      <c r="R16" s="667"/>
      <c r="S16" s="668"/>
      <c r="T16" s="667"/>
      <c r="U16" s="668"/>
      <c r="V16" s="667"/>
      <c r="W16" s="668"/>
      <c r="X16" s="1265"/>
      <c r="Y16" s="339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8"/>
      <c r="Q18" s="1263"/>
      <c r="R18" s="667"/>
      <c r="S18" s="668"/>
      <c r="T18" s="667"/>
      <c r="U18" s="668"/>
      <c r="V18" s="667"/>
      <c r="W18" s="668"/>
      <c r="X18" s="1265"/>
      <c r="Y18" s="339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39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8"/>
      <c r="Q20" s="1263"/>
      <c r="R20" s="667"/>
      <c r="S20" s="668"/>
      <c r="T20" s="667"/>
      <c r="U20" s="668"/>
      <c r="V20" s="667"/>
      <c r="W20" s="668"/>
      <c r="X20" s="1265"/>
      <c r="Y20" s="339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39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8"/>
      <c r="Q22" s="1263"/>
      <c r="R22" s="667"/>
      <c r="S22" s="668"/>
      <c r="T22" s="667"/>
      <c r="U22" s="668"/>
      <c r="V22" s="667"/>
      <c r="W22" s="668"/>
      <c r="X22" s="1265"/>
      <c r="Y22" s="339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8"/>
      <c r="Q23" s="1263" t="str">
        <f>B23</f>
        <v>环境质量</v>
      </c>
      <c r="R23" s="667" t="s">
        <v>14</v>
      </c>
      <c r="S23" s="668">
        <f>F23</f>
        <v>100</v>
      </c>
      <c r="T23" s="667" t="s">
        <v>14</v>
      </c>
      <c r="U23" s="668">
        <f>H23</f>
        <v>100</v>
      </c>
      <c r="V23" s="667" t="s">
        <v>14</v>
      </c>
      <c r="W23" s="668">
        <f>J23</f>
        <v>100</v>
      </c>
      <c r="X23" s="1265"/>
      <c r="Y23" s="339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8"/>
      <c r="Q24" s="1263"/>
      <c r="R24" s="667"/>
      <c r="S24" s="668"/>
      <c r="T24" s="667"/>
      <c r="U24" s="668"/>
      <c r="V24" s="667"/>
      <c r="W24" s="668"/>
      <c r="X24" s="1265"/>
      <c r="Y24" s="339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8"/>
      <c r="Q25" s="1263" t="str">
        <f>B25</f>
        <v>毗邻道路的类型与等级</v>
      </c>
      <c r="R25" s="667" t="s">
        <v>14</v>
      </c>
      <c r="S25" s="668">
        <f>F25</f>
        <v>100</v>
      </c>
      <c r="T25" s="667" t="s">
        <v>14</v>
      </c>
      <c r="U25" s="668">
        <f>H25</f>
        <v>100</v>
      </c>
      <c r="V25" s="667" t="s">
        <v>14</v>
      </c>
      <c r="W25" s="668">
        <f>J25</f>
        <v>100</v>
      </c>
      <c r="X25" s="1265"/>
      <c r="Y25" s="33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8"/>
      <c r="Q26" s="1263"/>
      <c r="R26" s="667"/>
      <c r="S26" s="668"/>
      <c r="T26" s="667"/>
      <c r="U26" s="668"/>
      <c r="V26" s="667"/>
      <c r="W26" s="668"/>
      <c r="X26" s="1265"/>
      <c r="Y26" s="339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8"/>
      <c r="Q27" s="1263" t="str">
        <f t="shared" ref="Q27:Q47" si="11">B27</f>
        <v>楼层</v>
      </c>
      <c r="R27" s="667" t="s">
        <v>14</v>
      </c>
      <c r="S27" s="668">
        <f>F27</f>
        <v>100</v>
      </c>
      <c r="T27" s="667" t="s">
        <v>14</v>
      </c>
      <c r="U27" s="668">
        <f>H27</f>
        <v>100</v>
      </c>
      <c r="V27" s="667" t="s">
        <v>14</v>
      </c>
      <c r="W27" s="668">
        <f>J27</f>
        <v>100</v>
      </c>
      <c r="X27" s="1265"/>
      <c r="Y27" s="339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8"/>
      <c r="Q28" s="530" t="str">
        <f t="shared" si="11"/>
        <v>朝向</v>
      </c>
      <c r="R28" s="664" t="s">
        <v>14</v>
      </c>
      <c r="S28" s="665">
        <f>F28</f>
        <v>100</v>
      </c>
      <c r="T28" s="664" t="s">
        <v>14</v>
      </c>
      <c r="U28" s="665">
        <f>H28</f>
        <v>100</v>
      </c>
      <c r="V28" s="664" t="s">
        <v>14</v>
      </c>
      <c r="W28" s="665">
        <f>J28</f>
        <v>100</v>
      </c>
      <c r="X28" s="666"/>
      <c r="Y28" s="33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8"/>
      <c r="Q29" s="1263">
        <f t="shared" si="11"/>
        <v>111</v>
      </c>
      <c r="R29" s="667" t="s">
        <v>14</v>
      </c>
      <c r="S29" s="668">
        <f t="shared" ref="S29:S47" si="12">F29</f>
        <v>100</v>
      </c>
      <c r="T29" s="667" t="s">
        <v>14</v>
      </c>
      <c r="U29" s="668">
        <f t="shared" ref="U29:U47" si="13">H29</f>
        <v>100</v>
      </c>
      <c r="V29" s="667" t="s">
        <v>14</v>
      </c>
      <c r="W29" s="668">
        <f t="shared" ref="W29:W47" si="14">J29</f>
        <v>100</v>
      </c>
      <c r="X29" s="1265"/>
      <c r="Y29" s="33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3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39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8"/>
      <c r="Q32" s="1263">
        <f t="shared" si="11"/>
        <v>111</v>
      </c>
      <c r="R32" s="667" t="s">
        <v>14</v>
      </c>
      <c r="S32" s="668">
        <f t="shared" si="12"/>
        <v>100</v>
      </c>
      <c r="T32" s="667" t="s">
        <v>14</v>
      </c>
      <c r="U32" s="668">
        <f t="shared" si="13"/>
        <v>100</v>
      </c>
      <c r="V32" s="667" t="s">
        <v>14</v>
      </c>
      <c r="W32" s="668">
        <f t="shared" si="14"/>
        <v>100</v>
      </c>
      <c r="X32" s="1265"/>
      <c r="Y32" s="339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4" t="s">
        <v>1696</v>
      </c>
      <c r="Q33" s="1263" t="str">
        <f t="shared" si="11"/>
        <v>建筑类型</v>
      </c>
      <c r="R33" s="667" t="s">
        <v>14</v>
      </c>
      <c r="S33" s="668">
        <f t="shared" si="12"/>
        <v>100</v>
      </c>
      <c r="T33" s="667" t="s">
        <v>14</v>
      </c>
      <c r="U33" s="668">
        <f t="shared" si="13"/>
        <v>100</v>
      </c>
      <c r="V33" s="667" t="s">
        <v>14</v>
      </c>
      <c r="W33" s="668">
        <f t="shared" si="14"/>
        <v>100</v>
      </c>
      <c r="X33" s="1265"/>
      <c r="Y33" s="339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5"/>
      <c r="Q34" s="531" t="str">
        <f t="shared" si="11"/>
        <v>项目建筑规模</v>
      </c>
      <c r="R34" s="669" t="s">
        <v>14</v>
      </c>
      <c r="S34" s="670" t="e">
        <f t="shared" si="12"/>
        <v>#N/A</v>
      </c>
      <c r="T34" s="669" t="s">
        <v>14</v>
      </c>
      <c r="U34" s="670" t="e">
        <f t="shared" si="13"/>
        <v>#N/A</v>
      </c>
      <c r="V34" s="669" t="s">
        <v>14</v>
      </c>
      <c r="W34" s="670" t="e">
        <f t="shared" si="14"/>
        <v>#N/A</v>
      </c>
      <c r="X34" s="671"/>
      <c r="Y34" s="339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5"/>
      <c r="Q35" s="1263" t="str">
        <f t="shared" si="11"/>
        <v>建筑结构</v>
      </c>
      <c r="R35" s="667" t="s">
        <v>14</v>
      </c>
      <c r="S35" s="668">
        <f t="shared" si="12"/>
        <v>100</v>
      </c>
      <c r="T35" s="667" t="s">
        <v>14</v>
      </c>
      <c r="U35" s="668">
        <f t="shared" si="13"/>
        <v>100</v>
      </c>
      <c r="V35" s="667" t="s">
        <v>14</v>
      </c>
      <c r="W35" s="668">
        <f t="shared" si="14"/>
        <v>100</v>
      </c>
      <c r="X35" s="1265"/>
      <c r="Y35" s="339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5"/>
      <c r="Q36" s="1263" t="str">
        <f t="shared" si="11"/>
        <v>公共部分装修</v>
      </c>
      <c r="R36" s="667" t="s">
        <v>14</v>
      </c>
      <c r="S36" s="668">
        <f t="shared" si="12"/>
        <v>100</v>
      </c>
      <c r="T36" s="667" t="s">
        <v>14</v>
      </c>
      <c r="U36" s="668">
        <f t="shared" si="13"/>
        <v>100</v>
      </c>
      <c r="V36" s="667" t="s">
        <v>14</v>
      </c>
      <c r="W36" s="668">
        <f t="shared" si="14"/>
        <v>100</v>
      </c>
      <c r="X36" s="1265"/>
      <c r="Y36" s="339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5"/>
      <c r="Q37" s="1263" t="str">
        <f t="shared" si="11"/>
        <v>成新度</v>
      </c>
      <c r="R37" s="667" t="s">
        <v>14</v>
      </c>
      <c r="S37" s="668" t="e">
        <f t="shared" si="12"/>
        <v>#N/A</v>
      </c>
      <c r="T37" s="667" t="s">
        <v>14</v>
      </c>
      <c r="U37" s="668" t="e">
        <f t="shared" si="13"/>
        <v>#N/A</v>
      </c>
      <c r="V37" s="667" t="s">
        <v>14</v>
      </c>
      <c r="W37" s="668" t="e">
        <f t="shared" si="14"/>
        <v>#N/A</v>
      </c>
      <c r="X37" s="1265"/>
      <c r="Y37" s="339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5"/>
      <c r="Q38" s="530" t="str">
        <f t="shared" si="11"/>
        <v>写字楼等级</v>
      </c>
      <c r="R38" s="664" t="s">
        <v>14</v>
      </c>
      <c r="S38" s="665">
        <f t="shared" si="12"/>
        <v>100</v>
      </c>
      <c r="T38" s="664" t="s">
        <v>14</v>
      </c>
      <c r="U38" s="665">
        <f t="shared" si="13"/>
        <v>100</v>
      </c>
      <c r="V38" s="664" t="s">
        <v>14</v>
      </c>
      <c r="W38" s="665">
        <f t="shared" si="14"/>
        <v>100</v>
      </c>
      <c r="X38" s="666"/>
      <c r="Y38" s="339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5" t="s">
        <v>1696</v>
      </c>
      <c r="Q39" s="1263" t="str">
        <f t="shared" si="11"/>
        <v>物业管理</v>
      </c>
      <c r="R39" s="667" t="s">
        <v>14</v>
      </c>
      <c r="S39" s="668">
        <f t="shared" si="12"/>
        <v>100</v>
      </c>
      <c r="T39" s="667" t="s">
        <v>14</v>
      </c>
      <c r="U39" s="668">
        <f t="shared" si="13"/>
        <v>100</v>
      </c>
      <c r="V39" s="667" t="s">
        <v>14</v>
      </c>
      <c r="W39" s="668">
        <f t="shared" si="14"/>
        <v>100</v>
      </c>
      <c r="X39" s="1265"/>
      <c r="Y39" s="339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5"/>
      <c r="Q40" s="1263" t="str">
        <f t="shared" si="11"/>
        <v>市政基础设施</v>
      </c>
      <c r="R40" s="667" t="s">
        <v>14</v>
      </c>
      <c r="S40" s="668">
        <f t="shared" si="12"/>
        <v>100</v>
      </c>
      <c r="T40" s="667" t="s">
        <v>14</v>
      </c>
      <c r="U40" s="668">
        <f t="shared" si="13"/>
        <v>100</v>
      </c>
      <c r="V40" s="667" t="s">
        <v>14</v>
      </c>
      <c r="W40" s="668">
        <f t="shared" si="14"/>
        <v>100</v>
      </c>
      <c r="X40" s="1265"/>
      <c r="Y40" s="339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5"/>
      <c r="Q41" s="1263" t="str">
        <f t="shared" si="11"/>
        <v>层高</v>
      </c>
      <c r="R41" s="667" t="s">
        <v>14</v>
      </c>
      <c r="S41" s="668">
        <f t="shared" si="12"/>
        <v>100</v>
      </c>
      <c r="T41" s="667" t="s">
        <v>14</v>
      </c>
      <c r="U41" s="668">
        <f t="shared" si="13"/>
        <v>100</v>
      </c>
      <c r="V41" s="667" t="s">
        <v>14</v>
      </c>
      <c r="W41" s="668">
        <f t="shared" si="14"/>
        <v>100</v>
      </c>
      <c r="X41" s="1265"/>
      <c r="Y41" s="339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5"/>
      <c r="Q42" s="531" t="str">
        <f t="shared" si="11"/>
        <v>单套建筑面积</v>
      </c>
      <c r="R42" s="669" t="s">
        <v>14</v>
      </c>
      <c r="S42" s="670">
        <f t="shared" si="12"/>
        <v>100</v>
      </c>
      <c r="T42" s="669" t="s">
        <v>14</v>
      </c>
      <c r="U42" s="670">
        <f t="shared" si="13"/>
        <v>100</v>
      </c>
      <c r="V42" s="669" t="s">
        <v>14</v>
      </c>
      <c r="W42" s="670">
        <f t="shared" si="14"/>
        <v>100</v>
      </c>
      <c r="X42" s="671"/>
      <c r="Y42" s="339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5"/>
      <c r="Q43" s="1263" t="str">
        <f t="shared" si="11"/>
        <v>内部装修</v>
      </c>
      <c r="R43" s="667" t="s">
        <v>14</v>
      </c>
      <c r="S43" s="668">
        <f t="shared" si="12"/>
        <v>100</v>
      </c>
      <c r="T43" s="667" t="s">
        <v>14</v>
      </c>
      <c r="U43" s="668">
        <f t="shared" si="13"/>
        <v>100</v>
      </c>
      <c r="V43" s="667" t="s">
        <v>14</v>
      </c>
      <c r="W43" s="668">
        <f t="shared" si="14"/>
        <v>100</v>
      </c>
      <c r="X43" s="1265"/>
      <c r="Y43" s="339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5"/>
      <c r="Q44" s="1263" t="str">
        <f t="shared" si="11"/>
        <v>内部装修维护情况</v>
      </c>
      <c r="R44" s="667" t="s">
        <v>14</v>
      </c>
      <c r="S44" s="668">
        <f t="shared" si="12"/>
        <v>100</v>
      </c>
      <c r="T44" s="667" t="s">
        <v>14</v>
      </c>
      <c r="U44" s="668">
        <f t="shared" si="13"/>
        <v>100</v>
      </c>
      <c r="V44" s="667" t="s">
        <v>14</v>
      </c>
      <c r="W44" s="668">
        <f t="shared" si="14"/>
        <v>100</v>
      </c>
      <c r="X44" s="1265"/>
      <c r="Y44" s="339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5"/>
      <c r="Q45" s="530">
        <f t="shared" si="11"/>
        <v>111</v>
      </c>
      <c r="R45" s="664" t="s">
        <v>14</v>
      </c>
      <c r="S45" s="665">
        <f t="shared" si="12"/>
        <v>100</v>
      </c>
      <c r="T45" s="664" t="s">
        <v>14</v>
      </c>
      <c r="U45" s="665">
        <f t="shared" si="13"/>
        <v>100</v>
      </c>
      <c r="V45" s="664" t="s">
        <v>14</v>
      </c>
      <c r="W45" s="665">
        <f t="shared" si="14"/>
        <v>100</v>
      </c>
      <c r="X45" s="666"/>
      <c r="Y45" s="339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5"/>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6"/>
      <c r="Q47" s="1263">
        <f t="shared" si="11"/>
        <v>111</v>
      </c>
      <c r="R47" s="667" t="s">
        <v>14</v>
      </c>
      <c r="S47" s="668">
        <f t="shared" si="12"/>
        <v>100</v>
      </c>
      <c r="T47" s="667" t="s">
        <v>14</v>
      </c>
      <c r="U47" s="668">
        <f t="shared" si="13"/>
        <v>100</v>
      </c>
      <c r="V47" s="667" t="s">
        <v>14</v>
      </c>
      <c r="W47" s="668">
        <f t="shared" si="14"/>
        <v>100</v>
      </c>
      <c r="X47" s="1265"/>
      <c r="Y47" s="339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59" t="str">
        <f>A48</f>
        <v>成交单价（元/平方米）</v>
      </c>
      <c r="Q48" s="3388"/>
      <c r="R48" s="3389">
        <f>E48</f>
        <v>0</v>
      </c>
      <c r="S48" s="3389"/>
      <c r="T48" s="3389">
        <f>G48</f>
        <v>0</v>
      </c>
      <c r="U48" s="3389"/>
      <c r="V48" s="3389">
        <f>I48</f>
        <v>0</v>
      </c>
      <c r="W48" s="3389"/>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9" t="s">
        <v>1773</v>
      </c>
      <c r="W4" s="3389"/>
      <c r="X4" s="1265"/>
      <c r="Y4" s="3411" t="s">
        <v>1775</v>
      </c>
      <c r="Z4" s="3412"/>
      <c r="AA4" s="3398" t="s">
        <v>1771</v>
      </c>
      <c r="AB4" s="3399" t="s">
        <v>1772</v>
      </c>
      <c r="AC4" s="3398" t="s">
        <v>1773</v>
      </c>
    </row>
    <row r="5" spans="1:29">
      <c r="A5" s="348"/>
      <c r="B5" s="349"/>
      <c r="C5" s="3460" t="s">
        <v>1673</v>
      </c>
      <c r="D5" s="3420"/>
      <c r="E5" s="3461" t="s">
        <v>1674</v>
      </c>
      <c r="F5" s="3427"/>
      <c r="G5" s="3460" t="s">
        <v>1675</v>
      </c>
      <c r="H5" s="3420"/>
      <c r="I5" s="3460" t="s">
        <v>1676</v>
      </c>
      <c r="J5" s="3420"/>
      <c r="K5" s="537"/>
      <c r="L5" s="2487"/>
      <c r="M5" s="2488"/>
      <c r="N5" s="2488"/>
      <c r="O5" s="2488"/>
      <c r="P5" s="3407"/>
      <c r="Q5" s="3408"/>
      <c r="R5" s="3413"/>
      <c r="S5" s="3414"/>
      <c r="T5" s="3413"/>
      <c r="U5" s="3414"/>
      <c r="V5" s="3389"/>
      <c r="W5" s="3389"/>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9"/>
      <c r="W6" s="3389"/>
      <c r="X6" s="1265"/>
      <c r="Y6" s="3415"/>
      <c r="Z6" s="3416"/>
      <c r="AA6" s="3400"/>
      <c r="AB6" s="3400"/>
      <c r="AC6" s="3400"/>
    </row>
    <row r="7" spans="1:29" s="102" customFormat="1" ht="15" thickBot="1">
      <c r="A7" s="352" t="s">
        <v>1679</v>
      </c>
      <c r="B7" s="353"/>
      <c r="C7" s="354">
        <f>'数据-取费表'!B2</f>
        <v>45902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4"/>
      <c r="Q15" s="1263"/>
      <c r="R15" s="667"/>
      <c r="S15" s="668"/>
      <c r="T15" s="667"/>
      <c r="U15" s="668"/>
      <c r="V15" s="667"/>
      <c r="W15" s="668"/>
      <c r="X15" s="1265"/>
      <c r="Y15" s="339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4"/>
      <c r="Q17" s="1263"/>
      <c r="R17" s="667"/>
      <c r="S17" s="668"/>
      <c r="T17" s="667"/>
      <c r="U17" s="668"/>
      <c r="V17" s="667"/>
      <c r="W17" s="668"/>
      <c r="X17" s="1265"/>
      <c r="Y17" s="339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4"/>
      <c r="Q19" s="1263"/>
      <c r="R19" s="667"/>
      <c r="S19" s="668"/>
      <c r="T19" s="667"/>
      <c r="U19" s="668"/>
      <c r="V19" s="667"/>
      <c r="W19" s="668"/>
      <c r="X19" s="1265"/>
      <c r="Y19" s="339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4"/>
      <c r="Q21" s="1263"/>
      <c r="R21" s="667"/>
      <c r="S21" s="668"/>
      <c r="T21" s="667"/>
      <c r="U21" s="668"/>
      <c r="V21" s="667"/>
      <c r="W21" s="668"/>
      <c r="X21" s="1265"/>
      <c r="Y21" s="339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4"/>
      <c r="Q24" s="1263">
        <f t="shared" ref="Q24:Q36"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9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6"/>
      <c r="Q27" s="531" t="str">
        <f t="shared" si="11"/>
        <v>项目停车位配比</v>
      </c>
      <c r="R27" s="669" t="s">
        <v>14</v>
      </c>
      <c r="S27" s="670">
        <f t="shared" si="12"/>
        <v>100</v>
      </c>
      <c r="T27" s="669" t="s">
        <v>14</v>
      </c>
      <c r="U27" s="670">
        <f t="shared" si="13"/>
        <v>100</v>
      </c>
      <c r="V27" s="669" t="s">
        <v>14</v>
      </c>
      <c r="W27" s="670">
        <f t="shared" si="14"/>
        <v>100</v>
      </c>
      <c r="X27" s="671"/>
      <c r="Y27" s="339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6"/>
      <c r="Q28" s="1263" t="str">
        <f t="shared" si="11"/>
        <v>公共部分装修</v>
      </c>
      <c r="R28" s="667" t="s">
        <v>14</v>
      </c>
      <c r="S28" s="668">
        <f t="shared" si="12"/>
        <v>100</v>
      </c>
      <c r="T28" s="667" t="s">
        <v>14</v>
      </c>
      <c r="U28" s="668">
        <f t="shared" si="13"/>
        <v>100</v>
      </c>
      <c r="V28" s="667" t="s">
        <v>14</v>
      </c>
      <c r="W28" s="668">
        <f t="shared" si="14"/>
        <v>100</v>
      </c>
      <c r="X28" s="1265"/>
      <c r="Y28" s="339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6"/>
      <c r="Q29" s="1263" t="str">
        <f t="shared" si="11"/>
        <v>成新率</v>
      </c>
      <c r="R29" s="667" t="s">
        <v>14</v>
      </c>
      <c r="S29" s="668" t="e">
        <f t="shared" si="12"/>
        <v>#N/A</v>
      </c>
      <c r="T29" s="667" t="s">
        <v>14</v>
      </c>
      <c r="U29" s="668" t="e">
        <f t="shared" si="13"/>
        <v>#N/A</v>
      </c>
      <c r="V29" s="667" t="s">
        <v>14</v>
      </c>
      <c r="W29" s="668" t="e">
        <f t="shared" si="14"/>
        <v>#N/A</v>
      </c>
      <c r="X29" s="1265"/>
      <c r="Y29" s="339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6"/>
      <c r="Q30" s="1263" t="str">
        <f t="shared" si="11"/>
        <v>物业等级</v>
      </c>
      <c r="R30" s="667" t="s">
        <v>14</v>
      </c>
      <c r="S30" s="668">
        <f t="shared" si="12"/>
        <v>100</v>
      </c>
      <c r="T30" s="667" t="s">
        <v>14</v>
      </c>
      <c r="U30" s="668">
        <f t="shared" si="13"/>
        <v>100</v>
      </c>
      <c r="V30" s="667" t="s">
        <v>14</v>
      </c>
      <c r="W30" s="668">
        <f t="shared" si="14"/>
        <v>100</v>
      </c>
      <c r="X30" s="1265"/>
      <c r="Y30" s="339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6"/>
      <c r="Q31" s="530" t="str">
        <f t="shared" si="11"/>
        <v>停车位面积</v>
      </c>
      <c r="R31" s="664" t="s">
        <v>14</v>
      </c>
      <c r="S31" s="665" t="e">
        <f t="shared" si="12"/>
        <v>#N/A</v>
      </c>
      <c r="T31" s="664" t="s">
        <v>14</v>
      </c>
      <c r="U31" s="665" t="e">
        <f t="shared" si="13"/>
        <v>#N/A</v>
      </c>
      <c r="V31" s="664" t="s">
        <v>14</v>
      </c>
      <c r="W31" s="665" t="e">
        <f t="shared" si="14"/>
        <v>#N/A</v>
      </c>
      <c r="X31" s="666"/>
      <c r="Y31" s="33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6" t="s">
        <v>1696</v>
      </c>
      <c r="Q32" s="1263" t="str">
        <f t="shared" si="11"/>
        <v>车位类型</v>
      </c>
      <c r="R32" s="667" t="s">
        <v>14</v>
      </c>
      <c r="S32" s="668">
        <f t="shared" si="12"/>
        <v>100</v>
      </c>
      <c r="T32" s="667" t="s">
        <v>14</v>
      </c>
      <c r="U32" s="668">
        <f t="shared" si="13"/>
        <v>100</v>
      </c>
      <c r="V32" s="667" t="s">
        <v>14</v>
      </c>
      <c r="W32" s="668">
        <f t="shared" si="14"/>
        <v>100</v>
      </c>
      <c r="X32" s="1265"/>
      <c r="Y32" s="339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6"/>
      <c r="Q33" s="1263" t="str">
        <f t="shared" si="11"/>
        <v>是否直接入户</v>
      </c>
      <c r="R33" s="667" t="s">
        <v>14</v>
      </c>
      <c r="S33" s="668">
        <f t="shared" si="12"/>
        <v>100</v>
      </c>
      <c r="T33" s="667" t="s">
        <v>14</v>
      </c>
      <c r="U33" s="668">
        <f t="shared" si="13"/>
        <v>100</v>
      </c>
      <c r="V33" s="667" t="s">
        <v>14</v>
      </c>
      <c r="W33" s="668">
        <f t="shared" si="14"/>
        <v>100</v>
      </c>
      <c r="X33" s="1265"/>
      <c r="Y33" s="339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6"/>
      <c r="Q35" s="531">
        <f t="shared" si="11"/>
        <v>111</v>
      </c>
      <c r="R35" s="669" t="s">
        <v>14</v>
      </c>
      <c r="S35" s="670">
        <f t="shared" si="12"/>
        <v>100</v>
      </c>
      <c r="T35" s="669" t="s">
        <v>14</v>
      </c>
      <c r="U35" s="670">
        <f t="shared" si="13"/>
        <v>100</v>
      </c>
      <c r="V35" s="669" t="s">
        <v>14</v>
      </c>
      <c r="W35" s="670">
        <f t="shared" si="14"/>
        <v>100</v>
      </c>
      <c r="X35" s="671"/>
      <c r="Y35" s="339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6"/>
      <c r="Q36" s="1263">
        <f t="shared" si="11"/>
        <v>111</v>
      </c>
      <c r="R36" s="667" t="s">
        <v>14</v>
      </c>
      <c r="S36" s="668">
        <f t="shared" si="12"/>
        <v>100</v>
      </c>
      <c r="T36" s="667" t="s">
        <v>14</v>
      </c>
      <c r="U36" s="668">
        <f t="shared" si="13"/>
        <v>100</v>
      </c>
      <c r="V36" s="667" t="s">
        <v>14</v>
      </c>
      <c r="W36" s="668">
        <f t="shared" si="14"/>
        <v>100</v>
      </c>
      <c r="X36" s="1265"/>
      <c r="Y36" s="3396"/>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5"/>
      <c r="M37" s="2488"/>
      <c r="N37" s="2488"/>
      <c r="O37" s="2488"/>
      <c r="P37" s="3388" t="str">
        <f>A37</f>
        <v>成交单价</v>
      </c>
      <c r="Q37" s="3388"/>
      <c r="R37" s="3389">
        <f>E37</f>
        <v>0</v>
      </c>
      <c r="S37" s="3389"/>
      <c r="T37" s="3389">
        <f>G37</f>
        <v>0</v>
      </c>
      <c r="U37" s="3389"/>
      <c r="V37" s="3389">
        <f>I37</f>
        <v>0</v>
      </c>
      <c r="W37" s="338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390" t="str">
        <f>A39</f>
        <v>估价对象XX用房的比较价值（楼面单价，元/平方米）</v>
      </c>
      <c r="Q39" s="3391"/>
      <c r="R39" s="3477" t="e">
        <f>IF(F1="售价",ROUND(IF(D38="简单平均",AVERAGE(R38:W38),R38*F38+T38*H38+V38*J38),0),ROUND(IF(D38="简单平均",AVERAGE(R38:V38),R38*F38+T38*H38+V38*J38),1))</f>
        <v>#DIV/0!</v>
      </c>
      <c r="S39" s="3477"/>
      <c r="T39" s="3477"/>
      <c r="U39" s="3477"/>
      <c r="V39" s="3477"/>
      <c r="W39" s="347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9" t="s">
        <v>1773</v>
      </c>
      <c r="W4" s="3389"/>
      <c r="X4" s="1265"/>
      <c r="Y4" s="3411" t="s">
        <v>1775</v>
      </c>
      <c r="Z4" s="3412"/>
      <c r="AA4" s="3398" t="s">
        <v>1771</v>
      </c>
      <c r="AB4" s="3399" t="s">
        <v>1772</v>
      </c>
      <c r="AC4" s="3398" t="s">
        <v>1773</v>
      </c>
    </row>
    <row r="5" spans="1:29">
      <c r="A5" s="348"/>
      <c r="B5" s="349"/>
      <c r="C5" s="3460" t="s">
        <v>1673</v>
      </c>
      <c r="D5" s="3420"/>
      <c r="E5" s="3461" t="s">
        <v>1674</v>
      </c>
      <c r="F5" s="3427"/>
      <c r="G5" s="3460" t="s">
        <v>1675</v>
      </c>
      <c r="H5" s="3420"/>
      <c r="I5" s="3460" t="s">
        <v>1676</v>
      </c>
      <c r="J5" s="3420"/>
      <c r="K5" s="537"/>
      <c r="L5" s="2487"/>
      <c r="M5" s="2488"/>
      <c r="N5" s="2488"/>
      <c r="O5" s="2488"/>
      <c r="P5" s="3407"/>
      <c r="Q5" s="3408"/>
      <c r="R5" s="3413"/>
      <c r="S5" s="3414"/>
      <c r="T5" s="3413"/>
      <c r="U5" s="3414"/>
      <c r="V5" s="3389"/>
      <c r="W5" s="3389"/>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9"/>
      <c r="W6" s="3389"/>
      <c r="X6" s="1265"/>
      <c r="Y6" s="3415"/>
      <c r="Z6" s="3416"/>
      <c r="AA6" s="3400"/>
      <c r="AB6" s="3400"/>
      <c r="AC6" s="3400"/>
    </row>
    <row r="7" spans="1:29" s="102" customFormat="1" ht="15" thickBot="1">
      <c r="A7" s="352" t="s">
        <v>1679</v>
      </c>
      <c r="B7" s="353"/>
      <c r="C7" s="354">
        <f>'数据-取费表'!B2</f>
        <v>45902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8" t="s">
        <v>1686</v>
      </c>
      <c r="Q9" s="530" t="str">
        <f t="shared" ref="Q9:Q14" si="6">B9</f>
        <v>用途</v>
      </c>
      <c r="R9" s="664" t="s">
        <v>14</v>
      </c>
      <c r="S9" s="665">
        <f t="shared" si="0"/>
        <v>100</v>
      </c>
      <c r="T9" s="664" t="s">
        <v>14</v>
      </c>
      <c r="U9" s="665">
        <f t="shared" si="1"/>
        <v>100</v>
      </c>
      <c r="V9" s="664" t="s">
        <v>14</v>
      </c>
      <c r="W9" s="665">
        <f t="shared" si="2"/>
        <v>100</v>
      </c>
      <c r="X9" s="666"/>
      <c r="Y9" s="3273"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8"/>
      <c r="Q10" s="530" t="str">
        <f t="shared" si="6"/>
        <v>土地使用年限（年）</v>
      </c>
      <c r="R10" s="664" t="s">
        <v>14</v>
      </c>
      <c r="S10" s="665">
        <f t="shared" si="0"/>
        <v>100</v>
      </c>
      <c r="T10" s="664" t="s">
        <v>14</v>
      </c>
      <c r="U10" s="665">
        <f t="shared" si="1"/>
        <v>100</v>
      </c>
      <c r="V10" s="664" t="s">
        <v>14</v>
      </c>
      <c r="W10" s="665">
        <f t="shared" si="2"/>
        <v>100</v>
      </c>
      <c r="X10" s="666"/>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8"/>
      <c r="Q11" s="530">
        <f t="shared" si="6"/>
        <v>111</v>
      </c>
      <c r="R11" s="664" t="s">
        <v>14</v>
      </c>
      <c r="S11" s="665">
        <f t="shared" si="0"/>
        <v>100</v>
      </c>
      <c r="T11" s="664" t="s">
        <v>14</v>
      </c>
      <c r="U11" s="665">
        <f t="shared" si="1"/>
        <v>100</v>
      </c>
      <c r="V11" s="664" t="s">
        <v>14</v>
      </c>
      <c r="W11" s="665">
        <f t="shared" si="2"/>
        <v>100</v>
      </c>
      <c r="X11" s="666"/>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3" t="s">
        <v>1691</v>
      </c>
      <c r="Q14" s="1263" t="str">
        <f t="shared" si="6"/>
        <v>交通便捷度</v>
      </c>
      <c r="R14" s="667" t="s">
        <v>14</v>
      </c>
      <c r="S14" s="668">
        <f t="shared" si="0"/>
        <v>100</v>
      </c>
      <c r="T14" s="667" t="s">
        <v>14</v>
      </c>
      <c r="U14" s="668">
        <f t="shared" si="1"/>
        <v>100</v>
      </c>
      <c r="V14" s="667" t="s">
        <v>14</v>
      </c>
      <c r="W14" s="668">
        <f t="shared" si="2"/>
        <v>100</v>
      </c>
      <c r="X14" s="1265"/>
      <c r="Y14" s="339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4"/>
      <c r="Q15" s="1263"/>
      <c r="R15" s="667"/>
      <c r="S15" s="668"/>
      <c r="T15" s="667"/>
      <c r="U15" s="668"/>
      <c r="V15" s="667"/>
      <c r="W15" s="668"/>
      <c r="X15" s="1265"/>
      <c r="Y15" s="339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4"/>
      <c r="Q16" s="1263" t="str">
        <f>B16</f>
        <v>公共配套设施</v>
      </c>
      <c r="R16" s="667" t="s">
        <v>14</v>
      </c>
      <c r="S16" s="668">
        <f>F16</f>
        <v>100</v>
      </c>
      <c r="T16" s="667" t="s">
        <v>14</v>
      </c>
      <c r="U16" s="668">
        <f>H16</f>
        <v>100</v>
      </c>
      <c r="V16" s="667" t="s">
        <v>14</v>
      </c>
      <c r="W16" s="668">
        <f>J16</f>
        <v>100</v>
      </c>
      <c r="X16" s="1265"/>
      <c r="Y16" s="33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4"/>
      <c r="Q17" s="1263"/>
      <c r="R17" s="667"/>
      <c r="S17" s="668"/>
      <c r="T17" s="667"/>
      <c r="U17" s="668"/>
      <c r="V17" s="667"/>
      <c r="W17" s="668"/>
      <c r="X17" s="1265"/>
      <c r="Y17" s="339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4"/>
      <c r="Q18" s="1263" t="str">
        <f>B18</f>
        <v>基础设施水平</v>
      </c>
      <c r="R18" s="667" t="s">
        <v>14</v>
      </c>
      <c r="S18" s="668">
        <f>F18</f>
        <v>100</v>
      </c>
      <c r="T18" s="667" t="s">
        <v>14</v>
      </c>
      <c r="U18" s="668">
        <f>H18</f>
        <v>100</v>
      </c>
      <c r="V18" s="667" t="s">
        <v>14</v>
      </c>
      <c r="W18" s="668">
        <f>J18</f>
        <v>100</v>
      </c>
      <c r="X18" s="1265"/>
      <c r="Y18" s="33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4"/>
      <c r="Q19" s="1263"/>
      <c r="R19" s="667"/>
      <c r="S19" s="668"/>
      <c r="T19" s="667"/>
      <c r="U19" s="668"/>
      <c r="V19" s="667"/>
      <c r="W19" s="668"/>
      <c r="X19" s="1265"/>
      <c r="Y19" s="339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4"/>
      <c r="Q20" s="1263" t="str">
        <f>B20</f>
        <v>自然及人文环境</v>
      </c>
      <c r="R20" s="667" t="s">
        <v>14</v>
      </c>
      <c r="S20" s="668">
        <f>F20</f>
        <v>100</v>
      </c>
      <c r="T20" s="667" t="s">
        <v>14</v>
      </c>
      <c r="U20" s="668">
        <f>H20</f>
        <v>100</v>
      </c>
      <c r="V20" s="667" t="s">
        <v>14</v>
      </c>
      <c r="W20" s="668">
        <f>J20</f>
        <v>100</v>
      </c>
      <c r="X20" s="1265"/>
      <c r="Y20" s="33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4"/>
      <c r="Q21" s="1263"/>
      <c r="R21" s="667"/>
      <c r="S21" s="668"/>
      <c r="T21" s="667"/>
      <c r="U21" s="668"/>
      <c r="V21" s="667"/>
      <c r="W21" s="668"/>
      <c r="X21" s="1265"/>
      <c r="Y21" s="339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4"/>
      <c r="Q22" s="1263" t="str">
        <f>B22</f>
        <v>楼层</v>
      </c>
      <c r="R22" s="667" t="s">
        <v>14</v>
      </c>
      <c r="S22" s="668">
        <f>F22</f>
        <v>100</v>
      </c>
      <c r="T22" s="667" t="s">
        <v>14</v>
      </c>
      <c r="U22" s="668">
        <f>H22</f>
        <v>100</v>
      </c>
      <c r="V22" s="667" t="s">
        <v>14</v>
      </c>
      <c r="W22" s="668">
        <f>J22</f>
        <v>100</v>
      </c>
      <c r="X22" s="1265"/>
      <c r="Y22" s="33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4"/>
      <c r="Q23" s="1263">
        <f>B23</f>
        <v>111</v>
      </c>
      <c r="R23" s="667" t="s">
        <v>14</v>
      </c>
      <c r="S23" s="668">
        <f>F23</f>
        <v>100</v>
      </c>
      <c r="T23" s="667" t="s">
        <v>14</v>
      </c>
      <c r="U23" s="668">
        <f>H23</f>
        <v>100</v>
      </c>
      <c r="V23" s="667" t="s">
        <v>14</v>
      </c>
      <c r="W23" s="668">
        <f>J23</f>
        <v>100</v>
      </c>
      <c r="X23" s="1265"/>
      <c r="Y23" s="33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4"/>
      <c r="Q24" s="1263">
        <f t="shared" ref="Q24:Q34" si="11">B24</f>
        <v>111</v>
      </c>
      <c r="R24" s="667" t="s">
        <v>14</v>
      </c>
      <c r="S24" s="668">
        <f>F24</f>
        <v>100</v>
      </c>
      <c r="T24" s="667" t="s">
        <v>14</v>
      </c>
      <c r="U24" s="668">
        <f>H24</f>
        <v>100</v>
      </c>
      <c r="V24" s="667" t="s">
        <v>14</v>
      </c>
      <c r="W24" s="668">
        <f>J24</f>
        <v>100</v>
      </c>
      <c r="X24" s="1265"/>
      <c r="Y24" s="339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4"/>
      <c r="Q25" s="530">
        <f t="shared" si="11"/>
        <v>111</v>
      </c>
      <c r="R25" s="664" t="s">
        <v>14</v>
      </c>
      <c r="S25" s="665">
        <f>F25</f>
        <v>100</v>
      </c>
      <c r="T25" s="664" t="s">
        <v>14</v>
      </c>
      <c r="U25" s="665">
        <f>H25</f>
        <v>100</v>
      </c>
      <c r="V25" s="664" t="s">
        <v>14</v>
      </c>
      <c r="W25" s="665">
        <f>J25</f>
        <v>100</v>
      </c>
      <c r="X25" s="666"/>
      <c r="Y25" s="339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9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6"/>
      <c r="Q27" s="531" t="str">
        <f t="shared" si="11"/>
        <v>成新率</v>
      </c>
      <c r="R27" s="669" t="s">
        <v>14</v>
      </c>
      <c r="S27" s="670" t="e">
        <f t="shared" si="12"/>
        <v>#N/A</v>
      </c>
      <c r="T27" s="669" t="s">
        <v>14</v>
      </c>
      <c r="U27" s="670" t="e">
        <f t="shared" si="13"/>
        <v>#N/A</v>
      </c>
      <c r="V27" s="669" t="s">
        <v>14</v>
      </c>
      <c r="W27" s="670" t="e">
        <f t="shared" si="14"/>
        <v>#N/A</v>
      </c>
      <c r="X27" s="671"/>
      <c r="Y27" s="339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6"/>
      <c r="Q28" s="1263" t="str">
        <f t="shared" si="11"/>
        <v>物业等级</v>
      </c>
      <c r="R28" s="667" t="s">
        <v>14</v>
      </c>
      <c r="S28" s="668">
        <f t="shared" si="12"/>
        <v>100</v>
      </c>
      <c r="T28" s="667" t="s">
        <v>14</v>
      </c>
      <c r="U28" s="668">
        <f t="shared" si="13"/>
        <v>100</v>
      </c>
      <c r="V28" s="667" t="s">
        <v>14</v>
      </c>
      <c r="W28" s="668">
        <f t="shared" si="14"/>
        <v>100</v>
      </c>
      <c r="X28" s="1265"/>
      <c r="Y28" s="339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6"/>
      <c r="Q29" s="1263" t="str">
        <f t="shared" si="11"/>
        <v>有无电梯</v>
      </c>
      <c r="R29" s="667" t="s">
        <v>14</v>
      </c>
      <c r="S29" s="668">
        <f t="shared" si="12"/>
        <v>100</v>
      </c>
      <c r="T29" s="667" t="s">
        <v>14</v>
      </c>
      <c r="U29" s="668">
        <f t="shared" si="13"/>
        <v>100</v>
      </c>
      <c r="V29" s="667" t="s">
        <v>14</v>
      </c>
      <c r="W29" s="668">
        <f t="shared" si="14"/>
        <v>100</v>
      </c>
      <c r="X29" s="1265"/>
      <c r="Y29" s="339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6"/>
      <c r="Q30" s="1263" t="str">
        <f t="shared" si="11"/>
        <v>建筑面积</v>
      </c>
      <c r="R30" s="667" t="s">
        <v>14</v>
      </c>
      <c r="S30" s="668" t="e">
        <f t="shared" si="12"/>
        <v>#N/A</v>
      </c>
      <c r="T30" s="667" t="s">
        <v>14</v>
      </c>
      <c r="U30" s="668" t="e">
        <f t="shared" si="13"/>
        <v>#N/A</v>
      </c>
      <c r="V30" s="667" t="s">
        <v>14</v>
      </c>
      <c r="W30" s="668" t="e">
        <f t="shared" si="14"/>
        <v>#N/A</v>
      </c>
      <c r="X30" s="1265"/>
      <c r="Y30" s="339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6"/>
      <c r="Q31" s="530" t="str">
        <f t="shared" si="11"/>
        <v>是否封闭</v>
      </c>
      <c r="R31" s="664" t="s">
        <v>14</v>
      </c>
      <c r="S31" s="665">
        <f t="shared" si="12"/>
        <v>100</v>
      </c>
      <c r="T31" s="664" t="s">
        <v>14</v>
      </c>
      <c r="U31" s="665">
        <f t="shared" si="13"/>
        <v>100</v>
      </c>
      <c r="V31" s="664" t="s">
        <v>14</v>
      </c>
      <c r="W31" s="665">
        <f t="shared" si="14"/>
        <v>100</v>
      </c>
      <c r="X31" s="666"/>
      <c r="Y31" s="33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6" t="s">
        <v>1696</v>
      </c>
      <c r="Q32" s="1263">
        <f t="shared" si="11"/>
        <v>111</v>
      </c>
      <c r="R32" s="667" t="s">
        <v>14</v>
      </c>
      <c r="S32" s="668">
        <f t="shared" si="12"/>
        <v>100</v>
      </c>
      <c r="T32" s="667" t="s">
        <v>14</v>
      </c>
      <c r="U32" s="668">
        <f t="shared" si="13"/>
        <v>100</v>
      </c>
      <c r="V32" s="667" t="s">
        <v>14</v>
      </c>
      <c r="W32" s="668">
        <f t="shared" si="14"/>
        <v>100</v>
      </c>
      <c r="X32" s="1265"/>
      <c r="Y32" s="339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6"/>
      <c r="Q33" s="1263">
        <f t="shared" si="11"/>
        <v>111</v>
      </c>
      <c r="R33" s="667" t="s">
        <v>14</v>
      </c>
      <c r="S33" s="668">
        <f t="shared" si="12"/>
        <v>100</v>
      </c>
      <c r="T33" s="667" t="s">
        <v>14</v>
      </c>
      <c r="U33" s="668">
        <f t="shared" si="13"/>
        <v>100</v>
      </c>
      <c r="V33" s="667" t="s">
        <v>14</v>
      </c>
      <c r="W33" s="668">
        <f t="shared" si="14"/>
        <v>100</v>
      </c>
      <c r="X33" s="1265"/>
      <c r="Y33" s="339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6"/>
      <c r="Q34" s="1263">
        <f t="shared" si="11"/>
        <v>111</v>
      </c>
      <c r="R34" s="667" t="s">
        <v>14</v>
      </c>
      <c r="S34" s="668">
        <f t="shared" si="12"/>
        <v>100</v>
      </c>
      <c r="T34" s="667" t="s">
        <v>14</v>
      </c>
      <c r="U34" s="668">
        <f t="shared" si="13"/>
        <v>100</v>
      </c>
      <c r="V34" s="667" t="s">
        <v>14</v>
      </c>
      <c r="W34" s="668">
        <f t="shared" si="14"/>
        <v>100</v>
      </c>
      <c r="X34" s="1265"/>
      <c r="Y34" s="339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390" t="str">
        <f>A37</f>
        <v>估价对象XX用房的比较价值（楼面单价，元/平方米）</v>
      </c>
      <c r="Q37" s="3391"/>
      <c r="R37" s="3477" t="e">
        <f>IF(F1="售价",ROUND(IF(D36="简单平均",AVERAGE(R36:W36),R36*F36+T36*H36+V36*J36),0),ROUND(IF(D36="简单平均",AVERAGE(R36:V36),R36*F36+T36*H36+V36*J36),1))</f>
        <v>#DIV/0!</v>
      </c>
      <c r="S37" s="3477"/>
      <c r="T37" s="3477"/>
      <c r="U37" s="3477"/>
      <c r="V37" s="3477"/>
      <c r="W37" s="347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9" t="s">
        <v>1773</v>
      </c>
      <c r="W4" s="3389"/>
      <c r="X4" s="1265"/>
      <c r="Y4" s="3411" t="s">
        <v>1775</v>
      </c>
      <c r="Z4" s="3412"/>
      <c r="AA4" s="3398" t="s">
        <v>1771</v>
      </c>
      <c r="AB4" s="3399" t="s">
        <v>1772</v>
      </c>
      <c r="AC4" s="3398" t="s">
        <v>1773</v>
      </c>
    </row>
    <row r="5" spans="1:29">
      <c r="A5" s="348"/>
      <c r="B5" s="349"/>
      <c r="C5" s="3460" t="s">
        <v>1673</v>
      </c>
      <c r="D5" s="3420"/>
      <c r="E5" s="3461" t="s">
        <v>1674</v>
      </c>
      <c r="F5" s="3427"/>
      <c r="G5" s="3460" t="s">
        <v>1675</v>
      </c>
      <c r="H5" s="3420"/>
      <c r="I5" s="3460" t="s">
        <v>1676</v>
      </c>
      <c r="J5" s="3420"/>
      <c r="K5" s="537"/>
      <c r="L5" s="2487"/>
      <c r="M5" s="2488"/>
      <c r="N5" s="2488"/>
      <c r="O5" s="2488"/>
      <c r="P5" s="3407"/>
      <c r="Q5" s="3408"/>
      <c r="R5" s="3413"/>
      <c r="S5" s="3414"/>
      <c r="T5" s="3413"/>
      <c r="U5" s="3414"/>
      <c r="V5" s="3389"/>
      <c r="W5" s="3389"/>
      <c r="X5" s="1265"/>
      <c r="Y5" s="3413"/>
      <c r="Z5" s="3414"/>
      <c r="AA5" s="3399"/>
      <c r="AB5" s="3399"/>
      <c r="AC5" s="3399"/>
    </row>
    <row r="6" spans="1:29" ht="15" thickBot="1">
      <c r="A6" s="350"/>
      <c r="B6" s="351"/>
      <c r="C6" s="3417" t="s">
        <v>1677</v>
      </c>
      <c r="D6" s="3418"/>
      <c r="E6" s="3424" t="s">
        <v>1677</v>
      </c>
      <c r="F6" s="3425"/>
      <c r="G6" s="3417" t="s">
        <v>1677</v>
      </c>
      <c r="H6" s="3418"/>
      <c r="I6" s="3417" t="s">
        <v>1677</v>
      </c>
      <c r="J6" s="3418"/>
      <c r="K6" s="537" t="s">
        <v>1678</v>
      </c>
      <c r="L6" s="2487"/>
      <c r="M6" s="2488"/>
      <c r="N6" s="2488"/>
      <c r="O6" s="2488"/>
      <c r="P6" s="3409"/>
      <c r="Q6" s="3410"/>
      <c r="R6" s="3413"/>
      <c r="S6" s="3414"/>
      <c r="T6" s="3415"/>
      <c r="U6" s="3416"/>
      <c r="V6" s="3389"/>
      <c r="W6" s="3389"/>
      <c r="X6" s="1265"/>
      <c r="Y6" s="3415"/>
      <c r="Z6" s="3416"/>
      <c r="AA6" s="3400"/>
      <c r="AB6" s="3400"/>
      <c r="AC6" s="3400"/>
    </row>
    <row r="7" spans="1:29" s="102" customFormat="1" ht="15" thickBot="1">
      <c r="A7" s="352" t="s">
        <v>1679</v>
      </c>
      <c r="B7" s="353"/>
      <c r="C7" s="354">
        <f>'数据-取费表'!B2</f>
        <v>45902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114</v>
      </c>
      <c r="G10" s="402"/>
      <c r="H10" s="119">
        <f>ROUND(100/'数据-取费表'!G16,0)</f>
        <v>114</v>
      </c>
      <c r="I10" s="402"/>
      <c r="J10" s="119">
        <f>ROUND(100/'数据-取费表'!G16,0)</f>
        <v>114</v>
      </c>
      <c r="K10" s="592"/>
      <c r="L10" s="2490"/>
      <c r="M10" s="2491"/>
      <c r="N10" s="2491"/>
      <c r="O10" s="2542"/>
      <c r="P10" s="3388"/>
      <c r="Q10" s="530" t="str">
        <f t="shared" si="6"/>
        <v>土地使用年限（年）</v>
      </c>
      <c r="R10" s="664" t="s">
        <v>14</v>
      </c>
      <c r="S10" s="665">
        <f t="shared" si="0"/>
        <v>114</v>
      </c>
      <c r="T10" s="664" t="s">
        <v>14</v>
      </c>
      <c r="U10" s="665">
        <f t="shared" si="1"/>
        <v>114</v>
      </c>
      <c r="V10" s="664" t="s">
        <v>14</v>
      </c>
      <c r="W10" s="665">
        <f t="shared" si="2"/>
        <v>114</v>
      </c>
      <c r="X10" s="666"/>
      <c r="Y10" s="3273"/>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8"/>
      <c r="Q12" s="530" t="str">
        <f t="shared" si="6"/>
        <v>配建</v>
      </c>
      <c r="R12" s="664" t="s">
        <v>14</v>
      </c>
      <c r="S12" s="665">
        <f t="shared" si="0"/>
        <v>100</v>
      </c>
      <c r="T12" s="664" t="s">
        <v>14</v>
      </c>
      <c r="U12" s="665">
        <f t="shared" si="1"/>
        <v>100</v>
      </c>
      <c r="V12" s="664" t="s">
        <v>14</v>
      </c>
      <c r="W12" s="665">
        <f t="shared" si="2"/>
        <v>100</v>
      </c>
      <c r="X12" s="666"/>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7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7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3" t="s">
        <v>1691</v>
      </c>
      <c r="Q15" s="1263" t="str">
        <f t="shared" si="6"/>
        <v>居住社区成熟度</v>
      </c>
      <c r="R15" s="667" t="s">
        <v>14</v>
      </c>
      <c r="S15" s="668">
        <f t="shared" si="0"/>
        <v>100</v>
      </c>
      <c r="T15" s="667" t="s">
        <v>14</v>
      </c>
      <c r="U15" s="668">
        <f t="shared" si="1"/>
        <v>100</v>
      </c>
      <c r="V15" s="667" t="s">
        <v>14</v>
      </c>
      <c r="W15" s="668">
        <f t="shared" si="2"/>
        <v>100</v>
      </c>
      <c r="X15" s="1265"/>
      <c r="Y15" s="339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4"/>
      <c r="Q17" s="1263" t="str">
        <f>B17</f>
        <v>商业繁华度</v>
      </c>
      <c r="R17" s="667" t="s">
        <v>14</v>
      </c>
      <c r="S17" s="668">
        <f>F17</f>
        <v>100</v>
      </c>
      <c r="T17" s="667" t="s">
        <v>14</v>
      </c>
      <c r="U17" s="668">
        <f>H17</f>
        <v>100</v>
      </c>
      <c r="V17" s="667" t="s">
        <v>14</v>
      </c>
      <c r="W17" s="668">
        <f>J17</f>
        <v>100</v>
      </c>
      <c r="X17" s="1265"/>
      <c r="Y17" s="33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4"/>
      <c r="Q19" s="1263" t="str">
        <f>B19</f>
        <v>办公集聚程度</v>
      </c>
      <c r="R19" s="667" t="s">
        <v>14</v>
      </c>
      <c r="S19" s="668">
        <f>F19</f>
        <v>100</v>
      </c>
      <c r="T19" s="667" t="s">
        <v>14</v>
      </c>
      <c r="U19" s="668">
        <f>H19</f>
        <v>100</v>
      </c>
      <c r="V19" s="667" t="s">
        <v>14</v>
      </c>
      <c r="W19" s="668">
        <f>J19</f>
        <v>100</v>
      </c>
      <c r="X19" s="1265"/>
      <c r="Y19" s="33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4"/>
      <c r="Q20" s="1263"/>
      <c r="R20" s="667"/>
      <c r="S20" s="668"/>
      <c r="T20" s="667"/>
      <c r="U20" s="668"/>
      <c r="V20" s="667"/>
      <c r="W20" s="668"/>
      <c r="X20" s="1265"/>
      <c r="Y20" s="339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4"/>
      <c r="Q21" s="1263" t="str">
        <f>B21</f>
        <v>交通便捷度</v>
      </c>
      <c r="R21" s="667" t="s">
        <v>14</v>
      </c>
      <c r="S21" s="668">
        <f>F21</f>
        <v>100</v>
      </c>
      <c r="T21" s="667" t="s">
        <v>14</v>
      </c>
      <c r="U21" s="668">
        <f>H21</f>
        <v>100</v>
      </c>
      <c r="V21" s="667" t="s">
        <v>14</v>
      </c>
      <c r="W21" s="668">
        <f>J21</f>
        <v>100</v>
      </c>
      <c r="X21" s="1265"/>
      <c r="Y21" s="33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4"/>
      <c r="Q23" s="1263" t="str">
        <f t="shared" ref="Q23:Q37" si="8">B23</f>
        <v>区域土地利用方向</v>
      </c>
      <c r="R23" s="667" t="s">
        <v>14</v>
      </c>
      <c r="S23" s="668">
        <f>F23</f>
        <v>100</v>
      </c>
      <c r="T23" s="667" t="s">
        <v>14</v>
      </c>
      <c r="U23" s="668">
        <f>H23</f>
        <v>100</v>
      </c>
      <c r="V23" s="667" t="s">
        <v>14</v>
      </c>
      <c r="W23" s="668">
        <f>J23</f>
        <v>100</v>
      </c>
      <c r="X23" s="1265"/>
      <c r="Y23" s="33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4"/>
      <c r="Q24" s="1263"/>
      <c r="R24" s="667"/>
      <c r="S24" s="668"/>
      <c r="T24" s="667"/>
      <c r="U24" s="668"/>
      <c r="V24" s="667"/>
      <c r="W24" s="668"/>
      <c r="X24" s="1265"/>
      <c r="Y24" s="339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4"/>
      <c r="Q25" s="1263" t="str">
        <f t="shared" si="8"/>
        <v>自然及人文环境状况</v>
      </c>
      <c r="R25" s="667" t="s">
        <v>14</v>
      </c>
      <c r="S25" s="668">
        <f>F25</f>
        <v>100</v>
      </c>
      <c r="T25" s="667" t="s">
        <v>14</v>
      </c>
      <c r="U25" s="668">
        <f>H25</f>
        <v>100</v>
      </c>
      <c r="V25" s="667" t="s">
        <v>14</v>
      </c>
      <c r="W25" s="668">
        <f>J25</f>
        <v>100</v>
      </c>
      <c r="X25" s="1265"/>
      <c r="Y25" s="33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4"/>
      <c r="Q26" s="1263"/>
      <c r="R26" s="667"/>
      <c r="S26" s="668"/>
      <c r="T26" s="667"/>
      <c r="U26" s="668"/>
      <c r="V26" s="667"/>
      <c r="W26" s="668"/>
      <c r="X26" s="1265"/>
      <c r="Y26" s="339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4"/>
      <c r="Q27" s="530" t="str">
        <f t="shared" si="8"/>
        <v>公共配套设施</v>
      </c>
      <c r="R27" s="664" t="s">
        <v>14</v>
      </c>
      <c r="S27" s="665">
        <f>F27</f>
        <v>100</v>
      </c>
      <c r="T27" s="664" t="s">
        <v>14</v>
      </c>
      <c r="U27" s="665">
        <f>H27</f>
        <v>100</v>
      </c>
      <c r="V27" s="664" t="s">
        <v>14</v>
      </c>
      <c r="W27" s="665">
        <f>J27</f>
        <v>100</v>
      </c>
      <c r="X27" s="666"/>
      <c r="Y27" s="339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4"/>
      <c r="Q28" s="530"/>
      <c r="R28" s="664"/>
      <c r="S28" s="665"/>
      <c r="T28" s="664"/>
      <c r="U28" s="665"/>
      <c r="V28" s="664"/>
      <c r="W28" s="665"/>
      <c r="X28" s="666"/>
      <c r="Y28" s="339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4"/>
      <c r="Q29" s="530" t="str">
        <f t="shared" ref="Q29" si="9">B29</f>
        <v>基础设施水平</v>
      </c>
      <c r="R29" s="664" t="s">
        <v>14</v>
      </c>
      <c r="S29" s="665">
        <f>F29</f>
        <v>100</v>
      </c>
      <c r="T29" s="664" t="s">
        <v>14</v>
      </c>
      <c r="U29" s="665">
        <f>H29</f>
        <v>100</v>
      </c>
      <c r="V29" s="664" t="s">
        <v>14</v>
      </c>
      <c r="W29" s="665">
        <f>J29</f>
        <v>100</v>
      </c>
      <c r="X29" s="666"/>
      <c r="Y29" s="339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4"/>
      <c r="Q30" s="530"/>
      <c r="R30" s="664"/>
      <c r="S30" s="665"/>
      <c r="T30" s="664"/>
      <c r="U30" s="665"/>
      <c r="V30" s="664"/>
      <c r="W30" s="665"/>
      <c r="X30" s="666"/>
      <c r="Y30" s="339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4"/>
      <c r="Q32" s="1263" t="str">
        <f t="shared" si="8"/>
        <v>毗邻道路的类型与等级</v>
      </c>
      <c r="R32" s="667" t="s">
        <v>14</v>
      </c>
      <c r="S32" s="668">
        <f t="shared" si="10"/>
        <v>100</v>
      </c>
      <c r="T32" s="667" t="s">
        <v>14</v>
      </c>
      <c r="U32" s="668">
        <f t="shared" si="11"/>
        <v>100</v>
      </c>
      <c r="V32" s="667" t="s">
        <v>14</v>
      </c>
      <c r="W32" s="668">
        <f t="shared" si="12"/>
        <v>100</v>
      </c>
      <c r="X32" s="1265"/>
      <c r="Y32" s="33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4"/>
      <c r="Q33" s="1263"/>
      <c r="R33" s="667"/>
      <c r="S33" s="668"/>
      <c r="T33" s="667"/>
      <c r="U33" s="668"/>
      <c r="V33" s="667"/>
      <c r="W33" s="668"/>
      <c r="X33" s="1265"/>
      <c r="Y33" s="339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4"/>
      <c r="Q34" s="1263" t="str">
        <f t="shared" si="8"/>
        <v>土地级别</v>
      </c>
      <c r="R34" s="667" t="s">
        <v>14</v>
      </c>
      <c r="S34" s="668">
        <f t="shared" si="10"/>
        <v>100</v>
      </c>
      <c r="T34" s="667" t="s">
        <v>14</v>
      </c>
      <c r="U34" s="668">
        <f t="shared" si="11"/>
        <v>100</v>
      </c>
      <c r="V34" s="667" t="s">
        <v>14</v>
      </c>
      <c r="W34" s="668">
        <f t="shared" si="12"/>
        <v>100</v>
      </c>
      <c r="X34" s="1265"/>
      <c r="Y34" s="33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4"/>
      <c r="Q35" s="1263">
        <f t="shared" si="8"/>
        <v>111</v>
      </c>
      <c r="R35" s="667" t="s">
        <v>14</v>
      </c>
      <c r="S35" s="668">
        <f t="shared" si="10"/>
        <v>100</v>
      </c>
      <c r="T35" s="667" t="s">
        <v>14</v>
      </c>
      <c r="U35" s="668">
        <f t="shared" si="11"/>
        <v>100</v>
      </c>
      <c r="V35" s="667" t="s">
        <v>14</v>
      </c>
      <c r="W35" s="668">
        <f t="shared" si="12"/>
        <v>100</v>
      </c>
      <c r="X35" s="1265"/>
      <c r="Y35" s="33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95" t="s">
        <v>1696</v>
      </c>
      <c r="Q36" s="1263">
        <f t="shared" si="8"/>
        <v>111</v>
      </c>
      <c r="R36" s="667" t="s">
        <v>14</v>
      </c>
      <c r="S36" s="668">
        <f t="shared" si="10"/>
        <v>100</v>
      </c>
      <c r="T36" s="667" t="s">
        <v>14</v>
      </c>
      <c r="U36" s="668">
        <f t="shared" si="11"/>
        <v>100</v>
      </c>
      <c r="V36" s="667" t="s">
        <v>14</v>
      </c>
      <c r="W36" s="668">
        <f t="shared" si="12"/>
        <v>100</v>
      </c>
      <c r="X36" s="1265"/>
      <c r="Y36" s="339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6"/>
      <c r="Q37" s="1263">
        <f t="shared" si="8"/>
        <v>111</v>
      </c>
      <c r="R37" s="669" t="s">
        <v>14</v>
      </c>
      <c r="S37" s="670">
        <f t="shared" si="10"/>
        <v>100</v>
      </c>
      <c r="T37" s="669" t="s">
        <v>14</v>
      </c>
      <c r="U37" s="670">
        <f t="shared" si="11"/>
        <v>100</v>
      </c>
      <c r="V37" s="669" t="s">
        <v>14</v>
      </c>
      <c r="W37" s="670">
        <f t="shared" si="12"/>
        <v>100</v>
      </c>
      <c r="X37" s="671"/>
      <c r="Y37" s="339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6"/>
      <c r="Q38" s="1263" t="str">
        <f>B38</f>
        <v>宗地面积</v>
      </c>
      <c r="R38" s="667" t="s">
        <v>14</v>
      </c>
      <c r="S38" s="668" t="e">
        <f t="shared" si="10"/>
        <v>#N/A</v>
      </c>
      <c r="T38" s="667" t="s">
        <v>14</v>
      </c>
      <c r="U38" s="668" t="e">
        <f t="shared" si="11"/>
        <v>#N/A</v>
      </c>
      <c r="V38" s="667" t="s">
        <v>14</v>
      </c>
      <c r="W38" s="668" t="e">
        <f t="shared" si="12"/>
        <v>#N/A</v>
      </c>
      <c r="X38" s="1265"/>
      <c r="Y38" s="339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6"/>
      <c r="Q39" s="1263" t="str">
        <f t="shared" ref="Q39:Q45" si="14">B39</f>
        <v>宗地形状</v>
      </c>
      <c r="R39" s="667" t="s">
        <v>14</v>
      </c>
      <c r="S39" s="668">
        <f t="shared" si="10"/>
        <v>100</v>
      </c>
      <c r="T39" s="667" t="s">
        <v>14</v>
      </c>
      <c r="U39" s="668">
        <f t="shared" si="11"/>
        <v>100</v>
      </c>
      <c r="V39" s="667" t="s">
        <v>14</v>
      </c>
      <c r="W39" s="668">
        <f t="shared" si="12"/>
        <v>100</v>
      </c>
      <c r="X39" s="1265"/>
      <c r="Y39" s="339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6"/>
      <c r="Q40" s="1263" t="str">
        <f t="shared" si="14"/>
        <v>临街宽度及深度</v>
      </c>
      <c r="R40" s="667" t="s">
        <v>14</v>
      </c>
      <c r="S40" s="668">
        <f t="shared" si="10"/>
        <v>100</v>
      </c>
      <c r="T40" s="667" t="s">
        <v>14</v>
      </c>
      <c r="U40" s="668">
        <f t="shared" si="11"/>
        <v>100</v>
      </c>
      <c r="V40" s="667" t="s">
        <v>14</v>
      </c>
      <c r="W40" s="668">
        <f t="shared" si="12"/>
        <v>100</v>
      </c>
      <c r="X40" s="1265"/>
      <c r="Y40" s="339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6"/>
      <c r="Q41" s="1263" t="str">
        <f t="shared" si="14"/>
        <v>宗地开发程度</v>
      </c>
      <c r="R41" s="664" t="s">
        <v>14</v>
      </c>
      <c r="S41" s="665">
        <f t="shared" si="10"/>
        <v>100</v>
      </c>
      <c r="T41" s="664" t="s">
        <v>14</v>
      </c>
      <c r="U41" s="665">
        <f t="shared" si="11"/>
        <v>100</v>
      </c>
      <c r="V41" s="664" t="s">
        <v>14</v>
      </c>
      <c r="W41" s="665">
        <f t="shared" si="12"/>
        <v>100</v>
      </c>
      <c r="X41" s="666"/>
      <c r="Y41" s="339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6" t="s">
        <v>1696</v>
      </c>
      <c r="Q42" s="1263" t="str">
        <f t="shared" si="14"/>
        <v>工程地质条件</v>
      </c>
      <c r="R42" s="667" t="s">
        <v>14</v>
      </c>
      <c r="S42" s="668">
        <f t="shared" si="10"/>
        <v>100</v>
      </c>
      <c r="T42" s="667" t="s">
        <v>14</v>
      </c>
      <c r="U42" s="668">
        <f t="shared" si="11"/>
        <v>100</v>
      </c>
      <c r="V42" s="667" t="s">
        <v>14</v>
      </c>
      <c r="W42" s="668">
        <f t="shared" si="12"/>
        <v>100</v>
      </c>
      <c r="X42" s="1265"/>
      <c r="Y42" s="339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6"/>
      <c r="Q43" s="1263">
        <f t="shared" si="14"/>
        <v>111</v>
      </c>
      <c r="R43" s="667" t="s">
        <v>14</v>
      </c>
      <c r="S43" s="668">
        <f t="shared" si="10"/>
        <v>100</v>
      </c>
      <c r="T43" s="667" t="s">
        <v>14</v>
      </c>
      <c r="U43" s="668">
        <f t="shared" si="11"/>
        <v>100</v>
      </c>
      <c r="V43" s="667" t="s">
        <v>14</v>
      </c>
      <c r="W43" s="668">
        <f t="shared" si="12"/>
        <v>100</v>
      </c>
      <c r="X43" s="1265"/>
      <c r="Y43" s="339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6"/>
      <c r="Q44" s="1263">
        <f t="shared" si="14"/>
        <v>111</v>
      </c>
      <c r="R44" s="667" t="s">
        <v>14</v>
      </c>
      <c r="S44" s="668">
        <f t="shared" si="10"/>
        <v>100</v>
      </c>
      <c r="T44" s="667" t="s">
        <v>14</v>
      </c>
      <c r="U44" s="668">
        <f t="shared" si="11"/>
        <v>100</v>
      </c>
      <c r="V44" s="667" t="s">
        <v>14</v>
      </c>
      <c r="W44" s="668">
        <f t="shared" si="12"/>
        <v>100</v>
      </c>
      <c r="X44" s="1265"/>
      <c r="Y44" s="339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6"/>
      <c r="Q45" s="1263">
        <f t="shared" si="14"/>
        <v>111</v>
      </c>
      <c r="R45" s="669" t="s">
        <v>14</v>
      </c>
      <c r="S45" s="670">
        <f t="shared" si="10"/>
        <v>100</v>
      </c>
      <c r="T45" s="669" t="s">
        <v>14</v>
      </c>
      <c r="U45" s="670">
        <f t="shared" si="11"/>
        <v>100</v>
      </c>
      <c r="V45" s="669" t="s">
        <v>14</v>
      </c>
      <c r="W45" s="670">
        <f t="shared" si="12"/>
        <v>100</v>
      </c>
      <c r="X45" s="671"/>
      <c r="Y45" s="339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388" t="str">
        <f>A46</f>
        <v>成交单价</v>
      </c>
      <c r="Q46" s="3388"/>
      <c r="R46" s="3389">
        <f>E46</f>
        <v>0</v>
      </c>
      <c r="S46" s="3389"/>
      <c r="T46" s="3389">
        <f>G46</f>
        <v>0</v>
      </c>
      <c r="U46" s="3389"/>
      <c r="V46" s="3389">
        <f>I46</f>
        <v>0</v>
      </c>
      <c r="W46" s="338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8" t="str">
        <f>A47</f>
        <v>比较价值（元/平方米）</v>
      </c>
      <c r="Q47" s="3388"/>
      <c r="R47" s="3478" t="e">
        <f>ROUND(PRODUCT(R46,AA7:AA45),0)</f>
        <v>#DIV/0!</v>
      </c>
      <c r="S47" s="3478"/>
      <c r="T47" s="3478" t="e">
        <f>ROUND(PRODUCT(T46,AB7:AB45),0)</f>
        <v>#DIV/0!</v>
      </c>
      <c r="U47" s="3478"/>
      <c r="V47" s="3478" t="e">
        <f>ROUND(PRODUCT(V46,AC7:AC45),0)</f>
        <v>#DIV/0!</v>
      </c>
      <c r="W47" s="347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390" t="str">
        <f>A48</f>
        <v>估价对象XX用房的比较价值（楼面单价，元/平方米）</v>
      </c>
      <c r="Q48" s="3391"/>
      <c r="R48" s="3479" t="e">
        <f>ROUND(IF(D47="简单平均",AVERAGE(R47:W47),R47*F47+T47*H47+V47*J47),0)</f>
        <v>#DIV/0!</v>
      </c>
      <c r="S48" s="3479"/>
      <c r="T48" s="3479"/>
      <c r="U48" s="3479"/>
      <c r="V48" s="3479"/>
      <c r="W48" s="347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1" t="s">
        <v>1887</v>
      </c>
      <c r="H55" s="348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3281.85</v>
      </c>
      <c r="F56" s="833" t="e">
        <f t="shared" ref="F56:F64" si="15">ROUND(B56*E56/10000,0)</f>
        <v>#DIV/0!</v>
      </c>
      <c r="G56" s="3459"/>
      <c r="H56" s="338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3281.85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1" t="s">
        <v>1770</v>
      </c>
      <c r="D4" s="3402"/>
      <c r="E4" s="3403" t="s">
        <v>1771</v>
      </c>
      <c r="F4" s="3404"/>
      <c r="G4" s="3401" t="s">
        <v>1772</v>
      </c>
      <c r="H4" s="3402"/>
      <c r="I4" s="3401" t="s">
        <v>1773</v>
      </c>
      <c r="J4" s="3402"/>
      <c r="K4" s="537" t="s">
        <v>1774</v>
      </c>
      <c r="L4" s="2487"/>
      <c r="M4" s="2488"/>
      <c r="N4" s="2488"/>
      <c r="O4" s="2488"/>
      <c r="P4" s="3405" t="s">
        <v>1775</v>
      </c>
      <c r="Q4" s="3406"/>
      <c r="R4" s="3411" t="s">
        <v>1771</v>
      </c>
      <c r="S4" s="3412"/>
      <c r="T4" s="3411" t="s">
        <v>1772</v>
      </c>
      <c r="U4" s="3412"/>
      <c r="V4" s="3389" t="s">
        <v>1773</v>
      </c>
      <c r="W4" s="3389"/>
      <c r="X4" s="1265"/>
      <c r="Y4" s="3411" t="s">
        <v>1775</v>
      </c>
      <c r="Z4" s="3412"/>
      <c r="AA4" s="3398" t="s">
        <v>1771</v>
      </c>
      <c r="AB4" s="3399" t="s">
        <v>1772</v>
      </c>
      <c r="AC4" s="3398" t="s">
        <v>1773</v>
      </c>
    </row>
    <row r="5" spans="1:29">
      <c r="A5" s="348"/>
      <c r="B5" s="349"/>
      <c r="C5" s="3460" t="s">
        <v>1673</v>
      </c>
      <c r="D5" s="3420"/>
      <c r="E5" s="3461" t="s">
        <v>1674</v>
      </c>
      <c r="F5" s="3427"/>
      <c r="G5" s="3460" t="s">
        <v>1675</v>
      </c>
      <c r="H5" s="3420"/>
      <c r="I5" s="3460" t="s">
        <v>1676</v>
      </c>
      <c r="J5" s="3420"/>
      <c r="K5" s="537"/>
      <c r="L5" s="2487"/>
      <c r="M5" s="2488"/>
      <c r="N5" s="2488"/>
      <c r="O5" s="2488"/>
      <c r="P5" s="3407"/>
      <c r="Q5" s="3408"/>
      <c r="R5" s="3413"/>
      <c r="S5" s="3414"/>
      <c r="T5" s="3413"/>
      <c r="U5" s="3414"/>
      <c r="V5" s="3389"/>
      <c r="W5" s="3389"/>
      <c r="X5" s="1265"/>
      <c r="Y5" s="3413"/>
      <c r="Z5" s="3414"/>
      <c r="AA5" s="3399"/>
      <c r="AB5" s="3399"/>
      <c r="AC5" s="3399"/>
    </row>
    <row r="6" spans="1:29" ht="15" thickBot="1">
      <c r="A6" s="350"/>
      <c r="B6" s="351"/>
      <c r="C6" s="3481" t="s">
        <v>1919</v>
      </c>
      <c r="D6" s="3482"/>
      <c r="E6" s="3483" t="s">
        <v>1919</v>
      </c>
      <c r="F6" s="3484"/>
      <c r="G6" s="3481" t="s">
        <v>1919</v>
      </c>
      <c r="H6" s="3482"/>
      <c r="I6" s="3481" t="s">
        <v>1919</v>
      </c>
      <c r="J6" s="3482"/>
      <c r="K6" s="537" t="s">
        <v>1678</v>
      </c>
      <c r="L6" s="2487"/>
      <c r="M6" s="2488"/>
      <c r="N6" s="2488"/>
      <c r="O6" s="2488"/>
      <c r="P6" s="3409"/>
      <c r="Q6" s="3410"/>
      <c r="R6" s="3413"/>
      <c r="S6" s="3414"/>
      <c r="T6" s="3415"/>
      <c r="U6" s="3416"/>
      <c r="V6" s="3389"/>
      <c r="W6" s="3389"/>
      <c r="X6" s="1265"/>
      <c r="Y6" s="3415"/>
      <c r="Z6" s="3416"/>
      <c r="AA6" s="3400"/>
      <c r="AB6" s="3400"/>
      <c r="AC6" s="3400"/>
    </row>
    <row r="7" spans="1:29" s="102" customFormat="1" ht="15" thickBot="1">
      <c r="A7" s="352" t="s">
        <v>1679</v>
      </c>
      <c r="B7" s="353"/>
      <c r="C7" s="354">
        <f>'数据-取费表'!B2</f>
        <v>45902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7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114</v>
      </c>
      <c r="G10" s="371"/>
      <c r="H10" s="119">
        <f>ROUND(100/'数据-取费表'!G16,0)</f>
        <v>114</v>
      </c>
      <c r="I10" s="371"/>
      <c r="J10" s="119">
        <f>ROUND(100/'数据-取费表'!G16,0)</f>
        <v>114</v>
      </c>
      <c r="K10" s="592"/>
      <c r="L10" s="2490"/>
      <c r="M10" s="2491"/>
      <c r="N10" s="2491"/>
      <c r="O10" s="2542"/>
      <c r="P10" s="3388"/>
      <c r="Q10" s="530" t="str">
        <f t="shared" si="6"/>
        <v>土地使用年限（年）</v>
      </c>
      <c r="R10" s="664" t="s">
        <v>14</v>
      </c>
      <c r="S10" s="665">
        <f t="shared" si="0"/>
        <v>114</v>
      </c>
      <c r="T10" s="664" t="s">
        <v>14</v>
      </c>
      <c r="U10" s="665">
        <f t="shared" si="1"/>
        <v>114</v>
      </c>
      <c r="V10" s="664" t="s">
        <v>14</v>
      </c>
      <c r="W10" s="665">
        <f t="shared" si="2"/>
        <v>114</v>
      </c>
      <c r="X10" s="666"/>
      <c r="Y10" s="3273"/>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7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7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3" t="s">
        <v>1691</v>
      </c>
      <c r="Q15" s="1263" t="str">
        <f t="shared" si="6"/>
        <v>产业集聚程度</v>
      </c>
      <c r="R15" s="667" t="s">
        <v>14</v>
      </c>
      <c r="S15" s="668">
        <f t="shared" si="0"/>
        <v>100</v>
      </c>
      <c r="T15" s="667" t="s">
        <v>14</v>
      </c>
      <c r="U15" s="668">
        <f t="shared" si="1"/>
        <v>100</v>
      </c>
      <c r="V15" s="667" t="s">
        <v>14</v>
      </c>
      <c r="W15" s="668">
        <f t="shared" si="2"/>
        <v>100</v>
      </c>
      <c r="X15" s="1265"/>
      <c r="Y15" s="339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4"/>
      <c r="Q16" s="1263"/>
      <c r="R16" s="667"/>
      <c r="S16" s="668"/>
      <c r="T16" s="667"/>
      <c r="U16" s="668"/>
      <c r="V16" s="667"/>
      <c r="W16" s="668"/>
      <c r="X16" s="1265"/>
      <c r="Y16" s="339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4"/>
      <c r="Q17" s="1263" t="str">
        <f>B17</f>
        <v>交通便捷度</v>
      </c>
      <c r="R17" s="667" t="s">
        <v>14</v>
      </c>
      <c r="S17" s="668">
        <f>F17</f>
        <v>100</v>
      </c>
      <c r="T17" s="667" t="s">
        <v>14</v>
      </c>
      <c r="U17" s="668">
        <f>H17</f>
        <v>100</v>
      </c>
      <c r="V17" s="667" t="s">
        <v>14</v>
      </c>
      <c r="W17" s="668">
        <f>J17</f>
        <v>100</v>
      </c>
      <c r="X17" s="1265"/>
      <c r="Y17" s="33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4"/>
      <c r="Q18" s="1263"/>
      <c r="R18" s="667"/>
      <c r="S18" s="668"/>
      <c r="T18" s="667"/>
      <c r="U18" s="668"/>
      <c r="V18" s="667"/>
      <c r="W18" s="668"/>
      <c r="X18" s="1265"/>
      <c r="Y18" s="339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4"/>
      <c r="Q19" s="1263" t="str">
        <f t="shared" ref="Q19:Q33" si="8">B19</f>
        <v>区域土地利用方向</v>
      </c>
      <c r="R19" s="667" t="s">
        <v>14</v>
      </c>
      <c r="S19" s="668">
        <f>F19</f>
        <v>100</v>
      </c>
      <c r="T19" s="667" t="s">
        <v>14</v>
      </c>
      <c r="U19" s="668">
        <f>H19</f>
        <v>100</v>
      </c>
      <c r="V19" s="667" t="s">
        <v>14</v>
      </c>
      <c r="W19" s="668">
        <f>J19</f>
        <v>100</v>
      </c>
      <c r="X19" s="1265"/>
      <c r="Y19" s="33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4"/>
      <c r="Q20" s="1263"/>
      <c r="R20" s="667"/>
      <c r="S20" s="668"/>
      <c r="T20" s="667"/>
      <c r="U20" s="668"/>
      <c r="V20" s="667"/>
      <c r="W20" s="668"/>
      <c r="X20" s="1265"/>
      <c r="Y20" s="339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4"/>
      <c r="Q21" s="1263" t="str">
        <f t="shared" si="8"/>
        <v>环境状况</v>
      </c>
      <c r="R21" s="667" t="s">
        <v>14</v>
      </c>
      <c r="S21" s="668">
        <f>F21</f>
        <v>100</v>
      </c>
      <c r="T21" s="667" t="s">
        <v>14</v>
      </c>
      <c r="U21" s="668">
        <f>H21</f>
        <v>100</v>
      </c>
      <c r="V21" s="667" t="s">
        <v>14</v>
      </c>
      <c r="W21" s="668">
        <f>J21</f>
        <v>100</v>
      </c>
      <c r="X21" s="1265"/>
      <c r="Y21" s="33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4"/>
      <c r="Q22" s="1263"/>
      <c r="R22" s="667"/>
      <c r="S22" s="668"/>
      <c r="T22" s="667"/>
      <c r="U22" s="668"/>
      <c r="V22" s="667"/>
      <c r="W22" s="668"/>
      <c r="X22" s="1265"/>
      <c r="Y22" s="339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4"/>
      <c r="Q23" s="530" t="str">
        <f t="shared" si="8"/>
        <v>公共配套设施</v>
      </c>
      <c r="R23" s="664" t="s">
        <v>14</v>
      </c>
      <c r="S23" s="665">
        <f>F23</f>
        <v>100</v>
      </c>
      <c r="T23" s="664" t="s">
        <v>14</v>
      </c>
      <c r="U23" s="665">
        <f>H23</f>
        <v>100</v>
      </c>
      <c r="V23" s="664" t="s">
        <v>14</v>
      </c>
      <c r="W23" s="665">
        <f>J23</f>
        <v>100</v>
      </c>
      <c r="X23" s="666"/>
      <c r="Y23" s="339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4"/>
      <c r="Q24" s="530"/>
      <c r="R24" s="664"/>
      <c r="S24" s="665"/>
      <c r="T24" s="664"/>
      <c r="U24" s="665"/>
      <c r="V24" s="664"/>
      <c r="W24" s="665"/>
      <c r="X24" s="666"/>
      <c r="Y24" s="339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4"/>
      <c r="Q25" s="530" t="str">
        <f t="shared" ref="Q25" si="9">B25</f>
        <v>基础设施水平</v>
      </c>
      <c r="R25" s="664" t="s">
        <v>14</v>
      </c>
      <c r="S25" s="665">
        <f>F25</f>
        <v>100</v>
      </c>
      <c r="T25" s="664" t="s">
        <v>14</v>
      </c>
      <c r="U25" s="665">
        <f>H25</f>
        <v>100</v>
      </c>
      <c r="V25" s="664" t="s">
        <v>14</v>
      </c>
      <c r="W25" s="665">
        <f>J25</f>
        <v>100</v>
      </c>
      <c r="X25" s="666"/>
      <c r="Y25" s="339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4"/>
      <c r="Q26" s="530"/>
      <c r="R26" s="664"/>
      <c r="S26" s="665"/>
      <c r="T26" s="664"/>
      <c r="U26" s="665"/>
      <c r="V26" s="664"/>
      <c r="W26" s="665"/>
      <c r="X26" s="666"/>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4"/>
      <c r="Q28" s="1263" t="str">
        <f t="shared" si="8"/>
        <v>毗邻道路的类型与等级</v>
      </c>
      <c r="R28" s="667" t="s">
        <v>14</v>
      </c>
      <c r="S28" s="668">
        <f t="shared" si="10"/>
        <v>100</v>
      </c>
      <c r="T28" s="667" t="s">
        <v>14</v>
      </c>
      <c r="U28" s="668">
        <f t="shared" si="11"/>
        <v>100</v>
      </c>
      <c r="V28" s="667" t="s">
        <v>14</v>
      </c>
      <c r="W28" s="668">
        <f t="shared" si="12"/>
        <v>100</v>
      </c>
      <c r="X28" s="1265"/>
      <c r="Y28" s="33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4"/>
      <c r="Q29" s="1263"/>
      <c r="R29" s="667"/>
      <c r="S29" s="668"/>
      <c r="T29" s="667"/>
      <c r="U29" s="668"/>
      <c r="V29" s="667"/>
      <c r="W29" s="668"/>
      <c r="X29" s="1265"/>
      <c r="Y29" s="339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4"/>
      <c r="Q30" s="1263" t="str">
        <f t="shared" si="8"/>
        <v>土地级别</v>
      </c>
      <c r="R30" s="667" t="s">
        <v>14</v>
      </c>
      <c r="S30" s="668">
        <f t="shared" si="10"/>
        <v>100</v>
      </c>
      <c r="T30" s="667" t="s">
        <v>14</v>
      </c>
      <c r="U30" s="668">
        <f t="shared" si="11"/>
        <v>100</v>
      </c>
      <c r="V30" s="667" t="s">
        <v>14</v>
      </c>
      <c r="W30" s="668">
        <f t="shared" si="12"/>
        <v>100</v>
      </c>
      <c r="X30" s="1265"/>
      <c r="Y30" s="33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4"/>
      <c r="Q31" s="1263">
        <f t="shared" si="8"/>
        <v>111</v>
      </c>
      <c r="R31" s="667" t="s">
        <v>14</v>
      </c>
      <c r="S31" s="668">
        <f t="shared" si="10"/>
        <v>100</v>
      </c>
      <c r="T31" s="667" t="s">
        <v>14</v>
      </c>
      <c r="U31" s="668">
        <f t="shared" si="11"/>
        <v>100</v>
      </c>
      <c r="V31" s="667" t="s">
        <v>14</v>
      </c>
      <c r="W31" s="668">
        <f t="shared" si="12"/>
        <v>100</v>
      </c>
      <c r="X31" s="1265"/>
      <c r="Y31" s="339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95" t="s">
        <v>1696</v>
      </c>
      <c r="Q32" s="1263">
        <f t="shared" si="8"/>
        <v>111</v>
      </c>
      <c r="R32" s="667" t="s">
        <v>14</v>
      </c>
      <c r="S32" s="668">
        <f t="shared" si="10"/>
        <v>100</v>
      </c>
      <c r="T32" s="667" t="s">
        <v>14</v>
      </c>
      <c r="U32" s="668">
        <f t="shared" si="11"/>
        <v>100</v>
      </c>
      <c r="V32" s="667" t="s">
        <v>14</v>
      </c>
      <c r="W32" s="668">
        <f t="shared" si="12"/>
        <v>100</v>
      </c>
      <c r="X32" s="1265"/>
      <c r="Y32" s="339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6"/>
      <c r="Q33" s="1263">
        <f t="shared" si="8"/>
        <v>111</v>
      </c>
      <c r="R33" s="669" t="s">
        <v>14</v>
      </c>
      <c r="S33" s="670">
        <f t="shared" si="10"/>
        <v>100</v>
      </c>
      <c r="T33" s="669" t="s">
        <v>14</v>
      </c>
      <c r="U33" s="670">
        <f t="shared" si="11"/>
        <v>100</v>
      </c>
      <c r="V33" s="669" t="s">
        <v>14</v>
      </c>
      <c r="W33" s="670">
        <f t="shared" si="12"/>
        <v>100</v>
      </c>
      <c r="X33" s="671"/>
      <c r="Y33" s="339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6"/>
      <c r="Q34" s="1263" t="str">
        <f>B34</f>
        <v>宗地面积</v>
      </c>
      <c r="R34" s="667" t="s">
        <v>14</v>
      </c>
      <c r="S34" s="668" t="e">
        <f t="shared" si="10"/>
        <v>#N/A</v>
      </c>
      <c r="T34" s="667" t="s">
        <v>14</v>
      </c>
      <c r="U34" s="668" t="e">
        <f t="shared" si="11"/>
        <v>#N/A</v>
      </c>
      <c r="V34" s="667" t="s">
        <v>14</v>
      </c>
      <c r="W34" s="668" t="e">
        <f t="shared" si="12"/>
        <v>#N/A</v>
      </c>
      <c r="X34" s="1265"/>
      <c r="Y34" s="339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6"/>
      <c r="Q35" s="1263" t="str">
        <f t="shared" ref="Q35:Q40" si="14">B35</f>
        <v>宗地形状</v>
      </c>
      <c r="R35" s="667" t="s">
        <v>14</v>
      </c>
      <c r="S35" s="668">
        <f t="shared" si="10"/>
        <v>100</v>
      </c>
      <c r="T35" s="667" t="s">
        <v>14</v>
      </c>
      <c r="U35" s="668">
        <f t="shared" si="11"/>
        <v>100</v>
      </c>
      <c r="V35" s="667" t="s">
        <v>14</v>
      </c>
      <c r="W35" s="668">
        <f t="shared" si="12"/>
        <v>100</v>
      </c>
      <c r="X35" s="1265"/>
      <c r="Y35" s="339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6"/>
      <c r="Q36" s="1263" t="str">
        <f t="shared" si="14"/>
        <v>宗地开发程度</v>
      </c>
      <c r="R36" s="664" t="s">
        <v>14</v>
      </c>
      <c r="S36" s="665">
        <f t="shared" si="10"/>
        <v>100</v>
      </c>
      <c r="T36" s="664" t="s">
        <v>14</v>
      </c>
      <c r="U36" s="665">
        <f t="shared" si="11"/>
        <v>100</v>
      </c>
      <c r="V36" s="664" t="s">
        <v>14</v>
      </c>
      <c r="W36" s="665">
        <f t="shared" si="12"/>
        <v>100</v>
      </c>
      <c r="X36" s="666"/>
      <c r="Y36" s="339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6" t="s">
        <v>1696</v>
      </c>
      <c r="Q37" s="1263" t="str">
        <f t="shared" si="14"/>
        <v>工程地质条件</v>
      </c>
      <c r="R37" s="667" t="s">
        <v>14</v>
      </c>
      <c r="S37" s="668">
        <f t="shared" si="10"/>
        <v>100</v>
      </c>
      <c r="T37" s="667" t="s">
        <v>14</v>
      </c>
      <c r="U37" s="668">
        <f t="shared" si="11"/>
        <v>100</v>
      </c>
      <c r="V37" s="667" t="s">
        <v>14</v>
      </c>
      <c r="W37" s="668">
        <f t="shared" si="12"/>
        <v>100</v>
      </c>
      <c r="X37" s="1265"/>
      <c r="Y37" s="339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6"/>
      <c r="Q38" s="1263">
        <f t="shared" si="14"/>
        <v>111</v>
      </c>
      <c r="R38" s="667" t="s">
        <v>14</v>
      </c>
      <c r="S38" s="668">
        <f t="shared" si="10"/>
        <v>100</v>
      </c>
      <c r="T38" s="667" t="s">
        <v>14</v>
      </c>
      <c r="U38" s="668">
        <f t="shared" si="11"/>
        <v>100</v>
      </c>
      <c r="V38" s="667" t="s">
        <v>14</v>
      </c>
      <c r="W38" s="668">
        <f t="shared" si="12"/>
        <v>100</v>
      </c>
      <c r="X38" s="1265"/>
      <c r="Y38" s="339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6"/>
      <c r="Q39" s="1263">
        <f t="shared" si="14"/>
        <v>111</v>
      </c>
      <c r="R39" s="667" t="s">
        <v>14</v>
      </c>
      <c r="S39" s="668">
        <f t="shared" si="10"/>
        <v>100</v>
      </c>
      <c r="T39" s="667" t="s">
        <v>14</v>
      </c>
      <c r="U39" s="668">
        <f t="shared" si="11"/>
        <v>100</v>
      </c>
      <c r="V39" s="667" t="s">
        <v>14</v>
      </c>
      <c r="W39" s="668">
        <f t="shared" si="12"/>
        <v>100</v>
      </c>
      <c r="X39" s="1265"/>
      <c r="Y39" s="339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6"/>
      <c r="Q40" s="1263">
        <f t="shared" si="14"/>
        <v>111</v>
      </c>
      <c r="R40" s="669" t="s">
        <v>14</v>
      </c>
      <c r="S40" s="670">
        <f t="shared" si="10"/>
        <v>100</v>
      </c>
      <c r="T40" s="669" t="s">
        <v>14</v>
      </c>
      <c r="U40" s="670">
        <f t="shared" si="11"/>
        <v>100</v>
      </c>
      <c r="V40" s="669" t="s">
        <v>14</v>
      </c>
      <c r="W40" s="670">
        <f t="shared" si="12"/>
        <v>100</v>
      </c>
      <c r="X40" s="671"/>
      <c r="Y40" s="339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388" t="str">
        <f>A41</f>
        <v>成交单价</v>
      </c>
      <c r="Q41" s="3388"/>
      <c r="R41" s="3389">
        <f>E41</f>
        <v>0</v>
      </c>
      <c r="S41" s="3389"/>
      <c r="T41" s="3389">
        <f>G41</f>
        <v>0</v>
      </c>
      <c r="U41" s="3389"/>
      <c r="V41" s="3389">
        <f>I41</f>
        <v>0</v>
      </c>
      <c r="W41" s="338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8" t="str">
        <f>A42</f>
        <v>比较价值（元/平方米）</v>
      </c>
      <c r="Q42" s="3388"/>
      <c r="R42" s="3478" t="e">
        <f>ROUND(PRODUCT(R41,AA7:AA40),0)</f>
        <v>#DIV/0!</v>
      </c>
      <c r="S42" s="3478"/>
      <c r="T42" s="3478" t="e">
        <f>ROUND(PRODUCT(T41,AB7:AB40),0)</f>
        <v>#DIV/0!</v>
      </c>
      <c r="U42" s="3478"/>
      <c r="V42" s="3478" t="e">
        <f>ROUND(PRODUCT(V41,AC7:AC40),0)</f>
        <v>#DIV/0!</v>
      </c>
      <c r="W42" s="347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390" t="str">
        <f>A43</f>
        <v>估价对象XX用房的比较价值（楼面单价，元/平方米）</v>
      </c>
      <c r="Q43" s="3391"/>
      <c r="R43" s="3479" t="e">
        <f>ROUND(IF(D42="简单平均",AVERAGE(R42:W42),R42*F42+T42*H42+V42*J42),0)</f>
        <v>#DIV/0!</v>
      </c>
      <c r="S43" s="3479"/>
      <c r="T43" s="3479"/>
      <c r="U43" s="3479"/>
      <c r="V43" s="3479"/>
      <c r="W43" s="347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01" t="s">
        <v>1887</v>
      </c>
      <c r="H50" s="348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3281.85</v>
      </c>
      <c r="F51" s="611" t="e">
        <f t="shared" ref="F51:F60" si="15">ROUND(B51*E51/10000,0)</f>
        <v>#DIV/0!</v>
      </c>
      <c r="G51" s="3459"/>
      <c r="H51" s="338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8" t="s">
        <v>2084</v>
      </c>
      <c r="D1" s="3489"/>
      <c r="E1" s="3489"/>
      <c r="F1" s="3489"/>
      <c r="G1" s="3489"/>
      <c r="H1" s="3489"/>
      <c r="I1" s="3489"/>
      <c r="J1" s="3489"/>
      <c r="K1" s="3489"/>
      <c r="L1" s="3489"/>
      <c r="M1" s="3489"/>
      <c r="N1" s="3489"/>
      <c r="O1" s="3489"/>
      <c r="P1" s="3489"/>
      <c r="Q1" s="3489"/>
      <c r="R1" s="3489"/>
      <c r="S1" s="349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684</v>
      </c>
      <c r="C2" s="1984" t="s">
        <v>2074</v>
      </c>
      <c r="D2" s="1984" t="s">
        <v>2075</v>
      </c>
      <c r="E2" s="2398">
        <f ca="1">SUMIF(E6:E13,"&lt;&gt;#ref!",E6:E13)</f>
        <v>3830.64</v>
      </c>
      <c r="F2" s="2545"/>
      <c r="G2" s="2545"/>
      <c r="H2" s="2545"/>
      <c r="I2" s="2545"/>
      <c r="J2" s="2545"/>
      <c r="K2" s="2545"/>
      <c r="L2" s="2545"/>
      <c r="M2" s="2545"/>
      <c r="N2" s="2545"/>
      <c r="O2" s="2545"/>
      <c r="P2" s="2545"/>
    </row>
    <row r="3" spans="1:16" ht="15.6">
      <c r="A3" s="1984" t="s">
        <v>2076</v>
      </c>
      <c r="B3" s="2388">
        <f ca="1">ROUND(B2*10000/E2,0)</f>
        <v>1786</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684</v>
      </c>
      <c r="C6" s="1984" t="s">
        <v>2074</v>
      </c>
      <c r="D6" s="2545"/>
      <c r="E6" s="2398">
        <f ca="1">SUMIF(INDIRECT("'"&amp;A6&amp;"'"&amp;"!C:C"),"建筑面积",INDIRECT("'"&amp;A6&amp;"'"&amp;"!D:D"))</f>
        <v>3830.64</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02" t="s">
        <v>2607</v>
      </c>
      <c r="B20" s="3495" t="s">
        <v>2628</v>
      </c>
      <c r="C20" s="3169" t="s">
        <v>2439</v>
      </c>
      <c r="D20" s="3169"/>
      <c r="E20" s="2845">
        <v>1</v>
      </c>
      <c r="F20" s="2846" t="s">
        <v>2440</v>
      </c>
      <c r="G20" s="2846"/>
    </row>
    <row r="21" spans="1:13" ht="19.5" customHeight="1">
      <c r="A21" s="3503"/>
      <c r="B21" s="3491"/>
      <c r="C21" s="2858" t="s">
        <v>2441</v>
      </c>
      <c r="D21" s="2858"/>
      <c r="E21" s="2849">
        <v>1</v>
      </c>
      <c r="F21" s="2846" t="s">
        <v>2442</v>
      </c>
      <c r="G21" s="2846"/>
    </row>
    <row r="22" spans="1:13" ht="19.5" customHeight="1">
      <c r="A22" s="3503"/>
      <c r="B22" s="3491"/>
      <c r="C22" s="2858" t="s">
        <v>2443</v>
      </c>
      <c r="D22" s="2858"/>
      <c r="E22" s="2849">
        <v>0.9</v>
      </c>
      <c r="F22" s="2846" t="s">
        <v>2444</v>
      </c>
      <c r="G22" s="2846"/>
    </row>
    <row r="23" spans="1:13" ht="19.5" customHeight="1">
      <c r="A23" s="3503"/>
      <c r="B23" s="3491"/>
      <c r="C23" s="2858" t="s">
        <v>2445</v>
      </c>
      <c r="D23" s="2858"/>
      <c r="E23" s="2849">
        <v>0.9</v>
      </c>
      <c r="F23" s="2846" t="s">
        <v>2446</v>
      </c>
      <c r="G23" s="2846"/>
    </row>
    <row r="24" spans="1:13" ht="19.5" customHeight="1">
      <c r="A24" s="3503"/>
      <c r="B24" s="3491"/>
      <c r="C24" s="2858" t="s">
        <v>2447</v>
      </c>
      <c r="D24" s="2858"/>
      <c r="E24" s="2849">
        <v>0.8</v>
      </c>
      <c r="F24" s="2846" t="s">
        <v>2448</v>
      </c>
      <c r="G24" s="2846"/>
    </row>
    <row r="25" spans="1:13" ht="19.5" customHeight="1">
      <c r="A25" s="3503"/>
      <c r="B25" s="3491"/>
      <c r="C25" s="2858" t="s">
        <v>2449</v>
      </c>
      <c r="D25" s="2858"/>
      <c r="E25" s="2849">
        <v>0.8</v>
      </c>
      <c r="F25" s="2846"/>
      <c r="G25" s="2846"/>
    </row>
    <row r="26" spans="1:13" ht="19.5" customHeight="1">
      <c r="A26" s="3503"/>
      <c r="B26" s="3491"/>
      <c r="C26" s="2858" t="s">
        <v>3410</v>
      </c>
      <c r="D26" s="2858"/>
      <c r="E26" s="2849">
        <v>0.43</v>
      </c>
      <c r="F26" s="2846"/>
      <c r="G26" s="2846"/>
    </row>
    <row r="27" spans="1:13" ht="19.5" customHeight="1" thickBot="1">
      <c r="A27" s="3504"/>
      <c r="B27" s="3496"/>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97" t="s">
        <v>2631</v>
      </c>
      <c r="B29" s="3500" t="s">
        <v>2612</v>
      </c>
      <c r="C29" s="2843" t="s">
        <v>2452</v>
      </c>
      <c r="D29" s="2844"/>
      <c r="E29" s="2845">
        <v>1</v>
      </c>
      <c r="F29" s="2846" t="s">
        <v>2453</v>
      </c>
      <c r="G29" s="2846"/>
    </row>
    <row r="30" spans="1:13" ht="19.5" customHeight="1">
      <c r="A30" s="3498"/>
      <c r="B30" s="3494"/>
      <c r="C30" s="2847" t="s">
        <v>2454</v>
      </c>
      <c r="D30" s="2848"/>
      <c r="E30" s="2849">
        <v>1</v>
      </c>
      <c r="F30" s="2846" t="s">
        <v>2455</v>
      </c>
      <c r="G30" s="2846"/>
    </row>
    <row r="31" spans="1:13" ht="19.5" customHeight="1">
      <c r="A31" s="3498"/>
      <c r="B31" s="3494"/>
      <c r="C31" s="2847" t="s">
        <v>2456</v>
      </c>
      <c r="D31" s="2848"/>
      <c r="E31" s="2849">
        <v>0.8</v>
      </c>
      <c r="F31" s="2846" t="s">
        <v>2457</v>
      </c>
      <c r="G31" s="2846"/>
    </row>
    <row r="32" spans="1:13" ht="19.5" customHeight="1">
      <c r="A32" s="3498"/>
      <c r="B32" s="3494"/>
      <c r="C32" s="2847" t="s">
        <v>2458</v>
      </c>
      <c r="D32" s="2848"/>
      <c r="E32" s="2849">
        <v>0.8</v>
      </c>
      <c r="F32" s="2846" t="s">
        <v>2459</v>
      </c>
      <c r="G32" s="2846"/>
    </row>
    <row r="33" spans="1:7" ht="19.5" customHeight="1">
      <c r="A33" s="3498"/>
      <c r="B33" s="3494"/>
      <c r="C33" s="2847" t="s">
        <v>2460</v>
      </c>
      <c r="D33" s="2848"/>
      <c r="E33" s="2849">
        <v>0.8</v>
      </c>
      <c r="F33" s="2846" t="s">
        <v>2461</v>
      </c>
      <c r="G33" s="2846"/>
    </row>
    <row r="34" spans="1:7" ht="19.5" customHeight="1">
      <c r="A34" s="3498"/>
      <c r="B34" s="3494"/>
      <c r="C34" s="2847" t="s">
        <v>2462</v>
      </c>
      <c r="D34" s="2848"/>
      <c r="E34" s="2849">
        <v>0.7</v>
      </c>
      <c r="F34" s="2846" t="s">
        <v>2463</v>
      </c>
      <c r="G34" s="2846"/>
    </row>
    <row r="35" spans="1:7" ht="19.5" customHeight="1">
      <c r="A35" s="3498"/>
      <c r="B35" s="3494"/>
      <c r="C35" s="2847" t="s">
        <v>2464</v>
      </c>
      <c r="D35" s="2848"/>
      <c r="E35" s="2849">
        <v>0.8</v>
      </c>
      <c r="F35" s="2846" t="s">
        <v>2465</v>
      </c>
      <c r="G35" s="2846"/>
    </row>
    <row r="36" spans="1:7" ht="19.5" customHeight="1">
      <c r="A36" s="3498"/>
      <c r="B36" s="3494"/>
      <c r="C36" s="2847" t="s">
        <v>2466</v>
      </c>
      <c r="D36" s="2848"/>
      <c r="E36" s="2849">
        <v>0.6</v>
      </c>
      <c r="F36" s="2846" t="s">
        <v>2467</v>
      </c>
      <c r="G36" s="2846"/>
    </row>
    <row r="37" spans="1:7" ht="19.5" customHeight="1">
      <c r="A37" s="3498"/>
      <c r="B37" s="3494"/>
      <c r="C37" s="2847" t="s">
        <v>2468</v>
      </c>
      <c r="D37" s="2848"/>
      <c r="E37" s="2849">
        <v>0.2</v>
      </c>
      <c r="F37" s="2846" t="s">
        <v>2469</v>
      </c>
      <c r="G37" s="2846"/>
    </row>
    <row r="38" spans="1:7" ht="19.5" customHeight="1">
      <c r="A38" s="3498"/>
      <c r="B38" s="3494"/>
      <c r="C38" s="2847" t="s">
        <v>2470</v>
      </c>
      <c r="D38" s="2848"/>
      <c r="E38" s="2849">
        <v>0.2</v>
      </c>
      <c r="F38" s="2846" t="s">
        <v>2471</v>
      </c>
      <c r="G38" s="2846"/>
    </row>
    <row r="39" spans="1:7" ht="19.5" customHeight="1">
      <c r="A39" s="3498"/>
      <c r="B39" s="3492" t="s">
        <v>2632</v>
      </c>
      <c r="C39" s="2847" t="s">
        <v>2472</v>
      </c>
      <c r="D39" s="2848"/>
      <c r="E39" s="2849">
        <v>0.6</v>
      </c>
      <c r="F39" s="2846" t="s">
        <v>2473</v>
      </c>
      <c r="G39" s="2846"/>
    </row>
    <row r="40" spans="1:7" ht="19.5" customHeight="1">
      <c r="A40" s="3498"/>
      <c r="B40" s="3494"/>
      <c r="C40" s="2847" t="s">
        <v>2474</v>
      </c>
      <c r="D40" s="2848"/>
      <c r="E40" s="2849">
        <v>0.6</v>
      </c>
      <c r="F40" s="2846" t="s">
        <v>2475</v>
      </c>
      <c r="G40" s="2846"/>
    </row>
    <row r="41" spans="1:7" ht="19.5" customHeight="1" thickBot="1">
      <c r="A41" s="3499"/>
      <c r="B41" s="3501"/>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02" t="s">
        <v>2610</v>
      </c>
      <c r="B43" s="3500" t="s">
        <v>2634</v>
      </c>
      <c r="C43" s="2843" t="s">
        <v>2479</v>
      </c>
      <c r="D43" s="2844"/>
      <c r="E43" s="2845">
        <v>1</v>
      </c>
      <c r="F43" s="2846" t="s">
        <v>2480</v>
      </c>
      <c r="G43" s="2846"/>
    </row>
    <row r="44" spans="1:7" ht="19.5" customHeight="1">
      <c r="A44" s="3503"/>
      <c r="B44" s="3494"/>
      <c r="C44" s="2847" t="s">
        <v>2481</v>
      </c>
      <c r="D44" s="2848"/>
      <c r="E44" s="2849">
        <v>1</v>
      </c>
      <c r="F44" s="2846" t="s">
        <v>2482</v>
      </c>
      <c r="G44" s="2846"/>
    </row>
    <row r="45" spans="1:7" ht="19.5" customHeight="1">
      <c r="A45" s="3503"/>
      <c r="B45" s="3493"/>
      <c r="C45" s="2847" t="s">
        <v>2483</v>
      </c>
      <c r="D45" s="2848"/>
      <c r="E45" s="2849">
        <v>1.5</v>
      </c>
      <c r="F45" s="2846" t="s">
        <v>2484</v>
      </c>
      <c r="G45" s="2846"/>
    </row>
    <row r="46" spans="1:7" ht="19.5" customHeight="1">
      <c r="A46" s="3503"/>
      <c r="B46" s="2858" t="s">
        <v>2635</v>
      </c>
      <c r="C46" s="2847" t="s">
        <v>2636</v>
      </c>
      <c r="D46" s="2848"/>
      <c r="E46" s="2849">
        <v>2</v>
      </c>
      <c r="F46" s="2846" t="s">
        <v>2485</v>
      </c>
      <c r="G46" s="2846"/>
    </row>
    <row r="47" spans="1:7" ht="19.5" customHeight="1">
      <c r="A47" s="3503"/>
      <c r="B47" s="3492" t="s">
        <v>2637</v>
      </c>
      <c r="C47" s="2847" t="s">
        <v>2486</v>
      </c>
      <c r="D47" s="2848"/>
      <c r="E47" s="2849">
        <v>1</v>
      </c>
      <c r="F47" s="2846" t="s">
        <v>2487</v>
      </c>
      <c r="G47" s="2846"/>
    </row>
    <row r="48" spans="1:7" ht="19.5" customHeight="1">
      <c r="A48" s="3503"/>
      <c r="B48" s="3494"/>
      <c r="C48" s="2847" t="s">
        <v>2488</v>
      </c>
      <c r="D48" s="2848"/>
      <c r="E48" s="2849">
        <v>1</v>
      </c>
      <c r="F48" s="2846" t="s">
        <v>2489</v>
      </c>
      <c r="G48" s="2846"/>
    </row>
    <row r="49" spans="1:7" ht="19.5" customHeight="1">
      <c r="A49" s="3503"/>
      <c r="B49" s="3494"/>
      <c r="C49" s="2847" t="s">
        <v>2490</v>
      </c>
      <c r="D49" s="2848"/>
      <c r="E49" s="2849">
        <v>1</v>
      </c>
      <c r="F49" s="2846" t="s">
        <v>2491</v>
      </c>
      <c r="G49" s="2846"/>
    </row>
    <row r="50" spans="1:7" ht="19.5" customHeight="1">
      <c r="A50" s="3503"/>
      <c r="B50" s="3494"/>
      <c r="C50" s="2847" t="s">
        <v>2492</v>
      </c>
      <c r="D50" s="2848"/>
      <c r="E50" s="2849">
        <v>1</v>
      </c>
      <c r="F50" s="2846" t="s">
        <v>2493</v>
      </c>
      <c r="G50" s="2846"/>
    </row>
    <row r="51" spans="1:7" ht="19.5" customHeight="1">
      <c r="A51" s="3503"/>
      <c r="B51" s="3494"/>
      <c r="C51" s="2847" t="s">
        <v>2494</v>
      </c>
      <c r="D51" s="2848"/>
      <c r="E51" s="2849">
        <v>1</v>
      </c>
      <c r="F51" s="2846" t="s">
        <v>2495</v>
      </c>
      <c r="G51" s="2846"/>
    </row>
    <row r="52" spans="1:7" ht="19.5" customHeight="1">
      <c r="A52" s="3503"/>
      <c r="B52" s="3494"/>
      <c r="C52" s="2847" t="s">
        <v>2496</v>
      </c>
      <c r="D52" s="2848"/>
      <c r="E52" s="2849">
        <v>1</v>
      </c>
      <c r="F52" s="2846" t="s">
        <v>2497</v>
      </c>
      <c r="G52" s="2846"/>
    </row>
    <row r="53" spans="1:7" ht="19.5" customHeight="1" thickBot="1">
      <c r="A53" s="3504"/>
      <c r="B53" s="3501"/>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4">
      <c r="A74" s="2858"/>
      <c r="B74" s="2858"/>
      <c r="C74" s="2858" t="s">
        <v>2650</v>
      </c>
      <c r="D74" s="2858"/>
      <c r="E74" s="2858" t="s">
        <v>2621</v>
      </c>
      <c r="F74" s="2858" t="s">
        <v>2621</v>
      </c>
    </row>
    <row r="75" spans="1:7" ht="14.4">
      <c r="A75" s="2858">
        <v>1</v>
      </c>
      <c r="B75" s="3492" t="s">
        <v>2651</v>
      </c>
      <c r="C75" s="2832" t="s">
        <v>2652</v>
      </c>
      <c r="D75" s="2832" t="s">
        <v>2653</v>
      </c>
      <c r="E75" s="2858">
        <v>0.2</v>
      </c>
      <c r="F75" s="2858">
        <v>25</v>
      </c>
    </row>
    <row r="76" spans="1:7" ht="24">
      <c r="A76" s="2858">
        <v>2</v>
      </c>
      <c r="B76" s="3494"/>
      <c r="C76" s="2832" t="s">
        <v>2654</v>
      </c>
      <c r="D76" s="2832" t="s">
        <v>2655</v>
      </c>
      <c r="E76" s="2858">
        <v>0.2</v>
      </c>
      <c r="F76" s="2858">
        <v>25</v>
      </c>
    </row>
    <row r="77" spans="1:7" ht="24">
      <c r="A77" s="2858">
        <v>3</v>
      </c>
      <c r="B77" s="3494"/>
      <c r="C77" s="2832" t="s">
        <v>2656</v>
      </c>
      <c r="D77" s="2832" t="s">
        <v>2657</v>
      </c>
      <c r="E77" s="2858">
        <v>0.2</v>
      </c>
      <c r="F77" s="2858">
        <v>25</v>
      </c>
    </row>
    <row r="78" spans="1:7" ht="14.4">
      <c r="A78" s="2858">
        <v>4</v>
      </c>
      <c r="B78" s="3494"/>
      <c r="C78" s="2832" t="s">
        <v>2658</v>
      </c>
      <c r="D78" s="2832" t="s">
        <v>2659</v>
      </c>
      <c r="E78" s="2858">
        <v>0.15</v>
      </c>
      <c r="F78" s="2858">
        <v>20</v>
      </c>
    </row>
    <row r="79" spans="1:7" ht="24">
      <c r="A79" s="2858">
        <v>5</v>
      </c>
      <c r="B79" s="3494"/>
      <c r="C79" s="2832" t="s">
        <v>2660</v>
      </c>
      <c r="D79" s="2832" t="s">
        <v>2661</v>
      </c>
      <c r="E79" s="2858">
        <v>0.15</v>
      </c>
      <c r="F79" s="2858">
        <v>20</v>
      </c>
    </row>
    <row r="80" spans="1:7" ht="24">
      <c r="A80" s="2858">
        <v>6</v>
      </c>
      <c r="B80" s="3494"/>
      <c r="C80" s="2832" t="s">
        <v>2662</v>
      </c>
      <c r="D80" s="2832" t="s">
        <v>2663</v>
      </c>
      <c r="E80" s="2858">
        <v>0.15</v>
      </c>
      <c r="F80" s="2858">
        <v>20</v>
      </c>
    </row>
    <row r="81" spans="1:6" ht="24">
      <c r="A81" s="2858">
        <v>7</v>
      </c>
      <c r="B81" s="3494"/>
      <c r="C81" s="2832" t="s">
        <v>2664</v>
      </c>
      <c r="D81" s="2832" t="s">
        <v>2665</v>
      </c>
      <c r="E81" s="2858">
        <v>0.15</v>
      </c>
      <c r="F81" s="2858">
        <v>20</v>
      </c>
    </row>
    <row r="82" spans="1:6" ht="24">
      <c r="A82" s="2858">
        <v>8</v>
      </c>
      <c r="B82" s="3494"/>
      <c r="C82" s="2832" t="s">
        <v>2666</v>
      </c>
      <c r="D82" s="2832" t="s">
        <v>2667</v>
      </c>
      <c r="E82" s="2858">
        <v>0.1</v>
      </c>
      <c r="F82" s="2858">
        <v>15</v>
      </c>
    </row>
    <row r="83" spans="1:6" ht="24">
      <c r="A83" s="2858">
        <v>9</v>
      </c>
      <c r="B83" s="3494"/>
      <c r="C83" s="2832" t="s">
        <v>2668</v>
      </c>
      <c r="D83" s="2832" t="s">
        <v>2669</v>
      </c>
      <c r="E83" s="2858">
        <v>0.1</v>
      </c>
      <c r="F83" s="2858">
        <v>15</v>
      </c>
    </row>
    <row r="84" spans="1:6" ht="24">
      <c r="A84" s="2858">
        <v>10</v>
      </c>
      <c r="B84" s="3494"/>
      <c r="C84" s="2832" t="s">
        <v>2670</v>
      </c>
      <c r="D84" s="2832" t="s">
        <v>2671</v>
      </c>
      <c r="E84" s="2858">
        <v>0.1</v>
      </c>
      <c r="F84" s="2858">
        <v>15</v>
      </c>
    </row>
    <row r="85" spans="1:6" ht="24">
      <c r="A85" s="2858">
        <v>11</v>
      </c>
      <c r="B85" s="3494"/>
      <c r="C85" s="2832" t="s">
        <v>2672</v>
      </c>
      <c r="D85" s="2832" t="s">
        <v>2673</v>
      </c>
      <c r="E85" s="2858">
        <v>0.1</v>
      </c>
      <c r="F85" s="2858">
        <v>15</v>
      </c>
    </row>
    <row r="86" spans="1:6" ht="24">
      <c r="A86" s="2858">
        <v>12</v>
      </c>
      <c r="B86" s="3494"/>
      <c r="C86" s="2832" t="s">
        <v>2674</v>
      </c>
      <c r="D86" s="2832" t="s">
        <v>2675</v>
      </c>
      <c r="E86" s="2858">
        <v>0.1</v>
      </c>
      <c r="F86" s="2858">
        <v>15</v>
      </c>
    </row>
    <row r="87" spans="1:6" ht="24">
      <c r="A87" s="2858">
        <v>13</v>
      </c>
      <c r="B87" s="3494"/>
      <c r="C87" s="2832" t="s">
        <v>2676</v>
      </c>
      <c r="D87" s="2832" t="s">
        <v>2677</v>
      </c>
      <c r="E87" s="2858">
        <v>0.1</v>
      </c>
      <c r="F87" s="2858">
        <v>15</v>
      </c>
    </row>
    <row r="88" spans="1:6" ht="24">
      <c r="A88" s="2858">
        <v>14</v>
      </c>
      <c r="B88" s="3494"/>
      <c r="C88" s="2832" t="s">
        <v>2678</v>
      </c>
      <c r="D88" s="2832" t="s">
        <v>2679</v>
      </c>
      <c r="E88" s="2858">
        <v>0.1</v>
      </c>
      <c r="F88" s="2858">
        <v>15</v>
      </c>
    </row>
    <row r="89" spans="1:6" ht="24">
      <c r="A89" s="2858">
        <v>15</v>
      </c>
      <c r="B89" s="3494"/>
      <c r="C89" s="2832" t="s">
        <v>2680</v>
      </c>
      <c r="D89" s="2832" t="s">
        <v>2681</v>
      </c>
      <c r="E89" s="2858">
        <v>0.1</v>
      </c>
      <c r="F89" s="2858">
        <v>15</v>
      </c>
    </row>
    <row r="90" spans="1:6" ht="24">
      <c r="A90" s="2858">
        <v>16</v>
      </c>
      <c r="B90" s="3494"/>
      <c r="C90" s="2832" t="s">
        <v>2682</v>
      </c>
      <c r="D90" s="2832" t="s">
        <v>2683</v>
      </c>
      <c r="E90" s="2858">
        <v>0.1</v>
      </c>
      <c r="F90" s="2858">
        <v>15</v>
      </c>
    </row>
    <row r="91" spans="1:6" ht="24">
      <c r="A91" s="2858">
        <v>17</v>
      </c>
      <c r="B91" s="3493"/>
      <c r="C91" s="2832" t="s">
        <v>2684</v>
      </c>
      <c r="D91" s="2832" t="s">
        <v>2685</v>
      </c>
      <c r="E91" s="2858">
        <v>0.1</v>
      </c>
      <c r="F91" s="2858">
        <v>15</v>
      </c>
    </row>
    <row r="92" spans="1:6" ht="14.4">
      <c r="A92" s="2858">
        <v>18</v>
      </c>
      <c r="B92" s="3492" t="s">
        <v>2686</v>
      </c>
      <c r="C92" s="2832" t="s">
        <v>2687</v>
      </c>
      <c r="D92" s="2832" t="s">
        <v>2688</v>
      </c>
      <c r="E92" s="2858">
        <v>0.2</v>
      </c>
      <c r="F92" s="2858">
        <v>25</v>
      </c>
    </row>
    <row r="93" spans="1:6" ht="24">
      <c r="A93" s="2858">
        <v>19</v>
      </c>
      <c r="B93" s="3494"/>
      <c r="C93" s="2832" t="s">
        <v>2689</v>
      </c>
      <c r="D93" s="2832" t="s">
        <v>2690</v>
      </c>
      <c r="E93" s="2858">
        <v>0.2</v>
      </c>
      <c r="F93" s="2858">
        <v>25</v>
      </c>
    </row>
    <row r="94" spans="1:6" ht="14.4">
      <c r="A94" s="2858">
        <v>20</v>
      </c>
      <c r="B94" s="3494"/>
      <c r="C94" s="2832" t="s">
        <v>2691</v>
      </c>
      <c r="D94" s="2832" t="s">
        <v>2692</v>
      </c>
      <c r="E94" s="2858">
        <v>0.15</v>
      </c>
      <c r="F94" s="2858">
        <v>20</v>
      </c>
    </row>
    <row r="95" spans="1:6" ht="24">
      <c r="A95" s="2858">
        <v>21</v>
      </c>
      <c r="B95" s="3494"/>
      <c r="C95" s="2832" t="s">
        <v>2693</v>
      </c>
      <c r="D95" s="2832" t="s">
        <v>2694</v>
      </c>
      <c r="E95" s="2858">
        <v>0.15</v>
      </c>
      <c r="F95" s="2858">
        <v>20</v>
      </c>
    </row>
    <row r="96" spans="1:6" ht="24">
      <c r="A96" s="2858">
        <v>22</v>
      </c>
      <c r="B96" s="3494"/>
      <c r="C96" s="2832" t="s">
        <v>2695</v>
      </c>
      <c r="D96" s="2832" t="s">
        <v>2696</v>
      </c>
      <c r="E96" s="2858">
        <v>0.15</v>
      </c>
      <c r="F96" s="2858">
        <v>20</v>
      </c>
    </row>
    <row r="97" spans="1:6" ht="36">
      <c r="A97" s="2858">
        <v>23</v>
      </c>
      <c r="B97" s="3494"/>
      <c r="C97" s="2832" t="s">
        <v>2697</v>
      </c>
      <c r="D97" s="2832" t="s">
        <v>2698</v>
      </c>
      <c r="E97" s="2858">
        <v>0.15</v>
      </c>
      <c r="F97" s="2858">
        <v>20</v>
      </c>
    </row>
    <row r="98" spans="1:6" ht="24">
      <c r="A98" s="2858">
        <v>24</v>
      </c>
      <c r="B98" s="3494"/>
      <c r="C98" s="2832" t="s">
        <v>2699</v>
      </c>
      <c r="D98" s="2832" t="s">
        <v>2700</v>
      </c>
      <c r="E98" s="2858">
        <v>0.1</v>
      </c>
      <c r="F98" s="2858">
        <v>15</v>
      </c>
    </row>
    <row r="99" spans="1:6" ht="24">
      <c r="A99" s="2858">
        <v>25</v>
      </c>
      <c r="B99" s="3494"/>
      <c r="C99" s="2832" t="s">
        <v>2701</v>
      </c>
      <c r="D99" s="2832" t="s">
        <v>2702</v>
      </c>
      <c r="E99" s="2858">
        <v>0.1</v>
      </c>
      <c r="F99" s="2858">
        <v>15</v>
      </c>
    </row>
    <row r="100" spans="1:6" ht="24">
      <c r="A100" s="2858">
        <v>26</v>
      </c>
      <c r="B100" s="3494"/>
      <c r="C100" s="2832" t="s">
        <v>2703</v>
      </c>
      <c r="D100" s="2832" t="s">
        <v>2704</v>
      </c>
      <c r="E100" s="2858">
        <v>0.1</v>
      </c>
      <c r="F100" s="2858">
        <v>15</v>
      </c>
    </row>
    <row r="101" spans="1:6" ht="24">
      <c r="A101" s="2858">
        <v>27</v>
      </c>
      <c r="B101" s="3494"/>
      <c r="C101" s="2832" t="s">
        <v>2705</v>
      </c>
      <c r="D101" s="2832" t="s">
        <v>2706</v>
      </c>
      <c r="E101" s="2858">
        <v>0.1</v>
      </c>
      <c r="F101" s="2858">
        <v>15</v>
      </c>
    </row>
    <row r="102" spans="1:6" ht="24">
      <c r="A102" s="2858">
        <v>28</v>
      </c>
      <c r="B102" s="3494"/>
      <c r="C102" s="2832" t="s">
        <v>2707</v>
      </c>
      <c r="D102" s="2832" t="s">
        <v>2708</v>
      </c>
      <c r="E102" s="2858">
        <v>0.1</v>
      </c>
      <c r="F102" s="2858">
        <v>15</v>
      </c>
    </row>
    <row r="103" spans="1:6" ht="24">
      <c r="A103" s="2858">
        <v>29</v>
      </c>
      <c r="B103" s="3494"/>
      <c r="C103" s="2832" t="s">
        <v>2709</v>
      </c>
      <c r="D103" s="2832" t="s">
        <v>2710</v>
      </c>
      <c r="E103" s="2858">
        <v>0.1</v>
      </c>
      <c r="F103" s="2858">
        <v>15</v>
      </c>
    </row>
    <row r="104" spans="1:6" ht="24">
      <c r="A104" s="2858">
        <v>30</v>
      </c>
      <c r="B104" s="3494"/>
      <c r="C104" s="2832" t="s">
        <v>2711</v>
      </c>
      <c r="D104" s="2832" t="s">
        <v>2712</v>
      </c>
      <c r="E104" s="2858">
        <v>0.1</v>
      </c>
      <c r="F104" s="2858">
        <v>15</v>
      </c>
    </row>
    <row r="105" spans="1:6" ht="24">
      <c r="A105" s="2858">
        <v>31</v>
      </c>
      <c r="B105" s="3494"/>
      <c r="C105" s="2832" t="s">
        <v>2713</v>
      </c>
      <c r="D105" s="2832" t="s">
        <v>2714</v>
      </c>
      <c r="E105" s="2858">
        <v>0.1</v>
      </c>
      <c r="F105" s="2858">
        <v>15</v>
      </c>
    </row>
    <row r="106" spans="1:6" ht="24">
      <c r="A106" s="2858">
        <v>32</v>
      </c>
      <c r="B106" s="3494"/>
      <c r="C106" s="2832" t="s">
        <v>2715</v>
      </c>
      <c r="D106" s="2832" t="s">
        <v>2716</v>
      </c>
      <c r="E106" s="2858">
        <v>0.1</v>
      </c>
      <c r="F106" s="2858">
        <v>15</v>
      </c>
    </row>
    <row r="107" spans="1:6" ht="24">
      <c r="A107" s="2858">
        <v>33</v>
      </c>
      <c r="B107" s="3494"/>
      <c r="C107" s="2832" t="s">
        <v>2717</v>
      </c>
      <c r="D107" s="2832" t="s">
        <v>2718</v>
      </c>
      <c r="E107" s="2858">
        <v>0.1</v>
      </c>
      <c r="F107" s="2858">
        <v>15</v>
      </c>
    </row>
    <row r="108" spans="1:6" ht="24">
      <c r="A108" s="2858">
        <v>34</v>
      </c>
      <c r="B108" s="3493"/>
      <c r="C108" s="2832" t="s">
        <v>2719</v>
      </c>
      <c r="D108" s="2832" t="s">
        <v>2720</v>
      </c>
      <c r="E108" s="2858">
        <v>0.1</v>
      </c>
      <c r="F108" s="2858">
        <v>15</v>
      </c>
    </row>
    <row r="109" spans="1:6" ht="36">
      <c r="A109" s="2858">
        <v>35</v>
      </c>
      <c r="B109" s="3492" t="s">
        <v>2721</v>
      </c>
      <c r="C109" s="2858" t="s">
        <v>2722</v>
      </c>
      <c r="D109" s="2832" t="s">
        <v>2723</v>
      </c>
      <c r="E109" s="2858">
        <v>0.15</v>
      </c>
      <c r="F109" s="2858">
        <v>20</v>
      </c>
    </row>
    <row r="110" spans="1:6" ht="24">
      <c r="A110" s="2858">
        <v>36</v>
      </c>
      <c r="B110" s="3494"/>
      <c r="C110" s="2858" t="s">
        <v>2724</v>
      </c>
      <c r="D110" s="2832" t="s">
        <v>2725</v>
      </c>
      <c r="E110" s="2858">
        <v>0.15</v>
      </c>
      <c r="F110" s="2858">
        <v>20</v>
      </c>
    </row>
    <row r="111" spans="1:6" ht="24">
      <c r="A111" s="2858">
        <v>37</v>
      </c>
      <c r="B111" s="3494"/>
      <c r="C111" s="2858" t="s">
        <v>2726</v>
      </c>
      <c r="D111" s="2832" t="s">
        <v>2727</v>
      </c>
      <c r="E111" s="2858">
        <v>0.15</v>
      </c>
      <c r="F111" s="2858">
        <v>20</v>
      </c>
    </row>
    <row r="112" spans="1:6" ht="24">
      <c r="A112" s="2858">
        <v>38</v>
      </c>
      <c r="B112" s="3494"/>
      <c r="C112" s="2858" t="s">
        <v>2728</v>
      </c>
      <c r="D112" s="2832" t="s">
        <v>2729</v>
      </c>
      <c r="E112" s="2858">
        <v>0.1</v>
      </c>
      <c r="F112" s="2858">
        <v>15</v>
      </c>
    </row>
    <row r="113" spans="1:6" ht="24">
      <c r="A113" s="2858">
        <v>39</v>
      </c>
      <c r="B113" s="3494"/>
      <c r="C113" s="2858" t="s">
        <v>2730</v>
      </c>
      <c r="D113" s="2832" t="s">
        <v>2731</v>
      </c>
      <c r="E113" s="2858">
        <v>0.1</v>
      </c>
      <c r="F113" s="2858">
        <v>15</v>
      </c>
    </row>
    <row r="114" spans="1:6" ht="24">
      <c r="A114" s="2858">
        <v>40</v>
      </c>
      <c r="B114" s="3493"/>
      <c r="C114" s="2858" t="s">
        <v>2732</v>
      </c>
      <c r="D114" s="2832" t="s">
        <v>2733</v>
      </c>
      <c r="E114" s="2858">
        <v>0.1</v>
      </c>
      <c r="F114" s="2858">
        <v>15</v>
      </c>
    </row>
    <row r="115" spans="1:6" ht="24">
      <c r="A115" s="2858">
        <v>41</v>
      </c>
      <c r="B115" s="3491" t="s">
        <v>2734</v>
      </c>
      <c r="C115" s="2858" t="s">
        <v>2735</v>
      </c>
      <c r="D115" s="2832" t="s">
        <v>2736</v>
      </c>
      <c r="E115" s="2858">
        <v>0.1</v>
      </c>
      <c r="F115" s="2858">
        <v>15</v>
      </c>
    </row>
    <row r="116" spans="1:6" ht="24">
      <c r="A116" s="2858">
        <v>42</v>
      </c>
      <c r="B116" s="3491"/>
      <c r="C116" s="2858" t="s">
        <v>2737</v>
      </c>
      <c r="D116" s="2832" t="s">
        <v>2738</v>
      </c>
      <c r="E116" s="2858">
        <v>0.1</v>
      </c>
      <c r="F116" s="2858">
        <v>15</v>
      </c>
    </row>
    <row r="117" spans="1:6" ht="24">
      <c r="A117" s="2858">
        <v>43</v>
      </c>
      <c r="B117" s="3491"/>
      <c r="C117" s="2858" t="s">
        <v>2739</v>
      </c>
      <c r="D117" s="2832" t="s">
        <v>2740</v>
      </c>
      <c r="E117" s="2858">
        <v>0.1</v>
      </c>
      <c r="F117" s="2858">
        <v>15</v>
      </c>
    </row>
    <row r="118" spans="1:6" ht="24">
      <c r="A118" s="2858">
        <v>44</v>
      </c>
      <c r="B118" s="3492" t="s">
        <v>2741</v>
      </c>
      <c r="C118" s="2858" t="s">
        <v>2742</v>
      </c>
      <c r="D118" s="2832" t="s">
        <v>2743</v>
      </c>
      <c r="E118" s="2858">
        <v>0.1</v>
      </c>
      <c r="F118" s="2858">
        <v>15</v>
      </c>
    </row>
    <row r="119" spans="1:6" ht="24">
      <c r="A119" s="2858">
        <v>45</v>
      </c>
      <c r="B119" s="3493"/>
      <c r="C119" s="2832" t="s">
        <v>2744</v>
      </c>
      <c r="D119" s="2832" t="s">
        <v>2745</v>
      </c>
      <c r="E119" s="2858">
        <v>0.1</v>
      </c>
      <c r="F119" s="2858">
        <v>15</v>
      </c>
    </row>
    <row r="120" spans="1:6" ht="24">
      <c r="A120" s="2858">
        <v>46</v>
      </c>
      <c r="B120" s="3492" t="s">
        <v>2746</v>
      </c>
      <c r="C120" s="2858" t="s">
        <v>2747</v>
      </c>
      <c r="D120" s="2832" t="s">
        <v>2748</v>
      </c>
      <c r="E120" s="2858">
        <v>0.1</v>
      </c>
      <c r="F120" s="2858">
        <v>15</v>
      </c>
    </row>
    <row r="121" spans="1:6" ht="24">
      <c r="A121" s="2858">
        <v>47</v>
      </c>
      <c r="B121" s="3493"/>
      <c r="C121" s="2858" t="s">
        <v>2749</v>
      </c>
      <c r="D121" s="2832" t="s">
        <v>2750</v>
      </c>
      <c r="E121" s="2858">
        <v>0.1</v>
      </c>
      <c r="F121" s="2858">
        <v>15</v>
      </c>
    </row>
    <row r="122" spans="1:6" ht="24">
      <c r="A122" s="2858">
        <v>48</v>
      </c>
      <c r="B122" s="3492" t="s">
        <v>2751</v>
      </c>
      <c r="C122" s="2858" t="s">
        <v>2752</v>
      </c>
      <c r="D122" s="2832" t="s">
        <v>2753</v>
      </c>
      <c r="E122" s="2858">
        <v>0.1</v>
      </c>
      <c r="F122" s="2858">
        <v>15</v>
      </c>
    </row>
    <row r="123" spans="1:6" ht="24">
      <c r="A123" s="2858">
        <v>49</v>
      </c>
      <c r="B123" s="3493"/>
      <c r="C123" s="2858" t="s">
        <v>2754</v>
      </c>
      <c r="D123" s="2832" t="s">
        <v>2755</v>
      </c>
      <c r="E123" s="2858">
        <v>0.1</v>
      </c>
      <c r="F123" s="2858">
        <v>15</v>
      </c>
    </row>
    <row r="124" spans="1:6" ht="24">
      <c r="A124" s="2858">
        <v>50</v>
      </c>
      <c r="B124" s="3491" t="s">
        <v>2756</v>
      </c>
      <c r="C124" s="2858" t="s">
        <v>2757</v>
      </c>
      <c r="D124" s="2832" t="s">
        <v>2758</v>
      </c>
      <c r="E124" s="2858">
        <v>0.1</v>
      </c>
      <c r="F124" s="2858">
        <v>15</v>
      </c>
    </row>
    <row r="125" spans="1:6" ht="24">
      <c r="A125" s="2858">
        <v>51</v>
      </c>
      <c r="B125" s="3491"/>
      <c r="C125" s="2858" t="s">
        <v>2759</v>
      </c>
      <c r="D125" s="2832" t="s">
        <v>2760</v>
      </c>
      <c r="E125" s="2858">
        <v>0.1</v>
      </c>
      <c r="F125" s="2858">
        <v>15</v>
      </c>
    </row>
    <row r="126" spans="1:6" ht="24">
      <c r="A126" s="2858">
        <v>52</v>
      </c>
      <c r="B126" s="3491" t="s">
        <v>2761</v>
      </c>
      <c r="C126" s="2858" t="s">
        <v>2762</v>
      </c>
      <c r="D126" s="2832" t="s">
        <v>2763</v>
      </c>
      <c r="E126" s="2858">
        <v>0.1</v>
      </c>
      <c r="F126" s="2858">
        <v>15</v>
      </c>
    </row>
    <row r="127" spans="1:6" ht="24">
      <c r="A127" s="2858">
        <v>53</v>
      </c>
      <c r="B127" s="3491"/>
      <c r="C127" s="2858" t="s">
        <v>2764</v>
      </c>
      <c r="D127" s="2832" t="s">
        <v>2765</v>
      </c>
      <c r="E127" s="2858">
        <v>0.1</v>
      </c>
      <c r="F127" s="2858">
        <v>15</v>
      </c>
    </row>
    <row r="128" spans="1:6" ht="24">
      <c r="A128" s="2858">
        <v>54</v>
      </c>
      <c r="B128" s="2858" t="s">
        <v>2766</v>
      </c>
      <c r="C128" s="2858" t="s">
        <v>2767</v>
      </c>
      <c r="D128" s="2832" t="s">
        <v>2768</v>
      </c>
      <c r="E128" s="2858">
        <v>0.1</v>
      </c>
      <c r="F128" s="2858">
        <v>15</v>
      </c>
    </row>
    <row r="129" spans="1:6" ht="24">
      <c r="A129" s="2858">
        <v>55</v>
      </c>
      <c r="B129" s="3491" t="s">
        <v>2769</v>
      </c>
      <c r="C129" s="2858" t="s">
        <v>2770</v>
      </c>
      <c r="D129" s="2832" t="s">
        <v>2771</v>
      </c>
      <c r="E129" s="2858">
        <v>0.1</v>
      </c>
      <c r="F129" s="2858">
        <v>15</v>
      </c>
    </row>
    <row r="130" spans="1:6" ht="24">
      <c r="A130" s="2858">
        <v>56</v>
      </c>
      <c r="B130" s="3491"/>
      <c r="C130" s="2858" t="s">
        <v>2772</v>
      </c>
      <c r="D130" s="2832" t="s">
        <v>2773</v>
      </c>
      <c r="E130" s="2858">
        <v>0.1</v>
      </c>
      <c r="F130" s="2858">
        <v>15</v>
      </c>
    </row>
    <row r="131" spans="1:6" ht="24">
      <c r="A131" s="2858">
        <v>57</v>
      </c>
      <c r="B131" s="3491"/>
      <c r="C131" s="2858" t="s">
        <v>2774</v>
      </c>
      <c r="D131" s="2832" t="s">
        <v>2775</v>
      </c>
      <c r="E131" s="2858">
        <v>0.1</v>
      </c>
      <c r="F131" s="2858">
        <v>15</v>
      </c>
    </row>
    <row r="132" spans="1:6" ht="24">
      <c r="A132" s="2858">
        <v>58</v>
      </c>
      <c r="B132" s="3491" t="s">
        <v>2776</v>
      </c>
      <c r="C132" s="2858" t="s">
        <v>2777</v>
      </c>
      <c r="D132" s="2832" t="s">
        <v>2778</v>
      </c>
      <c r="E132" s="2858">
        <v>0.1</v>
      </c>
      <c r="F132" s="2858">
        <v>15</v>
      </c>
    </row>
    <row r="133" spans="1:6" ht="24">
      <c r="A133" s="2858">
        <v>59</v>
      </c>
      <c r="B133" s="3491"/>
      <c r="C133" s="2858" t="s">
        <v>2779</v>
      </c>
      <c r="D133" s="2832" t="s">
        <v>2780</v>
      </c>
      <c r="E133" s="2858">
        <v>0.1</v>
      </c>
      <c r="F133" s="2858">
        <v>15</v>
      </c>
    </row>
    <row r="134" spans="1:6" ht="24">
      <c r="A134" s="2858">
        <v>60</v>
      </c>
      <c r="B134" s="3492" t="s">
        <v>2781</v>
      </c>
      <c r="C134" s="2858" t="s">
        <v>2782</v>
      </c>
      <c r="D134" s="2832" t="s">
        <v>2783</v>
      </c>
      <c r="E134" s="2858">
        <v>0.1</v>
      </c>
      <c r="F134" s="2858">
        <v>15</v>
      </c>
    </row>
    <row r="135" spans="1:6" ht="24">
      <c r="A135" s="2858">
        <v>61</v>
      </c>
      <c r="B135" s="3493"/>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24">
      <c r="A137" s="2858">
        <v>63</v>
      </c>
      <c r="B137" s="3491" t="s">
        <v>2789</v>
      </c>
      <c r="C137" s="2858" t="s">
        <v>2790</v>
      </c>
      <c r="D137" s="2832" t="s">
        <v>2791</v>
      </c>
      <c r="E137" s="2858">
        <v>0.1</v>
      </c>
      <c r="F137" s="2858">
        <v>15</v>
      </c>
    </row>
    <row r="138" spans="1:6" ht="24">
      <c r="A138" s="2858">
        <v>64</v>
      </c>
      <c r="B138" s="3491"/>
      <c r="C138" s="2858" t="s">
        <v>2792</v>
      </c>
      <c r="D138" s="2832" t="s">
        <v>2793</v>
      </c>
      <c r="E138" s="2858">
        <v>0.1</v>
      </c>
      <c r="F138" s="2858">
        <v>15</v>
      </c>
    </row>
    <row r="139" spans="1:6" ht="24">
      <c r="A139" s="2858">
        <v>65</v>
      </c>
      <c r="B139" s="2858" t="s">
        <v>2794</v>
      </c>
      <c r="C139" s="2858" t="s">
        <v>2795</v>
      </c>
      <c r="D139" s="2832" t="s">
        <v>2796</v>
      </c>
      <c r="E139" s="2858">
        <v>0.1</v>
      </c>
      <c r="F139" s="2858">
        <v>15</v>
      </c>
    </row>
    <row r="140" spans="1:6" ht="14.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1.1748000000000001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1.1174999999999999</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28036</v>
      </c>
      <c r="C2" s="2" t="s">
        <v>106</v>
      </c>
      <c r="D2" s="191"/>
      <c r="E2" s="191"/>
      <c r="F2" s="191"/>
      <c r="G2" s="191"/>
    </row>
    <row r="3" spans="1:7" s="192" customFormat="1" ht="18" customHeight="1" thickBot="1">
      <c r="A3" s="195" t="s">
        <v>58</v>
      </c>
      <c r="B3" s="196">
        <f ca="1">ROUND(B2*10000/'数据-汇总表'!E3,0)</f>
        <v>73189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140</v>
      </c>
      <c r="F9" s="213"/>
      <c r="G9" s="218"/>
    </row>
    <row r="10" spans="1:7" s="206" customFormat="1" ht="13.5" customHeight="1">
      <c r="A10" s="733" t="s">
        <v>356</v>
      </c>
      <c r="B10" s="216" t="s">
        <v>67</v>
      </c>
      <c r="C10" s="217">
        <f>ROUND(D10*E10/10000,0)</f>
        <v>65</v>
      </c>
      <c r="D10" s="795">
        <f>'数据-汇总表'!E6</f>
        <v>3830.64</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77</v>
      </c>
      <c r="D19" s="204">
        <f>'数据-汇总表'!E3</f>
        <v>3830.64</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1328</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2110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26528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1512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1341</v>
      </c>
      <c r="D34" s="209"/>
      <c r="E34" s="212"/>
      <c r="F34" s="249">
        <f>IF('数据-取费表'!B24=0,1,'数据-取费表'!N16)</f>
        <v>1</v>
      </c>
      <c r="G34" s="211" t="s">
        <v>89</v>
      </c>
    </row>
    <row r="35" spans="1:7" ht="13.5" customHeight="1">
      <c r="A35" s="734" t="s">
        <v>351</v>
      </c>
      <c r="B35" s="207" t="s">
        <v>33</v>
      </c>
      <c r="C35" s="212">
        <f>ROUND(C34*F35,0)</f>
        <v>67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77</v>
      </c>
      <c r="D37" s="209">
        <f>'数据-汇总表'!E3</f>
        <v>3830.64</v>
      </c>
      <c r="E37" s="241">
        <f>'数据-取费表'!B35</f>
        <v>200</v>
      </c>
      <c r="F37" s="251"/>
      <c r="G37" s="253" t="s">
        <v>92</v>
      </c>
    </row>
    <row r="38" spans="1:7" ht="13.5" customHeight="1">
      <c r="A38" s="734" t="s">
        <v>354</v>
      </c>
      <c r="B38" s="207" t="s">
        <v>36</v>
      </c>
      <c r="C38" s="212">
        <f>ROUND(C34*F38,0)</f>
        <v>27</v>
      </c>
      <c r="D38" s="212"/>
      <c r="E38" s="212"/>
      <c r="F38" s="251">
        <f>'数据-取费表'!B36</f>
        <v>0.02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47</v>
      </c>
      <c r="D42" s="230"/>
      <c r="E42" s="230"/>
      <c r="F42" s="231"/>
      <c r="G42" s="3366" t="s">
        <v>94</v>
      </c>
    </row>
    <row r="43" spans="1:7" ht="13.5" customHeight="1">
      <c r="A43" s="734" t="s">
        <v>347</v>
      </c>
      <c r="B43" s="207" t="s">
        <v>426</v>
      </c>
      <c r="C43" s="230">
        <f ca="1">ROUND(IF('数据-取费表'!B22&lt;=1,C39*F22*'数据-取费表'!B21/2,C39*(POWER((1+F22),'数据-取费表'!B21/2)-1)),0)</f>
        <v>1</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154</v>
      </c>
      <c r="D45" s="227">
        <f>C47</f>
        <v>2E-3</v>
      </c>
      <c r="E45" s="228" t="s">
        <v>102</v>
      </c>
      <c r="F45" s="238"/>
      <c r="G45" s="239" t="s">
        <v>434</v>
      </c>
    </row>
    <row r="46" spans="1:7" s="206" customFormat="1" ht="13.5" customHeight="1">
      <c r="A46" s="734" t="s">
        <v>349</v>
      </c>
      <c r="B46" s="240" t="s">
        <v>427</v>
      </c>
      <c r="C46" s="241">
        <f>ROUND((C33+C39)*F27,0)</f>
        <v>154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1885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1508</v>
      </c>
      <c r="D51" s="224"/>
      <c r="E51" s="224"/>
      <c r="F51" s="256"/>
      <c r="G51" s="226" t="s">
        <v>37</v>
      </c>
    </row>
    <row r="52" spans="1:7" s="200" customFormat="1" ht="16.8" thickBot="1">
      <c r="A52" s="257" t="s">
        <v>38</v>
      </c>
      <c r="B52" s="258"/>
      <c r="C52" s="259">
        <f ca="1">C31+C51</f>
        <v>28036</v>
      </c>
      <c r="D52" s="258"/>
      <c r="E52" s="258"/>
      <c r="F52" s="258"/>
      <c r="G52" s="260"/>
    </row>
    <row r="55" spans="1:7" ht="15">
      <c r="B55" s="262" t="s">
        <v>39</v>
      </c>
      <c r="C55" s="263"/>
    </row>
    <row r="56" spans="1:7">
      <c r="B56" s="265" t="s">
        <v>40</v>
      </c>
      <c r="C56" s="266">
        <f ca="1">ROUND(C51/C52,3)</f>
        <v>5.3999999999999999E-2</v>
      </c>
    </row>
    <row r="57" spans="1:7">
      <c r="B57" s="265" t="s">
        <v>41</v>
      </c>
      <c r="C57" s="267">
        <f ca="1">1-C56</f>
        <v>0.94599999999999995</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1"/>
      <c r="B4" s="3188" t="s">
        <v>917</v>
      </c>
      <c r="C4" s="3188"/>
      <c r="D4" s="3188"/>
      <c r="E4" s="1391"/>
    </row>
    <row r="5" spans="1:5" ht="16.2" thickTop="1">
      <c r="B5" s="3186" t="s">
        <v>909</v>
      </c>
      <c r="C5" s="1392" t="s">
        <v>910</v>
      </c>
      <c r="D5" s="797">
        <f ca="1">结果表!H101</f>
        <v>4140</v>
      </c>
    </row>
    <row r="6" spans="1:5" ht="15.6">
      <c r="B6" s="3186"/>
      <c r="C6" s="1392" t="s">
        <v>911</v>
      </c>
      <c r="D6" s="797" t="str">
        <f ca="1">NUMBERSTRING(INT(D5*10000),2)&amp;"元整"</f>
        <v>肆仟壹佰肆拾万元整</v>
      </c>
    </row>
    <row r="7" spans="1:5" ht="15.6">
      <c r="B7" s="3191"/>
      <c r="C7" s="1393" t="s">
        <v>912</v>
      </c>
      <c r="D7" s="798">
        <f ca="1">结果表!H102</f>
        <v>10808</v>
      </c>
    </row>
    <row r="8" spans="1:5" ht="15.6">
      <c r="B8" s="3192" t="str">
        <f>结果表!E103</f>
        <v>2.估价师知悉的法定优先受偿款</v>
      </c>
      <c r="C8" s="1394" t="s">
        <v>913</v>
      </c>
      <c r="D8" s="798">
        <f>结果表!H103</f>
        <v>0</v>
      </c>
    </row>
    <row r="9" spans="1:5" ht="15.6">
      <c r="B9" s="319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5" t="str">
        <f>结果表!E107</f>
        <v>3.房地产抵押价值</v>
      </c>
      <c r="C13" s="1397" t="s">
        <v>910</v>
      </c>
      <c r="D13" s="800">
        <f ca="1">结果表!H107</f>
        <v>4140</v>
      </c>
    </row>
    <row r="14" spans="1:5" ht="15.6">
      <c r="B14" s="3186"/>
      <c r="C14" s="1392" t="s">
        <v>911</v>
      </c>
      <c r="D14" s="797" t="str">
        <f ca="1">NUMBERSTRING(INT(D13*10000),2)&amp;"元整"</f>
        <v>肆仟壹佰肆拾万元整</v>
      </c>
    </row>
    <row r="15" spans="1:5" ht="15.6">
      <c r="B15" s="3191"/>
      <c r="C15" s="1393" t="s">
        <v>921</v>
      </c>
      <c r="D15" s="806">
        <f ca="1">结果表!H108</f>
        <v>10808</v>
      </c>
    </row>
    <row r="16" spans="1:5" ht="15.6">
      <c r="B16" s="3192" t="str">
        <f>结果表!E109</f>
        <v>——</v>
      </c>
      <c r="C16" s="1397" t="s">
        <v>922</v>
      </c>
      <c r="D16" s="1398" t="str">
        <f>结果表!H109</f>
        <v>——</v>
      </c>
    </row>
    <row r="17" spans="1:5" ht="15.6">
      <c r="B17" s="3193"/>
      <c r="C17" s="1392" t="s">
        <v>923</v>
      </c>
      <c r="D17" s="797" t="e">
        <f>NUMBERSTRING(INT(D16*10000),2)&amp;"元整"</f>
        <v>#VALUE!</v>
      </c>
    </row>
    <row r="18" spans="1:5" ht="15.6">
      <c r="B18" s="3194"/>
      <c r="C18" s="1393" t="s">
        <v>912</v>
      </c>
      <c r="D18" s="806" t="str">
        <f>结果表!H110</f>
        <v>——</v>
      </c>
    </row>
    <row r="19" spans="1:5" ht="15.6">
      <c r="B19" s="3185" t="str">
        <f>结果表!E111</f>
        <v>——</v>
      </c>
      <c r="C19" s="1397" t="s">
        <v>910</v>
      </c>
      <c r="D19" s="798" t="str">
        <f>结果表!H111</f>
        <v>——</v>
      </c>
    </row>
    <row r="20" spans="1:5" ht="15.6">
      <c r="B20" s="3186"/>
      <c r="C20" s="1392" t="s">
        <v>923</v>
      </c>
      <c r="D20" s="797" t="e">
        <f>NUMBERSTRING(INT(D19*10000),2)&amp;"元整"</f>
        <v>#VALUE!</v>
      </c>
    </row>
    <row r="21" spans="1:5" ht="16.2" thickBot="1">
      <c r="B21" s="318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505" t="s">
        <v>3181</v>
      </c>
      <c r="B1" s="3505"/>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506" t="s">
        <v>3232</v>
      </c>
      <c r="B1" s="3506"/>
      <c r="C1" s="3506"/>
      <c r="D1" s="3506"/>
      <c r="E1" s="3506"/>
      <c r="F1" s="3507"/>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45902</v>
      </c>
      <c r="B1" s="2930" t="s">
        <v>3376</v>
      </c>
      <c r="C1" s="2931"/>
      <c r="D1" s="2931"/>
      <c r="E1" s="2931"/>
      <c r="F1" s="2931"/>
      <c r="G1" s="2931"/>
      <c r="H1" s="2931"/>
      <c r="I1" s="2931"/>
      <c r="J1" s="2897"/>
      <c r="K1" s="2931" t="s">
        <v>454</v>
      </c>
      <c r="L1" s="2931"/>
      <c r="M1" s="2931"/>
      <c r="N1" s="2931"/>
      <c r="O1" s="2931"/>
      <c r="P1" s="2931"/>
      <c r="Q1" s="2897"/>
      <c r="R1" s="3508" t="s">
        <v>456</v>
      </c>
      <c r="S1" s="3509"/>
      <c r="T1" s="3509"/>
      <c r="U1" s="3509"/>
      <c r="V1" s="3509"/>
      <c r="W1" s="3509"/>
      <c r="X1" s="2897"/>
      <c r="Y1" s="3508" t="s">
        <v>457</v>
      </c>
      <c r="Z1" s="3509"/>
      <c r="AA1" s="3509"/>
      <c r="AB1" s="3509"/>
      <c r="AC1" s="3509"/>
      <c r="AD1" s="3509"/>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3.2">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1.0680000000000001</v>
      </c>
      <c r="S5" s="2027">
        <f>ROUND(IF(项目基本情况!$B$8="出让",SUMPRODUCT(PRODUCT(1+L5:$L$24)),SUMPRODUCT(PRODUCT(1+L5:$L$23))),4)</f>
        <v>1.0290999999999999</v>
      </c>
      <c r="T5" s="2027">
        <f>ROUND(IF(项目基本情况!$B$8="出让",SUMPRODUCT(PRODUCT(1+M5:$M$24)),SUMPRODUCT(PRODUCT(1+M5:$M$23))),4)</f>
        <v>0.97850000000000004</v>
      </c>
      <c r="U5" s="2027">
        <f>ROUND(IF(项目基本情况!$B$8="出让",SUMPRODUCT(PRODUCT(1+N5:$N$24)),SUMPRODUCT(PRODUCT(1+N5:$N$23))),4)</f>
        <v>1.0807</v>
      </c>
      <c r="V5" s="2027">
        <f>ROUND(IF(项目基本情况!$B$8="出让",SUMPRODUCT(PRODUCT(1+O5:$O$24)),SUMPRODUCT(PRODUCT(1+O5:$O$23))),4)</f>
        <v>1.093</v>
      </c>
      <c r="W5" s="2027">
        <f t="shared" ref="W5:W11" si="11">T5</f>
        <v>0.97850000000000004</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106.80000000000001</v>
      </c>
      <c r="AG5" s="3154">
        <f t="shared" ref="AG5:AK5" si="18">$AF$24*S5</f>
        <v>102.91</v>
      </c>
      <c r="AH5" s="3154">
        <f t="shared" si="18"/>
        <v>97.850000000000009</v>
      </c>
      <c r="AI5" s="3154">
        <f t="shared" si="18"/>
        <v>108.07</v>
      </c>
      <c r="AJ5" s="3154">
        <f t="shared" si="18"/>
        <v>109.3</v>
      </c>
      <c r="AK5" s="3154">
        <f t="shared" si="18"/>
        <v>97.850000000000009</v>
      </c>
      <c r="AM5" s="3160">
        <v>100</v>
      </c>
      <c r="AN5" s="3160">
        <v>100</v>
      </c>
      <c r="AO5" s="3160">
        <v>100</v>
      </c>
      <c r="AP5" s="3160">
        <v>100</v>
      </c>
      <c r="AQ5" s="3160">
        <v>100</v>
      </c>
      <c r="AR5" s="3160">
        <v>100</v>
      </c>
    </row>
    <row r="6" spans="1:44" s="2045" customFormat="1" ht="13.2">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1.0680000000000001</v>
      </c>
      <c r="S6" s="2027">
        <f>ROUND(IF(项目基本情况!$B$8="出让",SUMPRODUCT(PRODUCT(1+L6:$L$24)),SUMPRODUCT(PRODUCT(1+L6:$L$23))),4)</f>
        <v>1.0290999999999999</v>
      </c>
      <c r="T6" s="2027">
        <f>ROUND(IF(项目基本情况!$B$8="出让",SUMPRODUCT(PRODUCT(1+M6:$M$24)),SUMPRODUCT(PRODUCT(1+M6:$M$23))),4)</f>
        <v>0.97850000000000004</v>
      </c>
      <c r="U6" s="2027">
        <f>ROUND(IF(项目基本情况!$B$8="出让",SUMPRODUCT(PRODUCT(1+N6:$N$24)),SUMPRODUCT(PRODUCT(1+N6:$N$23))),4)</f>
        <v>1.0807</v>
      </c>
      <c r="V6" s="2027">
        <f>ROUND(IF(项目基本情况!$B$8="出让",SUMPRODUCT(PRODUCT(1+O6:$O$24)),SUMPRODUCT(PRODUCT(1+O6:$O$23))),4)</f>
        <v>1.093</v>
      </c>
      <c r="W6" s="2027">
        <f t="shared" si="11"/>
        <v>0.97850000000000004</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106.80000000000001</v>
      </c>
      <c r="AG6" s="3154">
        <f t="shared" ref="AG6:AG23" si="31">$AF$24*S6</f>
        <v>102.91</v>
      </c>
      <c r="AH6" s="3154">
        <f t="shared" ref="AH6:AH23" si="32">$AF$24*T6</f>
        <v>97.850000000000009</v>
      </c>
      <c r="AI6" s="3154">
        <f t="shared" ref="AI6:AI23" si="33">$AF$24*U6</f>
        <v>108.07</v>
      </c>
      <c r="AJ6" s="3154">
        <f t="shared" ref="AJ6:AJ23" si="34">$AF$24*V6</f>
        <v>109.3</v>
      </c>
      <c r="AK6" s="3154">
        <f t="shared" ref="AK6:AK23" si="35">$AF$24*W6</f>
        <v>97.850000000000009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1.0680000000000001</v>
      </c>
      <c r="S7" s="2914">
        <f>ROUND(IF(项目基本情况!$B$8="出让",SUMPRODUCT(PRODUCT(1+L7:$L$24)),SUMPRODUCT(PRODUCT(1+L7:$L$23))),4)</f>
        <v>1.0290999999999999</v>
      </c>
      <c r="T7" s="2914">
        <f>ROUND(IF(项目基本情况!$B$8="出让",SUMPRODUCT(PRODUCT(1+M7:$M$24)),SUMPRODUCT(PRODUCT(1+M7:$M$23))),4)</f>
        <v>0.97850000000000004</v>
      </c>
      <c r="U7" s="2914">
        <f>ROUND(IF(项目基本情况!$B$8="出让",SUMPRODUCT(PRODUCT(1+N7:$N$24)),SUMPRODUCT(PRODUCT(1+N7:$N$23))),4)</f>
        <v>1.0807</v>
      </c>
      <c r="V7" s="2914">
        <f>ROUND(IF(项目基本情况!$B$8="出让",SUMPRODUCT(PRODUCT(1+O7:$O$24)),SUMPRODUCT(PRODUCT(1+O7:$O$23))),4)</f>
        <v>1.093</v>
      </c>
      <c r="W7" s="2914">
        <f t="shared" si="11"/>
        <v>0.97850000000000004</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106.80000000000001</v>
      </c>
      <c r="AG7" s="3155">
        <f t="shared" si="31"/>
        <v>102.91</v>
      </c>
      <c r="AH7" s="3155">
        <f t="shared" si="32"/>
        <v>97.850000000000009</v>
      </c>
      <c r="AI7" s="3155">
        <f t="shared" si="33"/>
        <v>108.07</v>
      </c>
      <c r="AJ7" s="3155">
        <f t="shared" si="34"/>
        <v>109.3</v>
      </c>
      <c r="AK7" s="3155">
        <f t="shared" si="35"/>
        <v>97.850000000000009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1.0674999999999999</v>
      </c>
      <c r="S8" s="2027">
        <f>ROUND(IF(项目基本情况!$B$8="出让",SUMPRODUCT(PRODUCT(1+L8:$L$24)),SUMPRODUCT(PRODUCT(1+L8:$L$23))),4)</f>
        <v>1.0355000000000001</v>
      </c>
      <c r="T8" s="2027">
        <f>ROUND(IF(项目基本情况!$B$8="出让",SUMPRODUCT(PRODUCT(1+M8:$M$24)),SUMPRODUCT(PRODUCT(1+M8:$M$23))),4)</f>
        <v>0.98880000000000001</v>
      </c>
      <c r="U8" s="2027">
        <f>ROUND(IF(项目基本情况!$B$8="出让",SUMPRODUCT(PRODUCT(1+N8:$N$24)),SUMPRODUCT(PRODUCT(1+N8:$N$23))),4)</f>
        <v>1.0798000000000001</v>
      </c>
      <c r="V8" s="2027">
        <f>ROUND(IF(项目基本情况!$B$8="出让",SUMPRODUCT(PRODUCT(1+O8:$O$24)),SUMPRODUCT(PRODUCT(1+O8:$O$23))),4)</f>
        <v>1.0911</v>
      </c>
      <c r="W8" s="2027">
        <f t="shared" si="11"/>
        <v>0.98880000000000001</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106.74999999999999</v>
      </c>
      <c r="AG8" s="3154">
        <f t="shared" si="31"/>
        <v>103.55000000000001</v>
      </c>
      <c r="AH8" s="3154">
        <f t="shared" si="32"/>
        <v>98.88</v>
      </c>
      <c r="AI8" s="3154">
        <f t="shared" si="33"/>
        <v>107.98</v>
      </c>
      <c r="AJ8" s="3154">
        <f t="shared" si="34"/>
        <v>109.11</v>
      </c>
      <c r="AK8" s="3154">
        <f t="shared" si="35"/>
        <v>98.88</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1.0613999999999999</v>
      </c>
      <c r="S9" s="2027">
        <f>ROUND(IF(项目基本情况!$B$8="出让",SUMPRODUCT(PRODUCT(1+L9:$L$24)),SUMPRODUCT(PRODUCT(1+L9:$L$23))),4)</f>
        <v>1.0415000000000001</v>
      </c>
      <c r="T9" s="2027">
        <f>ROUND(IF(项目基本情况!$B$8="出让",SUMPRODUCT(PRODUCT(1+M9:$M$24)),SUMPRODUCT(PRODUCT(1+M9:$M$23))),4)</f>
        <v>0.99780000000000002</v>
      </c>
      <c r="U9" s="2027">
        <f>ROUND(IF(项目基本情况!$B$8="出让",SUMPRODUCT(PRODUCT(1+N9:$N$24)),SUMPRODUCT(PRODUCT(1+N9:$N$23))),4)</f>
        <v>1.0678000000000001</v>
      </c>
      <c r="V9" s="2027">
        <f>ROUND(IF(项目基本情况!$B$8="出让",SUMPRODUCT(PRODUCT(1+O9:$O$24)),SUMPRODUCT(PRODUCT(1+O9:$O$23))),4)</f>
        <v>1.0866</v>
      </c>
      <c r="W9" s="2027">
        <f t="shared" si="11"/>
        <v>0.99780000000000002</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106.13999999999999</v>
      </c>
      <c r="AG9" s="3154">
        <f t="shared" si="31"/>
        <v>104.15</v>
      </c>
      <c r="AH9" s="3154">
        <f t="shared" si="32"/>
        <v>99.78</v>
      </c>
      <c r="AI9" s="3154">
        <f t="shared" si="33"/>
        <v>106.78</v>
      </c>
      <c r="AJ9" s="3154">
        <f t="shared" si="34"/>
        <v>108.66</v>
      </c>
      <c r="AK9" s="3154">
        <f t="shared" si="35"/>
        <v>99.78</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1.0723</v>
      </c>
      <c r="S10" s="2027">
        <f>ROUND(IF(项目基本情况!$B$8="出让",SUMPRODUCT(PRODUCT(1+L10:$L$24)),SUMPRODUCT(PRODUCT(1+L10:$L$23))),4)</f>
        <v>1.0465</v>
      </c>
      <c r="T10" s="2027">
        <f>ROUND(IF(项目基本情况!$B$8="出让",SUMPRODUCT(PRODUCT(1+M10:$M$24)),SUMPRODUCT(PRODUCT(1+M10:$M$23))),4)</f>
        <v>1.0054000000000001</v>
      </c>
      <c r="U10" s="2027">
        <f>ROUND(IF(项目基本情况!$B$8="出让",SUMPRODUCT(PRODUCT(1+N10:$N$24)),SUMPRODUCT(PRODUCT(1+N10:$N$23))),4)</f>
        <v>1.0790999999999999</v>
      </c>
      <c r="V10" s="2027">
        <f>ROUND(IF(项目基本情况!$B$8="出让",SUMPRODUCT(PRODUCT(1+O10:$O$24)),SUMPRODUCT(PRODUCT(1+O10:$O$23))),4)</f>
        <v>1.0857000000000001</v>
      </c>
      <c r="W10" s="2027">
        <f t="shared" si="11"/>
        <v>1.0054000000000001</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107.23</v>
      </c>
      <c r="AG10" s="3154">
        <f t="shared" si="31"/>
        <v>104.65</v>
      </c>
      <c r="AH10" s="3154">
        <f t="shared" si="32"/>
        <v>100.54</v>
      </c>
      <c r="AI10" s="3154">
        <f t="shared" si="33"/>
        <v>107.91</v>
      </c>
      <c r="AJ10" s="3154">
        <f t="shared" si="34"/>
        <v>108.57000000000001</v>
      </c>
      <c r="AK10" s="3154">
        <f t="shared" si="35"/>
        <v>100.54</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1.0852999999999999</v>
      </c>
      <c r="S11" s="2027">
        <f>ROUND(IF(项目基本情况!$B$8="出让",SUMPRODUCT(PRODUCT(1+L11:$L$24)),SUMPRODUCT(PRODUCT(1+L11:$L$23))),4)</f>
        <v>1.0513999999999999</v>
      </c>
      <c r="T11" s="2027">
        <f>ROUND(IF(项目基本情况!$B$8="出让",SUMPRODUCT(PRODUCT(1+M11:$M$24)),SUMPRODUCT(PRODUCT(1+M11:$M$23))),4)</f>
        <v>1.0083</v>
      </c>
      <c r="U11" s="2027">
        <f>ROUND(IF(项目基本情况!$B$8="出让",SUMPRODUCT(PRODUCT(1+N11:$N$24)),SUMPRODUCT(PRODUCT(1+N11:$N$23))),4)</f>
        <v>1.0871999999999999</v>
      </c>
      <c r="V11" s="2027">
        <f>ROUND(IF(项目基本情况!$B$8="出让",SUMPRODUCT(PRODUCT(1+O11:$O$24)),SUMPRODUCT(PRODUCT(1+O11:$O$23))),4)</f>
        <v>1.0880000000000001</v>
      </c>
      <c r="W11" s="2027">
        <f t="shared" si="11"/>
        <v>1.0083</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108.52999999999999</v>
      </c>
      <c r="AG11" s="3154">
        <f t="shared" si="31"/>
        <v>105.13999999999999</v>
      </c>
      <c r="AH11" s="3154">
        <f t="shared" si="32"/>
        <v>100.83</v>
      </c>
      <c r="AI11" s="3154">
        <f t="shared" si="33"/>
        <v>108.72</v>
      </c>
      <c r="AJ11" s="3154">
        <f t="shared" si="34"/>
        <v>108.80000000000001</v>
      </c>
      <c r="AK11" s="3154">
        <f t="shared" si="35"/>
        <v>100.83</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1.0916999999999999</v>
      </c>
      <c r="S12" s="2027">
        <f>ROUND(IF(项目基本情况!$B$8="出让",SUMPRODUCT(PRODUCT(1+L12:$L$24)),SUMPRODUCT(PRODUCT(1+L12:$L$23))),4)</f>
        <v>1.0537000000000001</v>
      </c>
      <c r="T12" s="2027">
        <f>ROUND(IF(项目基本情况!$B$8="出让",SUMPRODUCT(PRODUCT(1+M12:$M$24)),SUMPRODUCT(PRODUCT(1+M12:$M$23))),4)</f>
        <v>1.0224</v>
      </c>
      <c r="U12" s="2027">
        <f>ROUND(IF(项目基本情况!$B$8="出让",SUMPRODUCT(PRODUCT(1+N12:$N$24)),SUMPRODUCT(PRODUCT(1+N12:$N$23))),4)</f>
        <v>1.1008</v>
      </c>
      <c r="V12" s="2027">
        <f>ROUND(IF(项目基本情况!$B$8="出让",SUMPRODUCT(PRODUCT(1+O12:$O$24)),SUMPRODUCT(PRODUCT(1+O12:$O$23))),4)</f>
        <v>1.0843</v>
      </c>
      <c r="W12" s="2027">
        <f t="shared" ref="W12" si="97">T12</f>
        <v>1.0224</v>
      </c>
      <c r="X12" s="2907"/>
      <c r="Y12" s="2028"/>
      <c r="Z12" s="2028"/>
      <c r="AA12" s="2028"/>
      <c r="AB12" s="2028"/>
      <c r="AC12" s="2028"/>
      <c r="AD12" s="2028"/>
      <c r="AF12" s="3154">
        <f t="shared" si="30"/>
        <v>109.16999999999999</v>
      </c>
      <c r="AG12" s="3154">
        <f t="shared" si="31"/>
        <v>105.37</v>
      </c>
      <c r="AH12" s="3154">
        <f t="shared" si="32"/>
        <v>102.24</v>
      </c>
      <c r="AI12" s="3154">
        <f t="shared" si="33"/>
        <v>110.08</v>
      </c>
      <c r="AJ12" s="3154">
        <f t="shared" si="34"/>
        <v>108.43</v>
      </c>
      <c r="AK12" s="3154">
        <f t="shared" si="35"/>
        <v>102.24</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1.0908</v>
      </c>
      <c r="S13" s="2027">
        <f>ROUND(IF(项目基本情况!$B$8="出让",SUMPRODUCT(PRODUCT(1+L13:$L$24)),SUMPRODUCT(PRODUCT(1+L13:$L$23))),4)</f>
        <v>1.0488</v>
      </c>
      <c r="T13" s="2027">
        <f>ROUND(IF(项目基本情况!$B$8="出让",SUMPRODUCT(PRODUCT(1+M13:$M$24)),SUMPRODUCT(PRODUCT(1+M13:$M$23))),4)</f>
        <v>1.024</v>
      </c>
      <c r="U13" s="2027">
        <f>ROUND(IF(项目基本情况!$B$8="出让",SUMPRODUCT(PRODUCT(1+N13:$N$24)),SUMPRODUCT(PRODUCT(1+N13:$N$23))),4)</f>
        <v>1.0980000000000001</v>
      </c>
      <c r="V13" s="2027">
        <f>ROUND(IF(项目基本情况!$B$8="出让",SUMPRODUCT(PRODUCT(1+O13:$O$24)),SUMPRODUCT(PRODUCT(1+O13:$O$23))),4)</f>
        <v>1.0779000000000001</v>
      </c>
      <c r="W13" s="2027">
        <f t="shared" ref="W13" si="99">T13</f>
        <v>1.024</v>
      </c>
      <c r="X13" s="2907"/>
      <c r="Y13" s="2028"/>
      <c r="Z13" s="2028"/>
      <c r="AA13" s="2028"/>
      <c r="AB13" s="2028"/>
      <c r="AC13" s="2028"/>
      <c r="AD13" s="2028"/>
      <c r="AF13" s="3154">
        <f t="shared" si="30"/>
        <v>109.08</v>
      </c>
      <c r="AG13" s="3154">
        <f t="shared" si="31"/>
        <v>104.88</v>
      </c>
      <c r="AH13" s="3154">
        <f t="shared" si="32"/>
        <v>102.4</v>
      </c>
      <c r="AI13" s="3154">
        <f t="shared" si="33"/>
        <v>109.80000000000001</v>
      </c>
      <c r="AJ13" s="3154">
        <f t="shared" si="34"/>
        <v>107.79</v>
      </c>
      <c r="AK13" s="3154">
        <f t="shared" si="35"/>
        <v>102.4</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1.0888</v>
      </c>
      <c r="S14" s="2027">
        <f>ROUND(IF(项目基本情况!$B$8="出让",SUMPRODUCT(PRODUCT(1+L14:$L$24)),SUMPRODUCT(PRODUCT(1+L14:$L$23))),4)</f>
        <v>1.0463</v>
      </c>
      <c r="T14" s="2027">
        <f>ROUND(IF(项目基本情况!$B$8="出让",SUMPRODUCT(PRODUCT(1+M14:$M$24)),SUMPRODUCT(PRODUCT(1+M14:$M$23))),4)</f>
        <v>1.0257000000000001</v>
      </c>
      <c r="U14" s="2027">
        <f>ROUND(IF(项目基本情况!$B$8="出让",SUMPRODUCT(PRODUCT(1+N14:$N$24)),SUMPRODUCT(PRODUCT(1+N14:$N$23))),4)</f>
        <v>1.0961000000000001</v>
      </c>
      <c r="V14" s="2027">
        <f>ROUND(IF(项目基本情况!$B$8="出让",SUMPRODUCT(PRODUCT(1+O14:$O$24)),SUMPRODUCT(PRODUCT(1+O14:$O$23))),4)</f>
        <v>1.0713999999999999</v>
      </c>
      <c r="W14" s="2027">
        <f t="shared" ref="W14:W15" si="106">T14</f>
        <v>1.0257000000000001</v>
      </c>
      <c r="X14" s="2907"/>
      <c r="Y14" s="2028"/>
      <c r="Z14" s="2028"/>
      <c r="AA14" s="2028"/>
      <c r="AB14" s="2028"/>
      <c r="AC14" s="2028"/>
      <c r="AD14" s="2028"/>
      <c r="AF14" s="3154">
        <f t="shared" si="30"/>
        <v>108.88</v>
      </c>
      <c r="AG14" s="3154">
        <f t="shared" si="31"/>
        <v>104.63</v>
      </c>
      <c r="AH14" s="3154">
        <f t="shared" si="32"/>
        <v>102.57000000000001</v>
      </c>
      <c r="AI14" s="3154">
        <f t="shared" si="33"/>
        <v>109.61000000000001</v>
      </c>
      <c r="AJ14" s="3154">
        <f t="shared" si="34"/>
        <v>107.13999999999999</v>
      </c>
      <c r="AK14" s="3154">
        <f t="shared" si="35"/>
        <v>102.57000000000001</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1.0860000000000001</v>
      </c>
      <c r="S15" s="2027">
        <f>ROUND(IF(项目基本情况!$B$8="出让",SUMPRODUCT(PRODUCT(1+L15:$L$24)),SUMPRODUCT(PRODUCT(1+L15:$L$23))),4)</f>
        <v>1.0410999999999999</v>
      </c>
      <c r="T15" s="2027">
        <f>ROUND(IF(项目基本情况!$B$8="出让",SUMPRODUCT(PRODUCT(1+M15:$M$24)),SUMPRODUCT(PRODUCT(1+M15:$M$23))),4)</f>
        <v>1.0225</v>
      </c>
      <c r="U15" s="2027">
        <f>ROUND(IF(项目基本情况!$B$8="出让",SUMPRODUCT(PRODUCT(1+N15:$N$24)),SUMPRODUCT(PRODUCT(1+N15:$N$23))),4)</f>
        <v>1.0938000000000001</v>
      </c>
      <c r="V15" s="2027">
        <f>ROUND(IF(项目基本情况!$B$8="出让",SUMPRODUCT(PRODUCT(1+O15:$O$24)),SUMPRODUCT(PRODUCT(1+O15:$O$23))),4)</f>
        <v>1.0668</v>
      </c>
      <c r="W15" s="2027">
        <f t="shared" si="106"/>
        <v>1.0225</v>
      </c>
      <c r="X15" s="2907"/>
      <c r="Y15" s="2028"/>
      <c r="Z15" s="2028"/>
      <c r="AA15" s="2028"/>
      <c r="AB15" s="2028"/>
      <c r="AC15" s="2028"/>
      <c r="AD15" s="2028"/>
      <c r="AF15" s="3154">
        <f t="shared" si="30"/>
        <v>108.60000000000001</v>
      </c>
      <c r="AG15" s="3154">
        <f t="shared" si="31"/>
        <v>104.10999999999999</v>
      </c>
      <c r="AH15" s="3154">
        <f t="shared" si="32"/>
        <v>102.25</v>
      </c>
      <c r="AI15" s="3154">
        <f t="shared" si="33"/>
        <v>109.38000000000001</v>
      </c>
      <c r="AJ15" s="3154">
        <f t="shared" si="34"/>
        <v>106.67999999999999</v>
      </c>
      <c r="AK15" s="3154">
        <f t="shared" si="35"/>
        <v>102.25</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1.0763</v>
      </c>
      <c r="S16" s="2027">
        <f>ROUND(IF(项目基本情况!$B$8="出让",SUMPRODUCT(PRODUCT(1+L16:$L$24)),SUMPRODUCT(PRODUCT(1+L16:$L$23))),4)</f>
        <v>1.0343</v>
      </c>
      <c r="T16" s="2027">
        <f>ROUND(IF(项目基本情况!$B$8="出让",SUMPRODUCT(PRODUCT(1+M16:$M$24)),SUMPRODUCT(PRODUCT(1+M16:$M$23))),4)</f>
        <v>1.0177</v>
      </c>
      <c r="U16" s="2027">
        <f>ROUND(IF(项目基本情况!$B$8="出让",SUMPRODUCT(PRODUCT(1+N16:$N$24)),SUMPRODUCT(PRODUCT(1+N16:$N$23))),4)</f>
        <v>1.0833999999999999</v>
      </c>
      <c r="V16" s="2027">
        <f>ROUND(IF(项目基本情况!$B$8="出让",SUMPRODUCT(PRODUCT(1+O16:$O$24)),SUMPRODUCT(PRODUCT(1+O16:$O$23))),4)</f>
        <v>1.0592999999999999</v>
      </c>
      <c r="W16" s="2027">
        <f t="shared" ref="W16:W23" si="107">T16</f>
        <v>1.0177</v>
      </c>
      <c r="X16" s="2907"/>
      <c r="Y16" s="2028"/>
      <c r="Z16" s="2028"/>
      <c r="AA16" s="2028"/>
      <c r="AB16" s="2028"/>
      <c r="AC16" s="2028"/>
      <c r="AD16" s="2028"/>
      <c r="AF16" s="3154">
        <f t="shared" si="30"/>
        <v>107.63000000000001</v>
      </c>
      <c r="AG16" s="3154">
        <f t="shared" si="31"/>
        <v>103.43</v>
      </c>
      <c r="AH16" s="3154">
        <f t="shared" si="32"/>
        <v>101.77000000000001</v>
      </c>
      <c r="AI16" s="3154">
        <f t="shared" si="33"/>
        <v>108.33999999999999</v>
      </c>
      <c r="AJ16" s="3154">
        <f t="shared" si="34"/>
        <v>105.92999999999999</v>
      </c>
      <c r="AK16" s="3154">
        <f t="shared" si="35"/>
        <v>101.77000000000001</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1.0668</v>
      </c>
      <c r="S17" s="2027">
        <f>ROUND(IF(项目基本情况!$B$8="出让",SUMPRODUCT(PRODUCT(1+L17:$L$24)),SUMPRODUCT(PRODUCT(1+L17:$L$23))),4)</f>
        <v>1.0266999999999999</v>
      </c>
      <c r="T17" s="2027">
        <f>ROUND(IF(项目基本情况!$B$8="出让",SUMPRODUCT(PRODUCT(1+M17:$M$24)),SUMPRODUCT(PRODUCT(1+M17:$M$23))),4)</f>
        <v>1.0119</v>
      </c>
      <c r="U17" s="2027">
        <f>ROUND(IF(项目基本情况!$B$8="出让",SUMPRODUCT(PRODUCT(1+N17:$N$24)),SUMPRODUCT(PRODUCT(1+N17:$N$23))),4)</f>
        <v>1.0734999999999999</v>
      </c>
      <c r="V17" s="2027">
        <f>ROUND(IF(项目基本情况!$B$8="出让",SUMPRODUCT(PRODUCT(1+O17:$O$24)),SUMPRODUCT(PRODUCT(1+O17:$O$23))),4)</f>
        <v>1.054</v>
      </c>
      <c r="W17" s="2027">
        <f t="shared" si="107"/>
        <v>1.0119</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106.67999999999999</v>
      </c>
      <c r="AG17" s="3154">
        <f t="shared" si="31"/>
        <v>102.66999999999999</v>
      </c>
      <c r="AH17" s="3154">
        <f t="shared" si="32"/>
        <v>101.19</v>
      </c>
      <c r="AI17" s="3154">
        <f t="shared" si="33"/>
        <v>107.35</v>
      </c>
      <c r="AJ17" s="3154">
        <f t="shared" si="34"/>
        <v>105.4</v>
      </c>
      <c r="AK17" s="3154">
        <f t="shared" si="35"/>
        <v>101.19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1.0602</v>
      </c>
      <c r="S18" s="2027">
        <f>ROUND(IF(项目基本情况!$B$8="出让",SUMPRODUCT(PRODUCT(1+L18:$L$24)),SUMPRODUCT(PRODUCT(1+L18:$L$23))),4)</f>
        <v>1.0246</v>
      </c>
      <c r="T18" s="2027">
        <f>ROUND(IF(项目基本情况!$B$8="出让",SUMPRODUCT(PRODUCT(1+M18:$M$24)),SUMPRODUCT(PRODUCT(1+M18:$M$23))),4)</f>
        <v>1.0107999999999999</v>
      </c>
      <c r="U18" s="2027">
        <f>ROUND(IF(项目基本情况!$B$8="出让",SUMPRODUCT(PRODUCT(1+N18:$N$24)),SUMPRODUCT(PRODUCT(1+N18:$N$23))),4)</f>
        <v>1.0662</v>
      </c>
      <c r="V18" s="2027">
        <f>ROUND(IF(项目基本情况!$B$8="出让",SUMPRODUCT(PRODUCT(1+O18:$O$24)),SUMPRODUCT(PRODUCT(1+O18:$O$23))),4)</f>
        <v>1.0485</v>
      </c>
      <c r="W18" s="2027">
        <f t="shared" si="107"/>
        <v>1.0107999999999999</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106.02000000000001</v>
      </c>
      <c r="AG18" s="3154">
        <f t="shared" si="31"/>
        <v>102.46</v>
      </c>
      <c r="AH18" s="3154">
        <f t="shared" si="32"/>
        <v>101.08</v>
      </c>
      <c r="AI18" s="3154">
        <f t="shared" si="33"/>
        <v>106.62</v>
      </c>
      <c r="AJ18" s="3154">
        <f t="shared" si="34"/>
        <v>104.85</v>
      </c>
      <c r="AK18" s="3154">
        <f t="shared" si="35"/>
        <v>101.08</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1.0531999999999999</v>
      </c>
      <c r="S19" s="2027">
        <f>ROUND(IF(项目基本情况!$B$8="出让",SUMPRODUCT(PRODUCT(1+L19:$L$24)),SUMPRODUCT(PRODUCT(1+L19:$L$23))),4)</f>
        <v>1.0214000000000001</v>
      </c>
      <c r="T19" s="2027">
        <f>ROUND(IF(项目基本情况!$B$8="出让",SUMPRODUCT(PRODUCT(1+M19:$M$24)),SUMPRODUCT(PRODUCT(1+M19:$M$23))),4)</f>
        <v>1.0085</v>
      </c>
      <c r="U19" s="2027">
        <f>ROUND(IF(项目基本情况!$B$8="出让",SUMPRODUCT(PRODUCT(1+N19:$N$24)),SUMPRODUCT(PRODUCT(1+N19:$N$23))),4)</f>
        <v>1.0586</v>
      </c>
      <c r="V19" s="2027">
        <f>ROUND(IF(项目基本情况!$B$8="出让",SUMPRODUCT(PRODUCT(1+O19:$O$24)),SUMPRODUCT(PRODUCT(1+O19:$O$23))),4)</f>
        <v>1.0419</v>
      </c>
      <c r="W19" s="2027">
        <f t="shared" si="107"/>
        <v>1.0085</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105.32</v>
      </c>
      <c r="AG19" s="3154">
        <f t="shared" si="31"/>
        <v>102.14000000000001</v>
      </c>
      <c r="AH19" s="3154">
        <f t="shared" si="32"/>
        <v>100.85</v>
      </c>
      <c r="AI19" s="3154">
        <f t="shared" si="33"/>
        <v>105.86</v>
      </c>
      <c r="AJ19" s="3154">
        <f t="shared" si="34"/>
        <v>104.19</v>
      </c>
      <c r="AK19" s="3154">
        <f t="shared" si="35"/>
        <v>100.85</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1.0435000000000001</v>
      </c>
      <c r="S20" s="2027">
        <f>ROUND(IF(项目基本情况!$B$8="出让",SUMPRODUCT(PRODUCT(1+L20:$L$24)),SUMPRODUCT(PRODUCT(1+L20:$L$23))),4)</f>
        <v>1.0198</v>
      </c>
      <c r="T20" s="2027">
        <f>ROUND(IF(项目基本情况!$B$8="出让",SUMPRODUCT(PRODUCT(1+M20:$M$24)),SUMPRODUCT(PRODUCT(1+M20:$M$23))),4)</f>
        <v>1.0084</v>
      </c>
      <c r="U20" s="2027">
        <f>ROUND(IF(项目基本情况!$B$8="出让",SUMPRODUCT(PRODUCT(1+N20:$N$24)),SUMPRODUCT(PRODUCT(1+N20:$N$23))),4)</f>
        <v>1.0476000000000001</v>
      </c>
      <c r="V20" s="2027">
        <f>ROUND(IF(项目基本情况!$B$8="出让",SUMPRODUCT(PRODUCT(1+O20:$O$24)),SUMPRODUCT(PRODUCT(1+O20:$O$23))),4)</f>
        <v>1.0307999999999999</v>
      </c>
      <c r="W20" s="2027">
        <f t="shared" si="107"/>
        <v>1.0084</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104.35000000000001</v>
      </c>
      <c r="AG20" s="3154">
        <f t="shared" si="31"/>
        <v>101.98</v>
      </c>
      <c r="AH20" s="3154">
        <f t="shared" si="32"/>
        <v>100.84</v>
      </c>
      <c r="AI20" s="3154">
        <f t="shared" si="33"/>
        <v>104.76</v>
      </c>
      <c r="AJ20" s="3154">
        <f t="shared" si="34"/>
        <v>103.08</v>
      </c>
      <c r="AK20" s="3154">
        <f t="shared" si="35"/>
        <v>100.84</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1.0343</v>
      </c>
      <c r="S21" s="2027">
        <f>ROUND(IF(项目基本情况!$B$8="出让",SUMPRODUCT(PRODUCT(1+L21:$L$24)),SUMPRODUCT(PRODUCT(1+L21:$L$23))),4)</f>
        <v>1.0154000000000001</v>
      </c>
      <c r="T21" s="2027">
        <f>ROUND(IF(项目基本情况!$B$8="出让",SUMPRODUCT(PRODUCT(1+M21:$M$24)),SUMPRODUCT(PRODUCT(1+M21:$M$23))),4)</f>
        <v>1.0046999999999999</v>
      </c>
      <c r="U21" s="2027">
        <f>ROUND(IF(项目基本情况!$B$8="出让",SUMPRODUCT(PRODUCT(1+N21:$N$24)),SUMPRODUCT(PRODUCT(1+N21:$N$23))),4)</f>
        <v>1.0376000000000001</v>
      </c>
      <c r="V21" s="2027">
        <f>ROUND(IF(项目基本情况!$B$8="出让",SUMPRODUCT(PRODUCT(1+O21:$O$24)),SUMPRODUCT(PRODUCT(1+O21:$O$23))),4)</f>
        <v>1.0242</v>
      </c>
      <c r="W21" s="2027">
        <f t="shared" si="107"/>
        <v>1.0046999999999999</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103.43</v>
      </c>
      <c r="AG21" s="3154">
        <f t="shared" si="31"/>
        <v>101.54</v>
      </c>
      <c r="AH21" s="3154">
        <f t="shared" si="32"/>
        <v>100.47</v>
      </c>
      <c r="AI21" s="3154">
        <f t="shared" si="33"/>
        <v>103.76</v>
      </c>
      <c r="AJ21" s="3154">
        <f t="shared" si="34"/>
        <v>102.42</v>
      </c>
      <c r="AK21" s="3154">
        <f t="shared" si="35"/>
        <v>100.47</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1.0238</v>
      </c>
      <c r="S22" s="2027">
        <f>ROUND(IF(项目基本情况!$B$8="出让",SUMPRODUCT(PRODUCT(1+L22:$L$24)),SUMPRODUCT(PRODUCT(1+L22:$L$23))),4)</f>
        <v>1.0128999999999999</v>
      </c>
      <c r="T22" s="2027">
        <f>ROUND(IF(项目基本情况!$B$8="出让",SUMPRODUCT(PRODUCT(1+M22:$M$24)),SUMPRODUCT(PRODUCT(1+M22:$M$23))),4)</f>
        <v>1.004</v>
      </c>
      <c r="U22" s="2027">
        <f>ROUND(IF(项目基本情况!$B$8="出让",SUMPRODUCT(PRODUCT(1+N22:$N$24)),SUMPRODUCT(PRODUCT(1+N22:$N$23))),4)</f>
        <v>1.0256000000000001</v>
      </c>
      <c r="V22" s="2027">
        <f>ROUND(IF(项目基本情况!$B$8="出让",SUMPRODUCT(PRODUCT(1+O22:$O$24)),SUMPRODUCT(PRODUCT(1+O22:$O$23))),4)</f>
        <v>1.0185999999999999</v>
      </c>
      <c r="W22" s="2027">
        <f t="shared" si="107"/>
        <v>1.004</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102.38000000000001</v>
      </c>
      <c r="AG22" s="3154">
        <f t="shared" si="31"/>
        <v>101.28999999999999</v>
      </c>
      <c r="AH22" s="3154">
        <f t="shared" si="32"/>
        <v>100.4</v>
      </c>
      <c r="AI22" s="3154">
        <f t="shared" si="33"/>
        <v>102.56</v>
      </c>
      <c r="AJ22" s="3154">
        <f t="shared" si="34"/>
        <v>101.86</v>
      </c>
      <c r="AK22" s="3154">
        <f t="shared" si="35"/>
        <v>100.4</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1.0189999999999999</v>
      </c>
      <c r="S23" s="2027">
        <f>ROUND(IF(项目基本情况!$B$8="出让",SUMPRODUCT(PRODUCT(1+L23:$L$24)),SUMPRODUCT(PRODUCT(1+L23:$L$23))),4)</f>
        <v>1.0087999999999999</v>
      </c>
      <c r="T23" s="2027">
        <f>ROUND(IF(项目基本情况!$B$8="出让",SUMPRODUCT(PRODUCT(1+M23:$M$24)),SUMPRODUCT(PRODUCT(1+M23:$M$23))),4)</f>
        <v>1.0016</v>
      </c>
      <c r="U23" s="2027">
        <f>ROUND(IF(项目基本情况!$B$8="出让",SUMPRODUCT(PRODUCT(1+N23:$N$24)),SUMPRODUCT(PRODUCT(1+N23:$N$23))),4)</f>
        <v>1.0206999999999999</v>
      </c>
      <c r="V23" s="2027">
        <f>ROUND(IF(项目基本情况!$B$8="出让",SUMPRODUCT(PRODUCT(1+O23:$O$24)),SUMPRODUCT(PRODUCT(1+O23:$O$23))),4)</f>
        <v>1.0137</v>
      </c>
      <c r="W23" s="2027">
        <f t="shared" si="107"/>
        <v>1.0016</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101.89999999999999</v>
      </c>
      <c r="AG23" s="3154">
        <f t="shared" si="31"/>
        <v>100.88</v>
      </c>
      <c r="AH23" s="3154">
        <f t="shared" si="32"/>
        <v>100.16000000000001</v>
      </c>
      <c r="AI23" s="3154">
        <f t="shared" si="33"/>
        <v>102.07</v>
      </c>
      <c r="AJ23" s="3154">
        <f t="shared" si="34"/>
        <v>101.37</v>
      </c>
      <c r="AK23" s="3154">
        <f t="shared" si="35"/>
        <v>100.16000000000001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3379</v>
      </c>
    </row>
    <row r="27" spans="1:44">
      <c r="I27" s="1405" t="s">
        <v>2825</v>
      </c>
    </row>
    <row r="29" spans="1:44" s="2009" customFormat="1" ht="13.2">
      <c r="B29" s="2930" t="s">
        <v>3377</v>
      </c>
      <c r="C29" s="2931"/>
      <c r="D29" s="2931"/>
      <c r="E29" s="2931"/>
      <c r="F29" s="2931"/>
      <c r="G29" s="2931"/>
      <c r="H29" s="2931"/>
      <c r="I29" s="2931"/>
      <c r="J29" s="2897"/>
      <c r="K29" s="2931" t="s">
        <v>2826</v>
      </c>
      <c r="L29" s="2931"/>
      <c r="M29" s="2931"/>
      <c r="N29" s="2931"/>
      <c r="O29" s="2931"/>
      <c r="P29" s="2931"/>
      <c r="Q29" s="2897"/>
      <c r="R29" s="3508" t="s">
        <v>2827</v>
      </c>
      <c r="S29" s="3509"/>
      <c r="T29" s="3509"/>
      <c r="U29" s="3509"/>
      <c r="V29" s="3509"/>
      <c r="W29" s="3509"/>
      <c r="X29" s="2897"/>
      <c r="Y29" s="3508" t="s">
        <v>2828</v>
      </c>
      <c r="Z29" s="3509"/>
      <c r="AA29" s="3509"/>
      <c r="AB29" s="3509"/>
      <c r="AC29" s="3509"/>
      <c r="AD29" s="3509"/>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3.2">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1.0153000000000001</v>
      </c>
      <c r="T33" s="2027">
        <f>ROUND(IF(项目基本情况!$B$8="出让",SUMPRODUCT(PRODUCT(1+M33:M$52)),SUMPRODUCT(PRODUCT(1+M33:M$51))),4)</f>
        <v>1.0016</v>
      </c>
      <c r="U33" s="2027">
        <f>ROUND(IF(项目基本情况!$B$8="出让",SUMPRODUCT(PRODUCT(1+N33:N$52)),SUMPRODUCT(PRODUCT(1+N33:N$51))),4)</f>
        <v>1.044</v>
      </c>
      <c r="V33" s="2027"/>
      <c r="W33" s="2027">
        <f t="shared" ref="W33:W39" si="124">T33</f>
        <v>1.0016</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101.53000000000002</v>
      </c>
      <c r="AH33" s="3154">
        <f t="shared" ref="AH33:AH50" si="130">$AG$52*T33</f>
        <v>100.16000000000001</v>
      </c>
      <c r="AI33" s="3154">
        <f t="shared" ref="AI33:AI50" si="131">$AG$52*U33</f>
        <v>104.4</v>
      </c>
      <c r="AJ33" s="3156"/>
      <c r="AK33" s="3154">
        <f t="shared" ref="AK33:AK50" si="132">$AG$52*W33</f>
        <v>100.16000000000001</v>
      </c>
      <c r="AN33" s="3159">
        <v>100</v>
      </c>
      <c r="AO33" s="3159">
        <v>100</v>
      </c>
      <c r="AP33" s="3159">
        <v>100</v>
      </c>
      <c r="AQ33" s="3159"/>
      <c r="AR33" s="3159">
        <v>100</v>
      </c>
    </row>
    <row r="34" spans="1:44" s="2045" customFormat="1" ht="13.2">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1.0153000000000001</v>
      </c>
      <c r="T34" s="2027">
        <f>ROUND(IF(项目基本情况!$B$8="出让",SUMPRODUCT(PRODUCT(1+M34:M$52)),SUMPRODUCT(PRODUCT(1+M34:M$51))),4)</f>
        <v>1.0016</v>
      </c>
      <c r="U34" s="2027">
        <f>ROUND(IF(项目基本情况!$B$8="出让",SUMPRODUCT(PRODUCT(1+N34:N$52)),SUMPRODUCT(PRODUCT(1+N34:N$51))),4)</f>
        <v>1.044</v>
      </c>
      <c r="V34" s="2027"/>
      <c r="W34" s="2027">
        <f t="shared" si="124"/>
        <v>1.0016</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101.53000000000002</v>
      </c>
      <c r="AH34" s="3154">
        <f t="shared" si="130"/>
        <v>100.16000000000001</v>
      </c>
      <c r="AI34" s="3154">
        <f t="shared" si="131"/>
        <v>104.4</v>
      </c>
      <c r="AJ34" s="3156"/>
      <c r="AK34" s="3154">
        <f t="shared" si="132"/>
        <v>100.16000000000001</v>
      </c>
      <c r="AN34" s="3154">
        <f>AN33/(1+E33/100)</f>
        <v>100</v>
      </c>
      <c r="AO34" s="3154">
        <f t="shared" ref="AO34:AR34" si="140">AO33/(1+F33/100)</f>
        <v>100</v>
      </c>
      <c r="AP34" s="3154">
        <f t="shared" si="140"/>
        <v>100</v>
      </c>
      <c r="AQ34" s="3154"/>
      <c r="AR34" s="3154">
        <f t="shared" si="140"/>
        <v>100</v>
      </c>
    </row>
    <row r="35" spans="1:44" s="2917" customFormat="1" ht="13.2">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1.0153000000000001</v>
      </c>
      <c r="T35" s="2914">
        <f>ROUND(IF(项目基本情况!$B$8="出让",SUMPRODUCT(PRODUCT(1+M35:M$52)),SUMPRODUCT(PRODUCT(1+M35:M$51))),4)</f>
        <v>1.0016</v>
      </c>
      <c r="U35" s="2914">
        <f>ROUND(IF(项目基本情况!$B$8="出让",SUMPRODUCT(PRODUCT(1+N35:N$52)),SUMPRODUCT(PRODUCT(1+N35:N$51))),4)</f>
        <v>1.044</v>
      </c>
      <c r="V35" s="2914"/>
      <c r="W35" s="2914">
        <f t="shared" si="124"/>
        <v>1.0016</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101.53000000000002</v>
      </c>
      <c r="AH35" s="3155">
        <f t="shared" si="130"/>
        <v>100.16000000000001</v>
      </c>
      <c r="AI35" s="3155">
        <f t="shared" si="131"/>
        <v>104.4</v>
      </c>
      <c r="AJ35" s="3157"/>
      <c r="AK35" s="3155">
        <f t="shared" si="132"/>
        <v>100.16000000000001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1.0185</v>
      </c>
      <c r="T36" s="2027">
        <f>ROUND(IF(项目基本情况!$B$8="出让",SUMPRODUCT(PRODUCT(1+M36:M$52)),SUMPRODUCT(PRODUCT(1+M36:M$51))),4)</f>
        <v>1.012</v>
      </c>
      <c r="U36" s="2027">
        <f>ROUND(IF(项目基本情况!$B$8="出让",SUMPRODUCT(PRODUCT(1+N36:N$52)),SUMPRODUCT(PRODUCT(1+N36:N$51))),4)</f>
        <v>1.0436000000000001</v>
      </c>
      <c r="V36" s="2027"/>
      <c r="W36" s="2027">
        <f t="shared" si="124"/>
        <v>1.012</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101.85</v>
      </c>
      <c r="AH36" s="3154">
        <f t="shared" si="130"/>
        <v>101.2</v>
      </c>
      <c r="AI36" s="3154">
        <f t="shared" si="131"/>
        <v>104.36000000000001</v>
      </c>
      <c r="AJ36" s="3156"/>
      <c r="AK36" s="3154">
        <f t="shared" si="132"/>
        <v>101.2</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1.0337000000000001</v>
      </c>
      <c r="T37" s="2027">
        <f>ROUND(IF(项目基本情况!$B$8="出让",SUMPRODUCT(PRODUCT(1+M37:M$52)),SUMPRODUCT(PRODUCT(1+M37:M$51))),4)</f>
        <v>1.022</v>
      </c>
      <c r="U37" s="2027">
        <f>ROUND(IF(项目基本情况!$B$8="出让",SUMPRODUCT(PRODUCT(1+N37:N$52)),SUMPRODUCT(PRODUCT(1+N37:N$51))),4)</f>
        <v>1.0489999999999999</v>
      </c>
      <c r="V37" s="2027"/>
      <c r="W37" s="2027">
        <f t="shared" si="124"/>
        <v>1.022</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103.37</v>
      </c>
      <c r="AH37" s="3154">
        <f t="shared" si="130"/>
        <v>102.2</v>
      </c>
      <c r="AI37" s="3154">
        <f t="shared" si="131"/>
        <v>104.89999999999999</v>
      </c>
      <c r="AJ37" s="3156"/>
      <c r="AK37" s="3154">
        <f t="shared" si="132"/>
        <v>102.2</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1.04</v>
      </c>
      <c r="T38" s="2027">
        <f>ROUND(IF(项目基本情况!$B$8="出让",SUMPRODUCT(PRODUCT(1+M38:M$52)),SUMPRODUCT(PRODUCT(1+M38:M$51))),4)</f>
        <v>1.0293000000000001</v>
      </c>
      <c r="U38" s="2027">
        <f>ROUND(IF(项目基本情况!$B$8="出让",SUMPRODUCT(PRODUCT(1+N38:N$52)),SUMPRODUCT(PRODUCT(1+N38:N$51))),4)</f>
        <v>1.0583</v>
      </c>
      <c r="V38" s="2027"/>
      <c r="W38" s="2027">
        <f t="shared" si="124"/>
        <v>1.0293000000000001</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104</v>
      </c>
      <c r="AH38" s="3154">
        <f t="shared" si="130"/>
        <v>102.93</v>
      </c>
      <c r="AI38" s="3154">
        <f t="shared" si="131"/>
        <v>105.83</v>
      </c>
      <c r="AJ38" s="3156"/>
      <c r="AK38" s="3154">
        <f t="shared" si="132"/>
        <v>102.93</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1.0468999999999999</v>
      </c>
      <c r="T39" s="2027">
        <f>ROUND(IF(项目基本情况!$B$8="出让",SUMPRODUCT(PRODUCT(1+M39:M$52)),SUMPRODUCT(PRODUCT(1+M39:M$51))),4)</f>
        <v>1.0347</v>
      </c>
      <c r="U39" s="2027">
        <f>ROUND(IF(项目基本情况!$B$8="出让",SUMPRODUCT(PRODUCT(1+N39:N$52)),SUMPRODUCT(PRODUCT(1+N39:N$51))),4)</f>
        <v>1.0895999999999999</v>
      </c>
      <c r="V39" s="2027"/>
      <c r="W39" s="2027">
        <f t="shared" si="124"/>
        <v>1.0347</v>
      </c>
      <c r="X39" s="2907"/>
      <c r="Y39" s="2028"/>
      <c r="Z39" s="2903">
        <f t="shared" si="173"/>
        <v>3.3E-3</v>
      </c>
      <c r="AA39" s="2904">
        <f t="shared" si="173"/>
        <v>2.3999999999999998E-3</v>
      </c>
      <c r="AB39" s="2028">
        <f t="shared" si="173"/>
        <v>6.1999999999999998E-3</v>
      </c>
      <c r="AC39" s="2905"/>
      <c r="AD39" s="2028">
        <f t="shared" si="128"/>
        <v>2.3999999999999998E-3</v>
      </c>
      <c r="AG39" s="3154">
        <f t="shared" si="129"/>
        <v>104.69</v>
      </c>
      <c r="AH39" s="3154">
        <f t="shared" si="130"/>
        <v>103.47</v>
      </c>
      <c r="AI39" s="3154">
        <f t="shared" si="131"/>
        <v>108.96</v>
      </c>
      <c r="AJ39" s="3156"/>
      <c r="AK39" s="3154">
        <f t="shared" si="132"/>
        <v>103.47</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1.0502</v>
      </c>
      <c r="T40" s="2027">
        <f>ROUND(IF(项目基本情况!$B$8="出让",SUMPRODUCT(PRODUCT(1+M40:M$52)),SUMPRODUCT(PRODUCT(1+M40:M$51))),4)</f>
        <v>1.0387999999999999</v>
      </c>
      <c r="U40" s="2027">
        <f>ROUND(IF(项目基本情况!$B$8="出让",SUMPRODUCT(PRODUCT(1+N40:N$52)),SUMPRODUCT(PRODUCT(1+N40:N$51))),4)</f>
        <v>1.0763</v>
      </c>
      <c r="V40" s="2027"/>
      <c r="W40" s="2027">
        <f t="shared" ref="W40" si="181">T40</f>
        <v>1.0387999999999999</v>
      </c>
      <c r="X40" s="2907"/>
      <c r="Y40" s="2028"/>
      <c r="Z40" s="2903"/>
      <c r="AA40" s="2904"/>
      <c r="AB40" s="2028"/>
      <c r="AC40" s="2905"/>
      <c r="AD40" s="2028"/>
      <c r="AG40" s="3154">
        <f t="shared" si="129"/>
        <v>105.02</v>
      </c>
      <c r="AH40" s="3154">
        <f t="shared" si="130"/>
        <v>103.88</v>
      </c>
      <c r="AI40" s="3154">
        <f t="shared" si="131"/>
        <v>107.63000000000001</v>
      </c>
      <c r="AJ40" s="3156"/>
      <c r="AK40" s="3154">
        <f t="shared" si="132"/>
        <v>103.88</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1.0476000000000001</v>
      </c>
      <c r="T41" s="2027">
        <f>ROUND(IF(项目基本情况!$B$8="出让",SUMPRODUCT(PRODUCT(1+M41:M$52)),SUMPRODUCT(PRODUCT(1+M41:M$51))),4)</f>
        <v>1.0346</v>
      </c>
      <c r="U41" s="2027">
        <f>ROUND(IF(项目基本情况!$B$8="出让",SUMPRODUCT(PRODUCT(1+N41:N$52)),SUMPRODUCT(PRODUCT(1+N41:N$51))),4)</f>
        <v>1.0831999999999999</v>
      </c>
      <c r="V41" s="2027"/>
      <c r="W41" s="2027">
        <f t="shared" ref="W41" si="183">T41</f>
        <v>1.0346</v>
      </c>
      <c r="X41" s="2907"/>
      <c r="Y41" s="2028"/>
      <c r="Z41" s="2903"/>
      <c r="AA41" s="2904"/>
      <c r="AB41" s="2028"/>
      <c r="AC41" s="2905"/>
      <c r="AD41" s="2028"/>
      <c r="AG41" s="3154">
        <f t="shared" si="129"/>
        <v>104.76</v>
      </c>
      <c r="AH41" s="3154">
        <f t="shared" si="130"/>
        <v>103.46</v>
      </c>
      <c r="AI41" s="3154">
        <f t="shared" si="131"/>
        <v>108.32</v>
      </c>
      <c r="AJ41" s="3156"/>
      <c r="AK41" s="3154">
        <f t="shared" si="132"/>
        <v>103.46</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1.0468</v>
      </c>
      <c r="T42" s="2027">
        <f>ROUND(IF(项目基本情况!$B$8="出让",SUMPRODUCT(PRODUCT(1+M42:M$52)),SUMPRODUCT(PRODUCT(1+M42:M$51))),4)</f>
        <v>1.0337000000000001</v>
      </c>
      <c r="U42" s="2027">
        <f>ROUND(IF(项目基本情况!$B$8="出让",SUMPRODUCT(PRODUCT(1+N42:N$52)),SUMPRODUCT(PRODUCT(1+N42:N$51))),4)</f>
        <v>1.0828</v>
      </c>
      <c r="V42" s="2027"/>
      <c r="W42" s="2027">
        <f t="shared" ref="W42:W44" si="188">T42</f>
        <v>1.0337000000000001</v>
      </c>
      <c r="X42" s="2907"/>
      <c r="Y42" s="2028"/>
      <c r="Z42" s="2903"/>
      <c r="AA42" s="2904"/>
      <c r="AB42" s="2028"/>
      <c r="AC42" s="2905"/>
      <c r="AD42" s="2028"/>
      <c r="AG42" s="3154">
        <f t="shared" si="129"/>
        <v>104.67999999999999</v>
      </c>
      <c r="AH42" s="3154">
        <f t="shared" si="130"/>
        <v>103.37</v>
      </c>
      <c r="AI42" s="3154">
        <f t="shared" si="131"/>
        <v>108.28</v>
      </c>
      <c r="AJ42" s="3156"/>
      <c r="AK42" s="3154">
        <f t="shared" si="132"/>
        <v>103.37</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1.0431999999999999</v>
      </c>
      <c r="T43" s="2027">
        <f>ROUND(IF(项目基本情况!$B$8="出让",SUMPRODUCT(PRODUCT(1+M43:M$52)),SUMPRODUCT(PRODUCT(1+M43:M$51))),4)</f>
        <v>1.0319</v>
      </c>
      <c r="U43" s="2027">
        <f>ROUND(IF(项目基本情况!$B$8="出让",SUMPRODUCT(PRODUCT(1+N43:N$52)),SUMPRODUCT(PRODUCT(1+N43:N$51))),4)</f>
        <v>1.0771999999999999</v>
      </c>
      <c r="V43" s="2027"/>
      <c r="W43" s="2027">
        <f t="shared" si="188"/>
        <v>1.0319</v>
      </c>
      <c r="X43" s="2907"/>
      <c r="Y43" s="2028"/>
      <c r="Z43" s="2903"/>
      <c r="AA43" s="2904"/>
      <c r="AB43" s="2028"/>
      <c r="AC43" s="2905"/>
      <c r="AD43" s="2028"/>
      <c r="AG43" s="3154">
        <f t="shared" si="129"/>
        <v>104.32</v>
      </c>
      <c r="AH43" s="3154">
        <f t="shared" si="130"/>
        <v>103.19</v>
      </c>
      <c r="AI43" s="3154">
        <f t="shared" si="131"/>
        <v>107.72</v>
      </c>
      <c r="AJ43" s="3156"/>
      <c r="AK43" s="3154">
        <f t="shared" si="132"/>
        <v>103.19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1.038</v>
      </c>
      <c r="T44" s="2027">
        <f>ROUND(IF(项目基本情况!$B$8="出让",SUMPRODUCT(PRODUCT(1+M44:M$52)),SUMPRODUCT(PRODUCT(1+M44:M$51))),4)</f>
        <v>1.0273000000000001</v>
      </c>
      <c r="U44" s="2027">
        <f>ROUND(IF(项目基本情况!$B$8="出让",SUMPRODUCT(PRODUCT(1+N44:N$52)),SUMPRODUCT(PRODUCT(1+N44:N$51))),4)</f>
        <v>1.0677000000000001</v>
      </c>
      <c r="V44" s="2027"/>
      <c r="W44" s="2027">
        <f t="shared" si="188"/>
        <v>1.0273000000000001</v>
      </c>
      <c r="X44" s="2907"/>
      <c r="Y44" s="2028"/>
      <c r="Z44" s="2903"/>
      <c r="AA44" s="2904"/>
      <c r="AB44" s="2028"/>
      <c r="AC44" s="2905"/>
      <c r="AD44" s="2028"/>
      <c r="AG44" s="3154">
        <f t="shared" si="129"/>
        <v>103.8</v>
      </c>
      <c r="AH44" s="3154">
        <f t="shared" si="130"/>
        <v>102.73</v>
      </c>
      <c r="AI44" s="3154">
        <f t="shared" si="131"/>
        <v>106.77000000000001</v>
      </c>
      <c r="AJ44" s="3156"/>
      <c r="AK44" s="3154">
        <f t="shared" si="132"/>
        <v>102.73</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1.0323</v>
      </c>
      <c r="T45" s="2027">
        <f>ROUND(IF(项目基本情况!$B$8="出让",SUMPRODUCT(PRODUCT(1+M45:M$52)),SUMPRODUCT(PRODUCT(1+M45:M$51))),4)</f>
        <v>1.0213000000000001</v>
      </c>
      <c r="U45" s="2027">
        <f>ROUND(IF(项目基本情况!$B$8="出让",SUMPRODUCT(PRODUCT(1+N45:N$52)),SUMPRODUCT(PRODUCT(1+N45:N$51))),4)</f>
        <v>1.0609</v>
      </c>
      <c r="V45" s="2027"/>
      <c r="W45" s="2027">
        <f t="shared" ref="W45:W52" si="190">T45</f>
        <v>1.0213000000000001</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103.23</v>
      </c>
      <c r="AH45" s="3154">
        <f t="shared" si="130"/>
        <v>102.13000000000001</v>
      </c>
      <c r="AI45" s="3154">
        <f t="shared" si="131"/>
        <v>106.08999999999999</v>
      </c>
      <c r="AJ45" s="3156"/>
      <c r="AK45" s="3154">
        <f t="shared" si="132"/>
        <v>102.13000000000001</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1.0277000000000001</v>
      </c>
      <c r="T46" s="2027">
        <f>ROUND(IF(项目基本情况!$B$8="出让",SUMPRODUCT(PRODUCT(1+M46:M$52)),SUMPRODUCT(PRODUCT(1+M46:M$51))),4)</f>
        <v>1.0192000000000001</v>
      </c>
      <c r="U46" s="2027">
        <f>ROUND(IF(项目基本情况!$B$8="出让",SUMPRODUCT(PRODUCT(1+N46:N$52)),SUMPRODUCT(PRODUCT(1+N46:N$51))),4)</f>
        <v>1.0569</v>
      </c>
      <c r="V46" s="2027"/>
      <c r="W46" s="2027">
        <f t="shared" si="190"/>
        <v>1.0192000000000001</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102.77000000000001</v>
      </c>
      <c r="AH46" s="3154">
        <f t="shared" si="130"/>
        <v>101.92000000000002</v>
      </c>
      <c r="AI46" s="3154">
        <f t="shared" si="131"/>
        <v>105.69</v>
      </c>
      <c r="AJ46" s="3156"/>
      <c r="AK46" s="3154">
        <f t="shared" si="132"/>
        <v>101.92000000000002</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1.0246</v>
      </c>
      <c r="T47" s="2027">
        <f>ROUND(IF(项目基本情况!$B$8="出让",SUMPRODUCT(PRODUCT(1+M47:M$52)),SUMPRODUCT(PRODUCT(1+M47:M$51))),4)</f>
        <v>1.0163</v>
      </c>
      <c r="U47" s="2027">
        <f>ROUND(IF(项目基本情况!$B$8="出让",SUMPRODUCT(PRODUCT(1+N47:N$52)),SUMPRODUCT(PRODUCT(1+N47:N$51))),4)</f>
        <v>1.0482</v>
      </c>
      <c r="V47" s="2027"/>
      <c r="W47" s="2027">
        <f t="shared" si="190"/>
        <v>1.0163</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102.46</v>
      </c>
      <c r="AH47" s="3154">
        <f t="shared" si="130"/>
        <v>101.63</v>
      </c>
      <c r="AI47" s="3154">
        <f t="shared" si="131"/>
        <v>104.82000000000001</v>
      </c>
      <c r="AJ47" s="3156"/>
      <c r="AK47" s="3154">
        <f t="shared" si="132"/>
        <v>101.63</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1.0258</v>
      </c>
      <c r="T48" s="2027">
        <f>ROUND(IF(项目基本情况!$B$8="出让",SUMPRODUCT(PRODUCT(1+M48:M$52)),SUMPRODUCT(PRODUCT(1+M48:M$51))),4)</f>
        <v>1.0176000000000001</v>
      </c>
      <c r="U48" s="2027">
        <f>ROUND(IF(项目基本情况!$B$8="出让",SUMPRODUCT(PRODUCT(1+N48:N$52)),SUMPRODUCT(PRODUCT(1+N48:N$51))),4)</f>
        <v>1.0427</v>
      </c>
      <c r="V48" s="2027"/>
      <c r="W48" s="2027">
        <f t="shared" si="190"/>
        <v>1.0176000000000001</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102.58</v>
      </c>
      <c r="AH48" s="3154">
        <f t="shared" si="130"/>
        <v>101.76</v>
      </c>
      <c r="AI48" s="3154">
        <f t="shared" si="131"/>
        <v>104.27</v>
      </c>
      <c r="AJ48" s="3156"/>
      <c r="AK48" s="3154">
        <f t="shared" si="132"/>
        <v>101.76</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1.0196000000000001</v>
      </c>
      <c r="T49" s="2027">
        <f>ROUND(IF(项目基本情况!$B$8="出让",SUMPRODUCT(PRODUCT(1+M49:M$52)),SUMPRODUCT(PRODUCT(1+M49:M$51))),4)</f>
        <v>1.0130999999999999</v>
      </c>
      <c r="U49" s="2027">
        <f>ROUND(IF(项目基本情况!$B$8="出让",SUMPRODUCT(PRODUCT(1+N49:N$52)),SUMPRODUCT(PRODUCT(1+N49:N$51))),4)</f>
        <v>1.0371999999999999</v>
      </c>
      <c r="V49" s="2027"/>
      <c r="W49" s="2027">
        <f t="shared" si="190"/>
        <v>1.0130999999999999</v>
      </c>
      <c r="X49" s="2907"/>
      <c r="Y49" s="2028"/>
      <c r="Z49" s="2903">
        <f t="shared" si="191"/>
        <v>4.8999999999999998E-3</v>
      </c>
      <c r="AA49" s="2904">
        <f t="shared" si="191"/>
        <v>3.3E-3</v>
      </c>
      <c r="AB49" s="2028">
        <f t="shared" si="191"/>
        <v>9.1999999999999998E-3</v>
      </c>
      <c r="AC49" s="2905"/>
      <c r="AD49" s="2028">
        <f t="shared" si="191"/>
        <v>3.3E-3</v>
      </c>
      <c r="AG49" s="3154">
        <f t="shared" si="129"/>
        <v>101.96000000000001</v>
      </c>
      <c r="AH49" s="3154">
        <f t="shared" si="130"/>
        <v>101.30999999999999</v>
      </c>
      <c r="AI49" s="3154">
        <f t="shared" si="131"/>
        <v>103.71999999999998</v>
      </c>
      <c r="AJ49" s="3156"/>
      <c r="AK49" s="3154">
        <f t="shared" si="132"/>
        <v>101.30999999999999</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1.0138</v>
      </c>
      <c r="T50" s="2027">
        <f>ROUND(IF(项目基本情况!$B$8="出让",SUMPRODUCT(PRODUCT(1+M50:M$52)),SUMPRODUCT(PRODUCT(1+M50:M$51))),4)</f>
        <v>1.0122</v>
      </c>
      <c r="U50" s="2027">
        <f>ROUND(IF(项目基本情况!$B$8="出让",SUMPRODUCT(PRODUCT(1+N50:N$52)),SUMPRODUCT(PRODUCT(1+N50:N$51))),4)</f>
        <v>1.0302</v>
      </c>
      <c r="V50" s="2027"/>
      <c r="W50" s="2027">
        <f t="shared" si="190"/>
        <v>1.0122</v>
      </c>
      <c r="X50" s="2907"/>
      <c r="Y50" s="2028"/>
      <c r="Z50" s="2903">
        <f t="shared" si="191"/>
        <v>4.5999999999999999E-3</v>
      </c>
      <c r="AA50" s="2904">
        <f t="shared" si="191"/>
        <v>4.1000000000000003E-3</v>
      </c>
      <c r="AB50" s="2028">
        <f t="shared" si="191"/>
        <v>0.01</v>
      </c>
      <c r="AC50" s="2905"/>
      <c r="AD50" s="2028">
        <f t="shared" si="191"/>
        <v>4.1000000000000003E-3</v>
      </c>
      <c r="AG50" s="3154">
        <f t="shared" si="129"/>
        <v>101.38000000000001</v>
      </c>
      <c r="AH50" s="3154">
        <f t="shared" si="130"/>
        <v>101.22</v>
      </c>
      <c r="AI50" s="3154">
        <f t="shared" si="131"/>
        <v>103.02</v>
      </c>
      <c r="AJ50" s="3156"/>
      <c r="AK50" s="3154">
        <f t="shared" si="132"/>
        <v>101.22</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1.0089999999999999</v>
      </c>
      <c r="T51" s="2027">
        <f>ROUND(IF(项目基本情况!$B$8="出让",SUMPRODUCT(PRODUCT(1+M51:M$52)),SUMPRODUCT(PRODUCT(1+M51:M$51))),4)</f>
        <v>1.0094000000000001</v>
      </c>
      <c r="U51" s="2027">
        <f>ROUND(IF(项目基本情况!$B$8="出让",SUMPRODUCT(PRODUCT(1+N51:N$52)),SUMPRODUCT(PRODUCT(1+N51:N$51))),4)</f>
        <v>1.0208999999999999</v>
      </c>
      <c r="V51" s="2027"/>
      <c r="W51" s="2027">
        <f t="shared" si="190"/>
        <v>1.0094000000000001</v>
      </c>
      <c r="X51" s="2907"/>
      <c r="Y51" s="2028"/>
      <c r="Z51" s="2903">
        <f t="shared" si="191"/>
        <v>4.4999999999999997E-3</v>
      </c>
      <c r="AA51" s="2904">
        <f t="shared" si="191"/>
        <v>4.7000000000000002E-3</v>
      </c>
      <c r="AB51" s="2028">
        <f t="shared" si="191"/>
        <v>1.04E-2</v>
      </c>
      <c r="AC51" s="2905"/>
      <c r="AD51" s="2028">
        <f t="shared" si="191"/>
        <v>4.7000000000000002E-3</v>
      </c>
      <c r="AG51" s="3154">
        <f>$AG$52*S51</f>
        <v>100.89999999999999</v>
      </c>
      <c r="AH51" s="3154">
        <f t="shared" ref="AH51:AK51" si="192">$AG$52*T51</f>
        <v>100.94000000000001</v>
      </c>
      <c r="AI51" s="3154">
        <f t="shared" si="192"/>
        <v>102.08999999999999</v>
      </c>
      <c r="AJ51" s="3156"/>
      <c r="AK51" s="3154">
        <f t="shared" si="192"/>
        <v>100.94000000000001</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3378</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1.6117999999999999</v>
      </c>
      <c r="Y15" s="2027">
        <f>ROUND(IF(项目基本情况!B8="出让",SUMPRODUCT(PRODUCT(1+O15:O$40)),SUMPRODUCT(PRODUCT(1+O15:O$39))),4)</f>
        <v>1.3788</v>
      </c>
      <c r="Z15" s="2027">
        <f t="shared" ref="Z15" si="124">Y15</f>
        <v>1.3788</v>
      </c>
      <c r="AA15" s="2027">
        <f>ROUND(IF(项目基本情况!B8="出让",SUMPRODUCT(PRODUCT(1+P15:P$40)),SUMPRODUCT(PRODUCT(1+P15:P$39))),4)</f>
        <v>1.6872</v>
      </c>
      <c r="AB15" s="2027">
        <f>ROUND(IF(项目基本情况!B8="出让",SUMPRODUCT(PRODUCT(1+Q15:Q$40)),SUMPRODUCT(PRODUCT(1+Q15:Q$39))),4)</f>
        <v>1.4069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1.6068</v>
      </c>
      <c r="Y16" s="2027">
        <f>ROUND(IF(项目基本情况!B8="出让",SUMPRODUCT(PRODUCT(1+O16:O$40)),SUMPRODUCT(PRODUCT(1+O16:O$39))),4)</f>
        <v>1.3895999999999999</v>
      </c>
      <c r="Z16" s="2027">
        <f t="shared" ref="Z16" si="138">Y16</f>
        <v>1.3895999999999999</v>
      </c>
      <c r="AA16" s="2027">
        <f>ROUND(IF(项目基本情况!B8="出让",SUMPRODUCT(PRODUCT(1+P16:P$40)),SUMPRODUCT(PRODUCT(1+P16:P$39))),4)</f>
        <v>1.6788000000000001</v>
      </c>
      <c r="AB16" s="2027">
        <f>ROUND(IF(项目基本情况!B8="出让",SUMPRODUCT(PRODUCT(1+Q16:Q$40)),SUMPRODUCT(PRODUCT(1+Q16:Q$39))),4)</f>
        <v>1.4004000000000001</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1.6049</v>
      </c>
      <c r="Y17" s="2027">
        <f>ROUND(IF(项目基本情况!B8="出让",SUMPRODUCT(PRODUCT(1+O17:O$40)),SUMPRODUCT(PRODUCT(1+O17:O$39))),4)</f>
        <v>1.3952</v>
      </c>
      <c r="Z17" s="2027">
        <f t="shared" ref="Z17" si="149">Y17</f>
        <v>1.3952</v>
      </c>
      <c r="AA17" s="2027">
        <f>ROUND(IF(项目基本情况!B8="出让",SUMPRODUCT(PRODUCT(1+P17:P$40)),SUMPRODUCT(PRODUCT(1+P17:P$39))),4)</f>
        <v>1.6753</v>
      </c>
      <c r="AB17" s="2027">
        <f>ROUND(IF(项目基本情况!B8="出让",SUMPRODUCT(PRODUCT(1+Q17:Q$40)),SUMPRODUCT(PRODUCT(1+Q17:Q$39))),4)</f>
        <v>1.3966000000000001</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1.5976999999999999</v>
      </c>
      <c r="Y18" s="2027">
        <f>ROUND(IF(项目基本情况!B8="出让",SUMPRODUCT(PRODUCT(1+O18:O$40)),SUMPRODUCT(PRODUCT(1+O18:O$39))),4)</f>
        <v>1.3969</v>
      </c>
      <c r="Z18" s="2027">
        <f t="shared" ref="Z18" si="159">Y18</f>
        <v>1.3969</v>
      </c>
      <c r="AA18" s="2027">
        <f>ROUND(IF(项目基本情况!B8="出让",SUMPRODUCT(PRODUCT(1+P18:P$40)),SUMPRODUCT(PRODUCT(1+P18:P$39))),4)</f>
        <v>1.6662999999999999</v>
      </c>
      <c r="AB18" s="2027">
        <f>ROUND(IF(项目基本情况!B8="出让",SUMPRODUCT(PRODUCT(1+Q18:Q$40)),SUMPRODUCT(PRODUCT(1+Q18:Q$39))),4)</f>
        <v>1.3898999999999999</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1.5880000000000001</v>
      </c>
      <c r="Y19" s="2027">
        <f>ROUND(IF(项目基本情况!B8="出让",SUMPRODUCT(PRODUCT(1+O19:O$40)),SUMPRODUCT(PRODUCT(1+O19:O$39))),4)</f>
        <v>1.3875999999999999</v>
      </c>
      <c r="Z19" s="2027">
        <f t="shared" ref="Z19" si="169">Y19</f>
        <v>1.3875999999999999</v>
      </c>
      <c r="AA19" s="2027">
        <f>ROUND(IF(项目基本情况!B8="出让",SUMPRODUCT(PRODUCT(1+P19:P$40)),SUMPRODUCT(PRODUCT(1+P19:P$39))),4)</f>
        <v>1.6563000000000001</v>
      </c>
      <c r="AB19" s="2027">
        <f>ROUND(IF(项目基本情况!B8="出让",SUMPRODUCT(PRODUCT(1+Q19:Q$40)),SUMPRODUCT(PRODUCT(1+Q19:Q$39))),4)</f>
        <v>1.3756999999999999</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1.5641</v>
      </c>
      <c r="Y20" s="2027">
        <f>ROUND(IF(项目基本情况!B8="出让",SUMPRODUCT(PRODUCT(1+O20:O$40)),SUMPRODUCT(PRODUCT(1+O20:O$39))),4)</f>
        <v>1.3736999999999999</v>
      </c>
      <c r="Z20" s="2027">
        <f t="shared" ref="Z20" si="182">Y20</f>
        <v>1.3736999999999999</v>
      </c>
      <c r="AA20" s="2027">
        <f>ROUND(IF(项目基本情况!B8="出让",SUMPRODUCT(PRODUCT(1+P20:P$40)),SUMPRODUCT(PRODUCT(1+P20:P$39))),4)</f>
        <v>1.6298999999999999</v>
      </c>
      <c r="AB20" s="2027">
        <f>ROUND(IF(项目基本情况!B8="出让",SUMPRODUCT(PRODUCT(1+Q20:Q$40)),SUMPRODUCT(PRODUCT(1+Q20:Q$39))),4)</f>
        <v>1.3588</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21" t="s">
        <v>2839</v>
      </c>
      <c r="B1" s="3521"/>
      <c r="C1" s="3521"/>
      <c r="D1" s="3521"/>
      <c r="E1" s="3521"/>
      <c r="F1" s="3521"/>
      <c r="G1" s="3522"/>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9"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520"/>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45902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N8"/>
  <sheetViews>
    <sheetView topLeftCell="A52" workbookViewId="0">
      <selection activeCell="J18" sqref="J18"/>
    </sheetView>
  </sheetViews>
  <sheetFormatPr defaultColWidth="9" defaultRowHeight="14.4"/>
  <cols>
    <col min="1" max="1" width="24" style="2814" customWidth="1"/>
    <col min="2" max="2" width="11.88671875" style="2814" customWidth="1"/>
    <col min="3" max="4" width="10.77734375" style="2814" customWidth="1"/>
    <col min="5" max="16384" width="9" style="2814"/>
  </cols>
  <sheetData>
    <row r="2" spans="1:14">
      <c r="A2" s="3179" t="s">
        <v>3491</v>
      </c>
    </row>
    <row r="3" spans="1:14">
      <c r="A3" s="1421" t="s">
        <v>3482</v>
      </c>
      <c r="B3" s="1421" t="s">
        <v>3484</v>
      </c>
      <c r="C3" s="1421" t="s">
        <v>3485</v>
      </c>
      <c r="D3" s="1421" t="s">
        <v>3497</v>
      </c>
      <c r="E3" s="1421" t="s">
        <v>3486</v>
      </c>
    </row>
    <row r="4" spans="1:14">
      <c r="A4" s="1421" t="s">
        <v>3483</v>
      </c>
      <c r="B4" s="2814">
        <v>2800</v>
      </c>
      <c r="C4" s="1421">
        <f>3360*10000/B4</f>
        <v>12000</v>
      </c>
      <c r="D4" s="1421" t="s">
        <v>3498</v>
      </c>
      <c r="E4" s="1421" t="s">
        <v>3488</v>
      </c>
    </row>
    <row r="5" spans="1:14">
      <c r="A5" s="1421" t="s">
        <v>3487</v>
      </c>
      <c r="B5" s="2814">
        <v>2000</v>
      </c>
      <c r="C5" s="2814">
        <f>2800*10000/B5</f>
        <v>14000</v>
      </c>
      <c r="D5" s="1421" t="s">
        <v>3500</v>
      </c>
      <c r="E5" s="1421" t="s">
        <v>3494</v>
      </c>
      <c r="N5" s="2814">
        <f>333/B5</f>
        <v>0.16650000000000001</v>
      </c>
    </row>
    <row r="6" spans="1:14">
      <c r="A6" s="1421" t="s">
        <v>3489</v>
      </c>
      <c r="B6" s="2814">
        <v>2250</v>
      </c>
      <c r="C6" s="2814">
        <f>2700*10000/B6</f>
        <v>12000</v>
      </c>
      <c r="D6" s="1421" t="s">
        <v>3501</v>
      </c>
      <c r="E6" s="1421" t="s">
        <v>3490</v>
      </c>
    </row>
    <row r="7" spans="1:14">
      <c r="A7" s="1421" t="s">
        <v>3502</v>
      </c>
      <c r="B7" s="2814">
        <v>2220</v>
      </c>
      <c r="C7" s="2814">
        <f>3330*10000/B7</f>
        <v>15000</v>
      </c>
      <c r="D7" s="1421" t="s">
        <v>3503</v>
      </c>
      <c r="E7" s="1421" t="s">
        <v>3490</v>
      </c>
    </row>
    <row r="8" spans="1:14">
      <c r="A8" s="1421" t="s">
        <v>3492</v>
      </c>
      <c r="B8" s="2814">
        <v>3620.52</v>
      </c>
      <c r="C8" s="3180">
        <f>5070*10000/B8</f>
        <v>14003.513307480693</v>
      </c>
      <c r="D8" s="1421" t="s">
        <v>3499</v>
      </c>
      <c r="E8" s="1421" t="s">
        <v>3493</v>
      </c>
      <c r="N8" s="2814">
        <f>603/B8</f>
        <v>0.16655066123098339</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M250:N284"/>
  <sheetViews>
    <sheetView topLeftCell="A73" workbookViewId="0">
      <selection activeCell="J54" sqref="J54"/>
    </sheetView>
  </sheetViews>
  <sheetFormatPr defaultRowHeight="14.4"/>
  <sheetData>
    <row r="250" spans="14:14">
      <c r="N250" s="1405" t="s">
        <v>3463</v>
      </c>
    </row>
    <row r="284" spans="13:13">
      <c r="M284" s="1405" t="s">
        <v>3463</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heetViews>
  <sheetFormatPr defaultRowHeight="14.4"/>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1" t="s">
        <v>925</v>
      </c>
      <c r="E3" s="801" t="s">
        <v>931</v>
      </c>
      <c r="F3" s="801" t="s">
        <v>925</v>
      </c>
      <c r="G3" s="801" t="s">
        <v>926</v>
      </c>
      <c r="H3" s="801" t="s">
        <v>925</v>
      </c>
      <c r="I3" s="801" t="s">
        <v>926</v>
      </c>
    </row>
    <row r="4" spans="1:9" ht="45">
      <c r="A4" s="1403" t="str">
        <f>项目基本情况!S2</f>
        <v>北京市通州区经海五路1号院46号楼-1至6层5-101工业用房房地产</v>
      </c>
      <c r="B4" s="801">
        <f>项目基本情况!C17</f>
        <v>3830.64</v>
      </c>
      <c r="C4" s="801">
        <f>项目基本情况!C18</f>
        <v>0</v>
      </c>
      <c r="D4" s="801">
        <f ca="1">结果表!D118</f>
        <v>1992</v>
      </c>
      <c r="E4" s="801">
        <f ca="1">结果表!E118</f>
        <v>5199</v>
      </c>
      <c r="F4" s="801">
        <f ca="1">结果表!F118</f>
        <v>2149</v>
      </c>
      <c r="G4" s="801">
        <f ca="1">结果表!G118</f>
        <v>5609</v>
      </c>
      <c r="H4" s="801">
        <f ca="1">结果表!H118</f>
        <v>4140</v>
      </c>
      <c r="I4" s="801">
        <f ca="1">结果表!I118</f>
        <v>10808</v>
      </c>
    </row>
    <row r="5" spans="1:9" ht="30" customHeight="1">
      <c r="A5" s="3198" t="s">
        <v>927</v>
      </c>
      <c r="B5" s="3198"/>
      <c r="C5" s="3198"/>
      <c r="D5" s="3198" t="str">
        <f ca="1">结果表!D119</f>
        <v>壹仟玖佰玖拾贰万元整</v>
      </c>
      <c r="E5" s="3198"/>
      <c r="F5" s="3198" t="str">
        <f ca="1">结果表!F119</f>
        <v>贰仟壹佰肆拾玖万元整</v>
      </c>
      <c r="G5" s="3198"/>
      <c r="H5" s="3198" t="str">
        <f ca="1">结果表!H119</f>
        <v>肆仟壹佰肆拾万元整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4140</v>
      </c>
      <c r="E8" s="3197"/>
      <c r="F8" s="3197"/>
      <c r="G8" s="3197"/>
      <c r="H8" s="3197"/>
      <c r="I8" s="3197"/>
    </row>
    <row r="9" spans="1:9" ht="15">
      <c r="A9" s="3198" t="s">
        <v>927</v>
      </c>
      <c r="B9" s="3198"/>
      <c r="C9" s="3198"/>
      <c r="D9" s="3198" t="str">
        <f ca="1">结果表!D123</f>
        <v>肆仟壹佰肆拾万元整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
      </c>
      <c r="B12" s="3197"/>
      <c r="C12" s="3197"/>
      <c r="D12" s="3197" t="str">
        <f>结果表!D126</f>
        <v>——</v>
      </c>
      <c r="E12" s="3197"/>
      <c r="F12" s="3197"/>
      <c r="G12" s="3197"/>
      <c r="H12" s="3197"/>
      <c r="I12" s="3197"/>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0" t="s">
        <v>949</v>
      </c>
      <c r="B1" s="3210"/>
      <c r="C1" s="3210"/>
      <c r="D1" s="3210"/>
    </row>
    <row r="2" spans="1:4" ht="17.399999999999999">
      <c r="A2" s="3211" t="s">
        <v>933</v>
      </c>
      <c r="B2" s="3211"/>
      <c r="C2" s="3211"/>
      <c r="D2" s="3211"/>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1" t="s">
        <v>939</v>
      </c>
      <c r="B6" s="3211"/>
      <c r="C6" s="3211"/>
      <c r="D6" s="321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9"/>
      <c r="C12" s="3209"/>
      <c r="D12" s="3209"/>
    </row>
    <row r="13" spans="1:4" ht="30" customHeight="1">
      <c r="A13" s="3204" t="str">
        <f>IF(项目基本情况!B8="抵押","3.抵押双方在办理抵押登记手续时，应使用本公司出具的正式《房地产评估报告》，特提醒报告使用者注意。","——")</f>
        <v>——</v>
      </c>
      <c r="B13" s="3209"/>
      <c r="C13" s="3209"/>
      <c r="D13" s="3209"/>
    </row>
    <row r="14" spans="1:4" ht="15.75" customHeight="1">
      <c r="A14" s="3204" t="str">
        <f>IF(项目基本情况!B8="抵押","4.本次评估估价师所知悉的法定优先受偿款情况说明如下：","——")</f>
        <v>——</v>
      </c>
      <c r="B14" s="3209"/>
      <c r="C14" s="3209"/>
      <c r="D14" s="3209"/>
    </row>
    <row r="15" spans="1:4" ht="42" customHeight="1">
      <c r="A15" s="3204" t="str">
        <f>IF(项目基本情况!B8="抵押","（1）"&amp;CONCATENATE(项目基本情况!L20,项目基本情况!L21,项目基本情况!L22),"——")</f>
        <v>——</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8" t="s">
        <v>956</v>
      </c>
      <c r="B15" s="3213" t="s">
        <v>109</v>
      </c>
      <c r="C15" s="3214"/>
    </row>
    <row r="16" spans="1:7" ht="14.4">
      <c r="A16" s="3219"/>
      <c r="B16" s="3213" t="s">
        <v>42</v>
      </c>
      <c r="C16" s="3214"/>
    </row>
    <row r="17" spans="1:3" ht="14.4">
      <c r="A17" s="3219"/>
      <c r="B17" s="3216" t="s">
        <v>957</v>
      </c>
      <c r="C17" s="1429" t="s">
        <v>956</v>
      </c>
    </row>
    <row r="18" spans="1:3" ht="14.4">
      <c r="A18" s="3219"/>
      <c r="B18" s="3216"/>
      <c r="C18" s="1429" t="s">
        <v>958</v>
      </c>
    </row>
    <row r="19" spans="1:3" ht="14.4">
      <c r="A19" s="3219"/>
      <c r="B19" s="3216"/>
      <c r="C19" s="1429" t="s">
        <v>959</v>
      </c>
    </row>
    <row r="20" spans="1:3" ht="14.4">
      <c r="A20" s="3220"/>
      <c r="B20" s="3215" t="s">
        <v>960</v>
      </c>
      <c r="C20" s="3214"/>
    </row>
    <row r="21" spans="1:3" ht="14.4">
      <c r="A21" s="1430" t="s">
        <v>961</v>
      </c>
      <c r="B21" s="1431"/>
      <c r="C21" s="1432"/>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9" t="s">
        <v>967</v>
      </c>
    </row>
    <row r="26" spans="1:3" ht="14.4">
      <c r="A26" s="3217"/>
      <c r="B26" s="3216"/>
      <c r="C26" s="1429" t="s">
        <v>968</v>
      </c>
    </row>
    <row r="27" spans="1:3" ht="14.4">
      <c r="A27" s="3217"/>
      <c r="B27" s="3216"/>
      <c r="C27" s="1429" t="s">
        <v>969</v>
      </c>
    </row>
    <row r="28" spans="1:3" ht="14.4">
      <c r="A28" s="3217"/>
      <c r="B28" s="3216"/>
      <c r="C28" s="1429" t="s">
        <v>970</v>
      </c>
    </row>
    <row r="29" spans="1:3" ht="14.4">
      <c r="A29" s="3217"/>
      <c r="B29" s="3216"/>
      <c r="C29" s="1429" t="s">
        <v>971</v>
      </c>
    </row>
    <row r="30" spans="1:3" ht="14.4">
      <c r="A30" s="3217"/>
      <c r="B30" s="3216"/>
      <c r="C30" s="1429" t="s">
        <v>972</v>
      </c>
    </row>
    <row r="31" spans="1:3" ht="14.4">
      <c r="A31" s="3217"/>
      <c r="B31" s="3216"/>
      <c r="C31" s="1429" t="s">
        <v>973</v>
      </c>
    </row>
    <row r="32" spans="1:3" ht="14.4">
      <c r="A32" s="3217"/>
      <c r="B32" s="3216"/>
      <c r="C32" s="1429" t="s">
        <v>974</v>
      </c>
    </row>
    <row r="33" spans="1:3" ht="14.4">
      <c r="A33" s="3217"/>
      <c r="B33" s="321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45902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60"/>
      <c r="E18" s="3223" t="s">
        <v>2162</v>
      </c>
      <c r="F18" s="3222"/>
      <c r="G18" s="322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市调</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2025-09-02T02:20:40Z</dcterms:modified>
</cp:coreProperties>
</file>