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比较法-工业" sheetId="37"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市调" sheetId="82" r:id="rId46"/>
    <sheet name="Sheet1" sheetId="80" r:id="rId47"/>
    <sheet name="Sheet2" sheetId="81" r:id="rId48"/>
  </sheets>
  <externalReferences>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2"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2">'比较法-工业'!$A$1:$K$48,'比较法-工业'!$A$51:$M$113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G10" i="37"/>
  <c r="C39" i="37"/>
  <c r="N5" i="82"/>
  <c r="N8" i="82"/>
  <c r="C8" i="82"/>
  <c r="C7" i="82"/>
  <c r="C6" i="82"/>
  <c r="C5" i="82"/>
  <c r="C4" i="82"/>
  <c r="G84" i="43" l="1"/>
  <c r="G85" i="43"/>
  <c r="G86" i="43"/>
  <c r="G87" i="43"/>
  <c r="G88" i="43"/>
  <c r="G89" i="43"/>
  <c r="G90" i="43"/>
  <c r="G83" i="43"/>
  <c r="D42" i="43"/>
  <c r="D33" i="43"/>
  <c r="I10" i="37"/>
  <c r="E10" i="37"/>
  <c r="C10" i="37"/>
  <c r="C30" i="37"/>
  <c r="E60" i="37"/>
  <c r="F60" i="37"/>
  <c r="G60" i="37"/>
  <c r="D60" i="37"/>
  <c r="J49" i="15" l="1"/>
  <c r="J49" i="67"/>
  <c r="Q17" i="1" l="1"/>
  <c r="N6" i="1"/>
  <c r="C33" i="37" l="1"/>
  <c r="Y6" i="1"/>
  <c r="G19" i="6"/>
  <c r="F19" i="6"/>
  <c r="I13" i="3"/>
  <c r="K13" i="3"/>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7" i="79"/>
  <c r="AR8" i="79" s="1"/>
  <c r="AR36" i="79"/>
  <c r="C60" i="78"/>
  <c r="D60" i="78" s="1"/>
  <c r="B55" i="78"/>
  <c r="D55" i="78" s="1"/>
  <c r="D53" i="78"/>
  <c r="D52" i="78"/>
  <c r="B51" i="78"/>
  <c r="B56" i="78" s="1"/>
  <c r="D51" i="78" l="1"/>
  <c r="C51" i="78" s="1"/>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D35" i="79"/>
  <c r="AR40" i="79"/>
  <c r="AR41" i="79" s="1"/>
  <c r="AR42" i="79" s="1"/>
  <c r="AR43" i="79" s="1"/>
  <c r="AR44" i="79" s="1"/>
  <c r="AR45" i="79" s="1"/>
  <c r="AR46" i="79" s="1"/>
  <c r="AR47" i="79" s="1"/>
  <c r="AR48" i="79" s="1"/>
  <c r="AR49" i="79" s="1"/>
  <c r="AR50" i="79" s="1"/>
  <c r="AR51" i="79" s="1"/>
  <c r="AR52" i="79" s="1"/>
  <c r="Z3" i="79"/>
  <c r="S33" i="79"/>
  <c r="AG33" i="79" s="1"/>
  <c r="S34" i="79"/>
  <c r="AG34" i="79" s="1"/>
  <c r="S35" i="79"/>
  <c r="AG35" i="79" s="1"/>
  <c r="AA31" i="79"/>
  <c r="AD31" i="79" s="1"/>
  <c r="T40" i="79"/>
  <c r="U46" i="79"/>
  <c r="AI46" i="79" s="1"/>
  <c r="AD47" i="79"/>
  <c r="S48" i="79"/>
  <c r="AG48" i="79" s="1"/>
  <c r="U50" i="79"/>
  <c r="AI50" i="79" s="1"/>
  <c r="AD51" i="79"/>
  <c r="W22" i="79"/>
  <c r="AK22" i="79" s="1"/>
  <c r="AH22" i="79"/>
  <c r="AR18" i="79"/>
  <c r="AR19" i="79" s="1"/>
  <c r="AR20" i="79" s="1"/>
  <c r="AR21" i="79" s="1"/>
  <c r="AR22" i="79" s="1"/>
  <c r="AR23" i="79" s="1"/>
  <c r="AR24" i="79" s="1"/>
  <c r="T33" i="79"/>
  <c r="T34" i="79"/>
  <c r="T35" i="79"/>
  <c r="N31" i="79"/>
  <c r="U34" i="79"/>
  <c r="AI34" i="79" s="1"/>
  <c r="U35" i="79"/>
  <c r="AI35"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23" i="79"/>
  <c r="AK23" i="79" s="1"/>
  <c r="AH23" i="79"/>
  <c r="W12" i="79"/>
  <c r="AK12" i="79" s="1"/>
  <c r="AH12" i="79"/>
  <c r="W21" i="79"/>
  <c r="AK21" i="79" s="1"/>
  <c r="AH21" i="79"/>
  <c r="W47" i="79"/>
  <c r="AK47" i="79" s="1"/>
  <c r="AH47" i="79"/>
  <c r="W45" i="79"/>
  <c r="AK45" i="79" s="1"/>
  <c r="AH45" i="79"/>
  <c r="W33" i="79"/>
  <c r="AK33" i="79" s="1"/>
  <c r="AH33" i="79"/>
  <c r="W11" i="79"/>
  <c r="AK11" i="79" s="1"/>
  <c r="AH11" i="79"/>
  <c r="W39" i="79"/>
  <c r="AK39" i="79" s="1"/>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4" i="79"/>
  <c r="AK34" i="79" s="1"/>
  <c r="AH34"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E23"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E38" i="71" s="1"/>
  <c r="E39" i="71" s="1"/>
  <c r="E40" i="71" s="1"/>
  <c r="U40"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N68" i="71"/>
  <c r="E34" i="71"/>
  <c r="C30" i="71"/>
  <c r="X31" i="71"/>
  <c r="C34" i="71"/>
  <c r="D34" i="71" s="1"/>
  <c r="C35" i="71"/>
  <c r="C36" i="71" s="1"/>
  <c r="X34" i="71"/>
  <c r="C38" i="71"/>
  <c r="D38" i="71" s="1"/>
  <c r="Y27" i="71"/>
  <c r="Z27" i="71" s="1"/>
  <c r="B28" i="71"/>
  <c r="B27" i="71" s="1"/>
  <c r="B26" i="71"/>
  <c r="D30" i="71"/>
  <c r="C47" i="71"/>
  <c r="D47" i="71"/>
  <c r="D46" i="71"/>
  <c r="P28" i="71"/>
  <c r="E28" i="71" s="1"/>
  <c r="U68" i="71"/>
  <c r="E67" i="71"/>
  <c r="Q28" i="71"/>
  <c r="C59" i="71"/>
  <c r="D58" i="71"/>
  <c r="C63" i="71"/>
  <c r="C64" i="71" s="1"/>
  <c r="D62" i="71"/>
  <c r="N67" i="71"/>
  <c r="B66" i="71"/>
  <c r="Q67" i="71"/>
  <c r="T68" i="71"/>
  <c r="O68" i="71"/>
  <c r="D68" i="71"/>
  <c r="C67" i="71"/>
  <c r="D67" i="71" s="1"/>
  <c r="Q68" i="71"/>
  <c r="E71" i="71"/>
  <c r="E70" i="71"/>
  <c r="D72" i="71"/>
  <c r="C75" i="71"/>
  <c r="D76" i="71"/>
  <c r="E79" i="71"/>
  <c r="E78" i="71"/>
  <c r="D80" i="71"/>
  <c r="C87" i="71"/>
  <c r="C86" i="71" s="1"/>
  <c r="D86" i="71" s="1"/>
  <c r="S28" i="71"/>
  <c r="F28" i="71"/>
  <c r="F27" i="71"/>
  <c r="F26" i="71"/>
  <c r="AA3" i="71"/>
  <c r="C66" i="71"/>
  <c r="O65" i="71" s="1"/>
  <c r="O67" i="71"/>
  <c r="D63" i="71"/>
  <c r="D75" i="71"/>
  <c r="C74" i="71"/>
  <c r="D74" i="71" s="1"/>
  <c r="N65" i="71"/>
  <c r="N66" i="71"/>
  <c r="D87" i="71"/>
  <c r="C60" i="71"/>
  <c r="D59" i="71"/>
  <c r="P67" i="71"/>
  <c r="E66" i="71"/>
  <c r="P65" i="71" s="1"/>
  <c r="D35" i="71"/>
  <c r="O66" i="71"/>
  <c r="D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AC29" i="39" s="1"/>
  <c r="J18" i="36"/>
  <c r="AC18" i="36" s="1"/>
  <c r="H18" i="35"/>
  <c r="AB18" i="35" s="1"/>
  <c r="J18" i="35"/>
  <c r="H21" i="37"/>
  <c r="U21" i="37" s="1"/>
  <c r="F21" i="37"/>
  <c r="AA21" i="37" s="1"/>
  <c r="H21" i="34"/>
  <c r="AB21" i="34" s="1"/>
  <c r="H21" i="33"/>
  <c r="U21" i="33" s="1"/>
  <c r="F21" i="33"/>
  <c r="AA21" i="33" s="1"/>
  <c r="E83" i="21"/>
  <c r="F83" i="21" s="1"/>
  <c r="G83" i="21" s="1"/>
  <c r="H1" i="69"/>
  <c r="AC25" i="40"/>
  <c r="W25" i="40"/>
  <c r="U25" i="40"/>
  <c r="U29" i="39"/>
  <c r="W18" i="36"/>
  <c r="AB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AB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W9" i="34"/>
  <c r="U34" i="34"/>
  <c r="H39" i="33"/>
  <c r="AB39" i="33" s="1"/>
  <c r="F26" i="33"/>
  <c r="AA26" i="33"/>
  <c r="U33" i="33"/>
  <c r="U35" i="33"/>
  <c r="S40" i="33"/>
  <c r="W33" i="33"/>
  <c r="W39" i="33"/>
  <c r="H39" i="37"/>
  <c r="AB39" i="37" s="1"/>
  <c r="S27" i="35"/>
  <c r="F11" i="40"/>
  <c r="AA11" i="40" s="1"/>
  <c r="H11" i="40"/>
  <c r="AB11" i="40"/>
  <c r="W8" i="40"/>
  <c r="AB39" i="40"/>
  <c r="AA9" i="40"/>
  <c r="U9" i="40"/>
  <c r="S34" i="40"/>
  <c r="U38"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C12" i="34"/>
  <c r="AB12" i="35"/>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AA44" i="34" s="1"/>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26" i="37"/>
  <c r="W47" i="34"/>
  <c r="AA13" i="33"/>
  <c r="AC45" i="33"/>
  <c r="W44" i="33"/>
  <c r="U1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W35" i="40"/>
  <c r="A118" i="9"/>
  <c r="A4" i="52"/>
  <c r="B41" i="72" s="1"/>
  <c r="J11" i="39"/>
  <c r="W11" i="39"/>
  <c r="F11" i="39"/>
  <c r="S11" i="39" s="1"/>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AZ116" i="3" s="1"/>
  <c r="G117" i="3"/>
  <c r="BA119" i="3"/>
  <c r="BL120" i="3"/>
  <c r="AZ120" i="3" s="1"/>
  <c r="G121" i="3"/>
  <c r="BA123" i="3"/>
  <c r="BL124" i="3"/>
  <c r="AZ124" i="3" s="1"/>
  <c r="G125" i="3"/>
  <c r="BA127" i="3"/>
  <c r="BL128" i="3"/>
  <c r="G129" i="3"/>
  <c r="BA131" i="3"/>
  <c r="BL132" i="3"/>
  <c r="G133" i="3"/>
  <c r="BA135" i="3"/>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79"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86" i="3"/>
  <c r="AZ500" i="3"/>
  <c r="BA16" i="3"/>
  <c r="AZ16"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41" i="3"/>
  <c r="BA379" i="3"/>
  <c r="AZ379" i="3" s="1"/>
  <c r="BL380" i="3"/>
  <c r="G381" i="3"/>
  <c r="BA383" i="3"/>
  <c r="AZ383" i="3" s="1"/>
  <c r="BL384" i="3"/>
  <c r="G385" i="3"/>
  <c r="BA387" i="3"/>
  <c r="AZ387" i="3" s="1"/>
  <c r="BL388" i="3"/>
  <c r="G389" i="3"/>
  <c r="BA391" i="3"/>
  <c r="AZ391" i="3" s="1"/>
  <c r="BL392" i="3"/>
  <c r="G393" i="3"/>
  <c r="BO5" i="3"/>
  <c r="BM5" i="3"/>
  <c r="BJ5" i="3"/>
  <c r="BH5" i="3"/>
  <c r="BF5" i="3"/>
  <c r="BD5" i="3"/>
  <c r="AC5" i="3"/>
  <c r="AZ506" i="3"/>
  <c r="AZ496" i="3"/>
  <c r="G548" i="3"/>
  <c r="G538" i="3"/>
  <c r="G520" i="3"/>
  <c r="G502" i="3"/>
  <c r="BS5" i="3"/>
  <c r="BP5" i="3"/>
  <c r="BN5" i="3"/>
  <c r="BK5" i="3"/>
  <c r="BI5" i="3"/>
  <c r="BG5" i="3"/>
  <c r="BE5" i="3"/>
  <c r="BC5" i="3"/>
  <c r="G17" i="3"/>
  <c r="BA17" i="3"/>
  <c r="BT5" i="3"/>
  <c r="AZ350" i="3"/>
  <c r="AZ356"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77" i="3"/>
  <c r="F23" i="39"/>
  <c r="AA23" i="39" s="1"/>
  <c r="H27" i="36"/>
  <c r="U27" i="36" s="1"/>
  <c r="F27" i="36"/>
  <c r="AA27" i="36" s="1"/>
  <c r="H33" i="34"/>
  <c r="U33" i="34" s="1"/>
  <c r="F32" i="37"/>
  <c r="AA32"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U12" i="39" s="1"/>
  <c r="AB12" i="39"/>
  <c r="F39" i="40"/>
  <c r="BA14" i="3"/>
  <c r="AZ254" i="3"/>
  <c r="AZ286" i="3"/>
  <c r="AZ157" i="3"/>
  <c r="B12" i="1"/>
  <c r="E12" i="1" s="1"/>
  <c r="B10" i="1"/>
  <c r="E10" i="1" s="1"/>
  <c r="AZ88" i="3"/>
  <c r="K12" i="1"/>
  <c r="M12" i="1" s="1"/>
  <c r="S13" i="1"/>
  <c r="AR13" i="1" s="1"/>
  <c r="R13" i="1"/>
  <c r="J51" i="67"/>
  <c r="AC34" i="33"/>
  <c r="AA34" i="33"/>
  <c r="B41" i="1"/>
  <c r="F48" i="9" s="1"/>
  <c r="O52" i="9" s="1"/>
  <c r="AB37" i="40"/>
  <c r="S35" i="40"/>
  <c r="U35" i="40"/>
  <c r="AC36"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U29" i="37"/>
  <c r="W30" i="37"/>
  <c r="S36" i="37"/>
  <c r="J17" i="37"/>
  <c r="W17" i="37" s="1"/>
  <c r="G73" i="37"/>
  <c r="F17" i="37"/>
  <c r="AA17" i="37" s="1"/>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W36" i="37"/>
  <c r="S27" i="37"/>
  <c r="S28" i="37"/>
  <c r="S40"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AA25" i="33"/>
  <c r="G87" i="33"/>
  <c r="H87" i="33"/>
  <c r="I87" i="33" s="1"/>
  <c r="J87" i="33" s="1"/>
  <c r="K87" i="33" s="1"/>
  <c r="L87" i="33" s="1"/>
  <c r="M87" i="33" s="1"/>
  <c r="J25" i="33"/>
  <c r="AC25" i="33" s="1"/>
  <c r="AB23" i="33"/>
  <c r="U23" i="33"/>
  <c r="F23" i="33"/>
  <c r="G85" i="33"/>
  <c r="AA19" i="33"/>
  <c r="H19" i="33"/>
  <c r="U19" i="33" s="1"/>
  <c r="G81" i="33"/>
  <c r="H17" i="33"/>
  <c r="U17" i="33" s="1"/>
  <c r="F17" i="33"/>
  <c r="S17" i="33" s="1"/>
  <c r="W17" i="33"/>
  <c r="S37" i="21"/>
  <c r="AA23" i="21"/>
  <c r="AB15" i="21"/>
  <c r="J23" i="21"/>
  <c r="F85" i="21"/>
  <c r="G85" i="21" s="1"/>
  <c r="H23" i="21"/>
  <c r="S13" i="21"/>
  <c r="D6" i="52"/>
  <c r="AP7" i="1"/>
  <c r="AB45" i="21"/>
  <c r="AB9" i="21"/>
  <c r="AA32" i="21"/>
  <c r="S32" i="21"/>
  <c r="W9" i="21"/>
  <c r="AB32" i="21"/>
  <c r="U32" i="21"/>
  <c r="A18" i="62"/>
  <c r="B64" i="72" s="1"/>
  <c r="U32" i="39"/>
  <c r="AC32" i="39"/>
  <c r="W32" i="39"/>
  <c r="J63" i="37"/>
  <c r="K63" i="37" s="1"/>
  <c r="L63" i="37" s="1"/>
  <c r="M63" i="37" s="1"/>
  <c r="J11" i="37"/>
  <c r="AC11" i="37" s="1"/>
  <c r="H70" i="34"/>
  <c r="I70" i="34" s="1"/>
  <c r="J70" i="34" s="1"/>
  <c r="K70" i="34" s="1"/>
  <c r="L70" i="34" s="1"/>
  <c r="M70" i="34" s="1"/>
  <c r="J11" i="34"/>
  <c r="W11" i="34" s="1"/>
  <c r="AB36" i="33"/>
  <c r="W25" i="33"/>
  <c r="AB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8" i="76"/>
  <c r="F40" i="67"/>
  <c r="C76" i="67"/>
  <c r="B13" i="76"/>
  <c r="B8" i="76"/>
  <c r="F4" i="73"/>
  <c r="F5" i="73"/>
  <c r="F13" i="15"/>
  <c r="M9" i="15"/>
  <c r="E2" i="68"/>
  <c r="F6" i="73"/>
  <c r="F3" i="73"/>
  <c r="F38" i="67"/>
  <c r="F9" i="67"/>
  <c r="AO13" i="1"/>
  <c r="F9" i="15"/>
  <c r="F6" i="15"/>
  <c r="F43" i="67"/>
  <c r="F36" i="67"/>
  <c r="F6" i="67"/>
  <c r="F7" i="15"/>
  <c r="F38" i="15"/>
  <c r="L47" i="15"/>
  <c r="M6" i="67"/>
  <c r="M6" i="15"/>
  <c r="E7" i="76"/>
  <c r="M23" i="67"/>
  <c r="F42" i="67"/>
  <c r="M22" i="67"/>
  <c r="M29" i="15"/>
  <c r="F26" i="67"/>
  <c r="F8" i="67"/>
  <c r="B12" i="76"/>
  <c r="F16" i="15"/>
  <c r="F26" i="15"/>
  <c r="M26" i="15"/>
  <c r="L47" i="67"/>
  <c r="J15" i="15"/>
  <c r="M24" i="15"/>
  <c r="E10" i="76"/>
  <c r="B10" i="76"/>
  <c r="C76" i="15"/>
  <c r="J15" i="67"/>
  <c r="F36" i="15"/>
  <c r="E2" i="69"/>
  <c r="F7" i="67"/>
  <c r="D6" i="73"/>
  <c r="F42" i="15"/>
  <c r="B7" i="76"/>
  <c r="F37" i="67"/>
  <c r="M24" i="67"/>
  <c r="B9" i="76"/>
  <c r="F16" i="67"/>
  <c r="F40" i="15"/>
  <c r="E9" i="76"/>
  <c r="M8" i="67"/>
  <c r="E13" i="76"/>
  <c r="L48" i="67"/>
  <c r="F13" i="67"/>
  <c r="F7" i="73"/>
  <c r="F20" i="31"/>
  <c r="M29" i="67"/>
  <c r="E11" i="76"/>
  <c r="F37" i="15"/>
  <c r="M26" i="67"/>
  <c r="B11" i="76"/>
  <c r="M9" i="67"/>
  <c r="M8" i="15"/>
  <c r="F43" i="15"/>
  <c r="M28" i="67"/>
  <c r="E12" i="76"/>
  <c r="C52" i="37" l="1"/>
  <c r="D52" i="37" s="1"/>
  <c r="E7" i="37"/>
  <c r="G7" i="37"/>
  <c r="I7" i="37"/>
  <c r="U30" i="37"/>
  <c r="W39" i="37"/>
  <c r="AA38" i="37"/>
  <c r="S30" i="37"/>
  <c r="U38" i="37"/>
  <c r="U39" i="37"/>
  <c r="W38" i="37"/>
  <c r="AB37" i="37"/>
  <c r="U36" i="37"/>
  <c r="J35" i="37"/>
  <c r="AB35" i="37"/>
  <c r="G99" i="37"/>
  <c r="H99" i="37" s="1"/>
  <c r="I99" i="37" s="1"/>
  <c r="J99" i="37" s="1"/>
  <c r="K99" i="37" s="1"/>
  <c r="L99" i="37" s="1"/>
  <c r="M99" i="37" s="1"/>
  <c r="F33" i="37"/>
  <c r="AA33" i="37" s="1"/>
  <c r="J33" i="37"/>
  <c r="AC33" i="37" s="1"/>
  <c r="W37" i="37"/>
  <c r="AA31" i="37"/>
  <c r="S37" i="37"/>
  <c r="AC34" i="37"/>
  <c r="W32" i="37"/>
  <c r="AB31" i="37"/>
  <c r="AA23" i="37"/>
  <c r="U23" i="37"/>
  <c r="AC21" i="37"/>
  <c r="AA19" i="37"/>
  <c r="U19" i="37"/>
  <c r="AB17" i="37"/>
  <c r="AC17" i="37"/>
  <c r="AC15" i="37"/>
  <c r="S15" i="37"/>
  <c r="AA35" i="37"/>
  <c r="U32" i="37"/>
  <c r="S32" i="37"/>
  <c r="W31" i="37"/>
  <c r="AC29" i="37"/>
  <c r="AA29" i="37"/>
  <c r="F54" i="9"/>
  <c r="F32" i="15"/>
  <c r="F60" i="15" s="1"/>
  <c r="F52" i="9"/>
  <c r="D68" i="9"/>
  <c r="F30" i="69"/>
  <c r="F48" i="69" s="1"/>
  <c r="F31" i="12"/>
  <c r="F28" i="15"/>
  <c r="F32" i="67"/>
  <c r="F60" i="67" s="1"/>
  <c r="F28" i="67"/>
  <c r="M18" i="15"/>
  <c r="M18" i="67"/>
  <c r="F30" i="11"/>
  <c r="C48" i="11" s="1"/>
  <c r="C7" i="21"/>
  <c r="C42" i="1"/>
  <c r="C24" i="12" s="1"/>
  <c r="G23" i="43"/>
  <c r="C23" i="43" s="1"/>
  <c r="C7" i="33"/>
  <c r="C7" i="36"/>
  <c r="C46" i="36" s="1"/>
  <c r="D46" i="36" s="1"/>
  <c r="E46" i="36" s="1"/>
  <c r="F46" i="36" s="1"/>
  <c r="G46" i="36" s="1"/>
  <c r="H46" i="36" s="1"/>
  <c r="I46" i="36" s="1"/>
  <c r="M47" i="9"/>
  <c r="C7" i="35"/>
  <c r="C48" i="35" s="1"/>
  <c r="D48" i="35" s="1"/>
  <c r="W27" i="33"/>
  <c r="W23" i="37"/>
  <c r="W17" i="21"/>
  <c r="AA27" i="40"/>
  <c r="AB27" i="40"/>
  <c r="F29" i="6"/>
  <c r="AZ389" i="3"/>
  <c r="AZ306" i="3"/>
  <c r="AA30" i="40"/>
  <c r="AC31" i="40"/>
  <c r="W31" i="40"/>
  <c r="AZ313" i="3"/>
  <c r="AZ394" i="3"/>
  <c r="AZ513" i="3"/>
  <c r="AC12" i="40"/>
  <c r="W12" i="40"/>
  <c r="S17" i="37"/>
  <c r="AZ14" i="3"/>
  <c r="AZ318" i="3"/>
  <c r="AZ364" i="3"/>
  <c r="AZ378" i="3"/>
  <c r="AC36" i="34"/>
  <c r="AZ531" i="3"/>
  <c r="AZ583" i="3"/>
  <c r="AZ568" i="3"/>
  <c r="AZ576" i="3"/>
  <c r="S44" i="34"/>
  <c r="AA14" i="34"/>
  <c r="AA14" i="37"/>
  <c r="G587" i="3"/>
  <c r="F9" i="33"/>
  <c r="AA9" i="33" s="1"/>
  <c r="J38" i="40"/>
  <c r="BL550" i="3"/>
  <c r="AZ345" i="3"/>
  <c r="AZ334" i="3"/>
  <c r="AZ372" i="3"/>
  <c r="AZ347" i="3"/>
  <c r="AZ337" i="3"/>
  <c r="AZ376" i="3"/>
  <c r="AZ309" i="3"/>
  <c r="AA11" i="39"/>
  <c r="AZ523" i="3"/>
  <c r="AZ547" i="3"/>
  <c r="AZ571" i="3"/>
  <c r="AZ579" i="3"/>
  <c r="AB46" i="34"/>
  <c r="AB30" i="21"/>
  <c r="S41" i="33"/>
  <c r="AB23" i="34"/>
  <c r="BL585" i="3"/>
  <c r="B75" i="43"/>
  <c r="H9" i="33"/>
  <c r="H23" i="35"/>
  <c r="J24" i="36"/>
  <c r="H24" i="36"/>
  <c r="G552" i="3"/>
  <c r="AZ451" i="3"/>
  <c r="AZ351" i="3"/>
  <c r="AZ336" i="3"/>
  <c r="AB33" i="40"/>
  <c r="AC31" i="33"/>
  <c r="AZ539" i="3"/>
  <c r="AZ529" i="3"/>
  <c r="AZ537" i="3"/>
  <c r="AZ518" i="3"/>
  <c r="AZ526" i="3"/>
  <c r="AZ546" i="3"/>
  <c r="AZ564" i="3"/>
  <c r="AZ580" i="3"/>
  <c r="AZ585" i="3"/>
  <c r="AB45" i="33"/>
  <c r="AA29" i="35"/>
  <c r="AB17" i="34"/>
  <c r="B79" i="43"/>
  <c r="F38" i="40"/>
  <c r="BL587" i="3"/>
  <c r="AZ587" i="3" s="1"/>
  <c r="J12" i="36"/>
  <c r="H12" i="36"/>
  <c r="BL15" i="3"/>
  <c r="AZ15" i="3" s="1"/>
  <c r="BA398" i="3"/>
  <c r="BA399" i="3"/>
  <c r="AZ399" i="3" s="1"/>
  <c r="BL401" i="3"/>
  <c r="AZ401" i="3" s="1"/>
  <c r="BL404" i="3"/>
  <c r="BL405" i="3"/>
  <c r="BL407" i="3"/>
  <c r="BA412" i="3"/>
  <c r="AZ412" i="3" s="1"/>
  <c r="BA414" i="3"/>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G446" i="3"/>
  <c r="BL448" i="3"/>
  <c r="G450" i="3"/>
  <c r="BA454" i="3"/>
  <c r="BA457" i="3"/>
  <c r="BA459" i="3"/>
  <c r="BA460" i="3"/>
  <c r="AZ460" i="3" s="1"/>
  <c r="BA461" i="3"/>
  <c r="BL464" i="3"/>
  <c r="AZ464" i="3" s="1"/>
  <c r="BL466" i="3"/>
  <c r="G468" i="3"/>
  <c r="BL476" i="3"/>
  <c r="BL477" i="3"/>
  <c r="G481" i="3"/>
  <c r="BA482" i="3"/>
  <c r="BA484" i="3"/>
  <c r="AZ484" i="3" s="1"/>
  <c r="BA488" i="3"/>
  <c r="AZ488" i="3" s="1"/>
  <c r="G492" i="3"/>
  <c r="BA303" i="3"/>
  <c r="AZ303" i="3" s="1"/>
  <c r="BA307" i="3"/>
  <c r="AZ307" i="3" s="1"/>
  <c r="G311" i="3"/>
  <c r="BL314" i="3"/>
  <c r="AZ314" i="3" s="1"/>
  <c r="G315" i="3"/>
  <c r="AZ404" i="3"/>
  <c r="AZ405" i="3"/>
  <c r="AZ407" i="3"/>
  <c r="AZ419" i="3"/>
  <c r="AZ444" i="3"/>
  <c r="AZ448" i="3"/>
  <c r="AZ466" i="3"/>
  <c r="AZ476" i="3"/>
  <c r="AZ480" i="3"/>
  <c r="AZ487" i="3"/>
  <c r="AZ217" i="3"/>
  <c r="F25" i="37"/>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91" i="3"/>
  <c r="AZ491" i="3" s="1"/>
  <c r="BL317" i="3"/>
  <c r="BL398" i="3"/>
  <c r="G402" i="3"/>
  <c r="BL403" i="3"/>
  <c r="AZ403" i="3" s="1"/>
  <c r="G405" i="3"/>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G465" i="3"/>
  <c r="BA471" i="3"/>
  <c r="BA485" i="3"/>
  <c r="BA332" i="3"/>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BA283" i="3"/>
  <c r="BA284" i="3"/>
  <c r="BL290" i="3"/>
  <c r="BL291" i="3"/>
  <c r="AZ291" i="3" s="1"/>
  <c r="BL293" i="3"/>
  <c r="BL294" i="3"/>
  <c r="BA297" i="3"/>
  <c r="AZ297" i="3" s="1"/>
  <c r="BL297" i="3"/>
  <c r="G116" i="3"/>
  <c r="BA117" i="3"/>
  <c r="BL127" i="3"/>
  <c r="AZ127" i="3" s="1"/>
  <c r="BA145" i="3"/>
  <c r="AZ270" i="3"/>
  <c r="AZ302" i="3"/>
  <c r="BA134" i="3"/>
  <c r="BA349" i="3"/>
  <c r="AZ349" i="3" s="1"/>
  <c r="BA353" i="3"/>
  <c r="BL353" i="3"/>
  <c r="BA358" i="3"/>
  <c r="AZ358" i="3" s="1"/>
  <c r="BL365" i="3"/>
  <c r="AZ365" i="3" s="1"/>
  <c r="BA368" i="3"/>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BL248" i="3"/>
  <c r="AZ248" i="3" s="1"/>
  <c r="BL250" i="3"/>
  <c r="AZ250" i="3" s="1"/>
  <c r="BA259" i="3"/>
  <c r="AZ259" i="3" s="1"/>
  <c r="BL261" i="3"/>
  <c r="BA263" i="3"/>
  <c r="AZ263" i="3" s="1"/>
  <c r="BA267" i="3"/>
  <c r="AZ267" i="3" s="1"/>
  <c r="BA269" i="3"/>
  <c r="AZ269" i="3" s="1"/>
  <c r="BA271" i="3"/>
  <c r="BL271" i="3"/>
  <c r="BA274" i="3"/>
  <c r="BL274" i="3"/>
  <c r="BA276" i="3"/>
  <c r="BA279" i="3"/>
  <c r="BA281" i="3"/>
  <c r="BL283" i="3"/>
  <c r="BL284" i="3"/>
  <c r="G288" i="3"/>
  <c r="BL292" i="3"/>
  <c r="BA294" i="3"/>
  <c r="AZ294" i="3" s="1"/>
  <c r="BL295" i="3"/>
  <c r="BL478" i="3"/>
  <c r="G479" i="3"/>
  <c r="G480" i="3"/>
  <c r="BL480" i="3"/>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301" i="3"/>
  <c r="AZ301" i="3" s="1"/>
  <c r="BL302" i="3"/>
  <c r="BL122" i="3"/>
  <c r="BA126" i="3"/>
  <c r="BA132" i="3"/>
  <c r="AZ132" i="3" s="1"/>
  <c r="BL135" i="3"/>
  <c r="AZ135" i="3" s="1"/>
  <c r="G282" i="3"/>
  <c r="BL285" i="3"/>
  <c r="BL287" i="3"/>
  <c r="BA290" i="3"/>
  <c r="G297" i="3"/>
  <c r="BL299" i="3"/>
  <c r="G300" i="3"/>
  <c r="BL113" i="3"/>
  <c r="BL115" i="3"/>
  <c r="AZ115" i="3" s="1"/>
  <c r="BA118" i="3"/>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G38" i="3"/>
  <c r="BA38" i="3"/>
  <c r="G42" i="3"/>
  <c r="BA45" i="3"/>
  <c r="BA46" i="3"/>
  <c r="BL49" i="3"/>
  <c r="BL50" i="3"/>
  <c r="AZ50" i="3" s="1"/>
  <c r="BL51" i="3"/>
  <c r="BL100"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G41" i="3"/>
  <c r="BL47" i="3"/>
  <c r="AZ47" i="3" s="1"/>
  <c r="G49" i="3"/>
  <c r="BL99" i="3"/>
  <c r="BA105" i="3"/>
  <c r="D31" i="71"/>
  <c r="C32" i="71"/>
  <c r="C55" i="71"/>
  <c r="D54" i="71"/>
  <c r="G98" i="3"/>
  <c r="C44" i="71"/>
  <c r="D43" i="71"/>
  <c r="BA114" i="3"/>
  <c r="BL123" i="3"/>
  <c r="AZ123" i="3" s="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AZ25" i="3" s="1"/>
  <c r="BA26" i="3"/>
  <c r="BL28" i="3"/>
  <c r="BA29" i="3"/>
  <c r="AZ29" i="3" s="1"/>
  <c r="BA36" i="3"/>
  <c r="BL38" i="3"/>
  <c r="BA39" i="3"/>
  <c r="AZ39" i="3" s="1"/>
  <c r="BA41" i="3"/>
  <c r="BL53" i="3"/>
  <c r="D50" i="71"/>
  <c r="C51" i="71"/>
  <c r="BL55" i="3"/>
  <c r="AZ55" i="3" s="1"/>
  <c r="BA59" i="3"/>
  <c r="BL61" i="3"/>
  <c r="BA64" i="3"/>
  <c r="AZ64" i="3" s="1"/>
  <c r="G67" i="3"/>
  <c r="BL68" i="3"/>
  <c r="BA69" i="3"/>
  <c r="AZ69" i="3" s="1"/>
  <c r="G72" i="3"/>
  <c r="BL73" i="3"/>
  <c r="BA74" i="3"/>
  <c r="AZ74" i="3" s="1"/>
  <c r="BA75" i="3"/>
  <c r="G81" i="3"/>
  <c r="G85" i="3"/>
  <c r="BL85" i="3"/>
  <c r="BA86" i="3"/>
  <c r="AZ86" i="3" s="1"/>
  <c r="BA87" i="3"/>
  <c r="BA91" i="3"/>
  <c r="AZ91" i="3" s="1"/>
  <c r="G96" i="3"/>
  <c r="BL97" i="3"/>
  <c r="AZ97" i="3" s="1"/>
  <c r="BL101" i="3"/>
  <c r="AZ101" i="3" s="1"/>
  <c r="BL102" i="3"/>
  <c r="G104" i="3"/>
  <c r="G105" i="3"/>
  <c r="BL106" i="3"/>
  <c r="BA108" i="3"/>
  <c r="AZ108" i="3" s="1"/>
  <c r="BA110" i="3"/>
  <c r="AZ110" i="3" s="1"/>
  <c r="F3" i="35"/>
  <c r="S21" i="33"/>
  <c r="S21" i="37"/>
  <c r="W29" i="39"/>
  <c r="B77" i="43"/>
  <c r="AA18" i="35"/>
  <c r="AA28" i="71"/>
  <c r="AB27" i="71"/>
  <c r="E75" i="71"/>
  <c r="E74" i="71" s="1"/>
  <c r="AB25" i="71"/>
  <c r="X26" i="71"/>
  <c r="Y25" i="71"/>
  <c r="Z25" i="71" s="1"/>
  <c r="X38" i="71"/>
  <c r="Y29" i="71"/>
  <c r="Z29" i="71" s="1"/>
  <c r="AB32" i="71"/>
  <c r="X33" i="71"/>
  <c r="AB37" i="71"/>
  <c r="BL40" i="3"/>
  <c r="BL41" i="3"/>
  <c r="G45" i="3"/>
  <c r="BL45" i="3"/>
  <c r="BA48" i="3"/>
  <c r="BA49" i="3"/>
  <c r="AZ49" i="3" s="1"/>
  <c r="BA51" i="3"/>
  <c r="AZ51" i="3" s="1"/>
  <c r="G54" i="3"/>
  <c r="G55" i="3"/>
  <c r="BL56" i="3"/>
  <c r="BA58" i="3"/>
  <c r="AZ58" i="3" s="1"/>
  <c r="BL59" i="3"/>
  <c r="BL60" i="3"/>
  <c r="BA61" i="3"/>
  <c r="AZ61" i="3" s="1"/>
  <c r="BA68" i="3"/>
  <c r="BA73" i="3"/>
  <c r="BA80" i="3"/>
  <c r="G84" i="3"/>
  <c r="BL84" i="3"/>
  <c r="AZ84" i="3" s="1"/>
  <c r="BA89" i="3"/>
  <c r="G99" i="3"/>
  <c r="BA103" i="3"/>
  <c r="AZ103" i="3" s="1"/>
  <c r="BA104" i="3"/>
  <c r="BA106" i="3"/>
  <c r="BL108" i="3"/>
  <c r="G110" i="3"/>
  <c r="BL111" i="3"/>
  <c r="C21" i="68"/>
  <c r="P66" i="71"/>
  <c r="AA27" i="71"/>
  <c r="AB26" i="71"/>
  <c r="C83" i="71"/>
  <c r="C79" i="71"/>
  <c r="C71" i="71"/>
  <c r="C39" i="71"/>
  <c r="X25" i="71"/>
  <c r="Y28" i="71"/>
  <c r="Z28" i="71" s="1"/>
  <c r="C28" i="71"/>
  <c r="Y37" i="71"/>
  <c r="Z37" i="71" s="1"/>
  <c r="X35" i="71"/>
  <c r="AA37" i="71"/>
  <c r="Y30" i="71"/>
  <c r="Z30" i="71" s="1"/>
  <c r="X28" i="71"/>
  <c r="X32" i="71"/>
  <c r="F38" i="71"/>
  <c r="F39" i="71" s="1"/>
  <c r="F40" i="71" s="1"/>
  <c r="V40" i="71" s="1"/>
  <c r="AB38" i="71"/>
  <c r="AA39" i="71"/>
  <c r="F75" i="71"/>
  <c r="F74" i="71" s="1"/>
  <c r="B79" i="71"/>
  <c r="B78" i="71" s="1"/>
  <c r="E22" i="71"/>
  <c r="E21" i="71" s="1"/>
  <c r="E20" i="71" s="1"/>
  <c r="G52" i="3"/>
  <c r="BA52" i="3"/>
  <c r="AZ52" i="3" s="1"/>
  <c r="BA53" i="3"/>
  <c r="AZ53" i="3" s="1"/>
  <c r="BA54" i="3"/>
  <c r="BL57" i="3"/>
  <c r="AZ57" i="3" s="1"/>
  <c r="G59" i="3"/>
  <c r="G62" i="3"/>
  <c r="BL62" i="3"/>
  <c r="AZ62" i="3" s="1"/>
  <c r="BL63" i="3"/>
  <c r="AZ63" i="3" s="1"/>
  <c r="G65" i="3"/>
  <c r="BL65" i="3"/>
  <c r="AZ65" i="3" s="1"/>
  <c r="BL66" i="3"/>
  <c r="AZ66" i="3" s="1"/>
  <c r="BL67" i="3"/>
  <c r="AZ67" i="3" s="1"/>
  <c r="BL70" i="3"/>
  <c r="AZ70" i="3" s="1"/>
  <c r="BL71" i="3"/>
  <c r="AZ71" i="3" s="1"/>
  <c r="BL72" i="3"/>
  <c r="AZ72" i="3" s="1"/>
  <c r="BL75" i="3"/>
  <c r="BL81" i="3"/>
  <c r="BA82" i="3"/>
  <c r="AZ82" i="3" s="1"/>
  <c r="BL83" i="3"/>
  <c r="G88" i="3"/>
  <c r="BA90" i="3"/>
  <c r="BL94" i="3"/>
  <c r="AZ94" i="3" s="1"/>
  <c r="BA100" i="3"/>
  <c r="AZ100" i="3" s="1"/>
  <c r="BA102" i="3"/>
  <c r="AZ102" i="3" s="1"/>
  <c r="BL105" i="3"/>
  <c r="BL107" i="3"/>
  <c r="BA111" i="3"/>
  <c r="AZ111" i="3" s="1"/>
  <c r="K13" i="1"/>
  <c r="M13" i="1" s="1"/>
  <c r="O13" i="1" s="1"/>
  <c r="P13" i="1" s="1"/>
  <c r="S18" i="36"/>
  <c r="AB28" i="71"/>
  <c r="AB33" i="71"/>
  <c r="AA30" i="71"/>
  <c r="E35" i="71"/>
  <c r="E36" i="71" s="1"/>
  <c r="U36" i="71" s="1"/>
  <c r="AB31" i="71"/>
  <c r="AA36" i="71"/>
  <c r="B47" i="71"/>
  <c r="B48" i="71" s="1"/>
  <c r="S48" i="71" s="1"/>
  <c r="E47" i="71"/>
  <c r="E48" i="71" s="1"/>
  <c r="U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H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71" i="15"/>
  <c r="F66" i="67"/>
  <c r="L59" i="15"/>
  <c r="N59" i="15"/>
  <c r="M59" i="15"/>
  <c r="F66" i="15"/>
  <c r="Q71" i="67"/>
  <c r="F64" i="15"/>
  <c r="C27" i="67"/>
  <c r="F71" i="67"/>
  <c r="C27" i="15"/>
  <c r="F65" i="15"/>
  <c r="N59" i="67"/>
  <c r="L59" i="67"/>
  <c r="L58" i="67"/>
  <c r="M59" i="67"/>
  <c r="B13" i="70"/>
  <c r="M7" i="67"/>
  <c r="J6" i="67" s="1"/>
  <c r="F50" i="67"/>
  <c r="F68" i="67"/>
  <c r="F64" i="67"/>
  <c r="F68" i="15"/>
  <c r="C36" i="68"/>
  <c r="D9" i="69"/>
  <c r="C36" i="69"/>
  <c r="D9" i="68"/>
  <c r="F8" i="15"/>
  <c r="C16" i="15"/>
  <c r="M28" i="15"/>
  <c r="C16" i="67"/>
  <c r="M23" i="15"/>
  <c r="D3" i="73"/>
  <c r="L48" i="15"/>
  <c r="D5" i="73"/>
  <c r="D7" i="73"/>
  <c r="M22" i="15"/>
  <c r="D4" i="73"/>
  <c r="S33" i="37" l="1"/>
  <c r="F26" i="43"/>
  <c r="W35" i="37"/>
  <c r="AC35" i="37"/>
  <c r="E26" i="43"/>
  <c r="G26" i="43"/>
  <c r="N94" i="46"/>
  <c r="P6" i="1"/>
  <c r="C13" i="12" s="1"/>
  <c r="K16" i="1"/>
  <c r="H16" i="1"/>
  <c r="E59" i="40"/>
  <c r="Q16" i="1"/>
  <c r="F27" i="69" s="1"/>
  <c r="C47" i="69" s="1"/>
  <c r="D45" i="69" s="1"/>
  <c r="F51" i="15"/>
  <c r="C49" i="15" s="1"/>
  <c r="C6" i="15"/>
  <c r="C32" i="15" s="1"/>
  <c r="F31" i="15"/>
  <c r="J57" i="15"/>
  <c r="J55" i="15" s="1"/>
  <c r="J58" i="15" s="1"/>
  <c r="Q50" i="15" s="1"/>
  <c r="I54" i="15"/>
  <c r="J53" i="15"/>
  <c r="L56" i="15" s="1"/>
  <c r="L58" i="15"/>
  <c r="Q73" i="15" s="1"/>
  <c r="T28" i="71"/>
  <c r="D28" i="71"/>
  <c r="U28" i="71" s="1"/>
  <c r="C27" i="71"/>
  <c r="C70" i="71"/>
  <c r="D70" i="71" s="1"/>
  <c r="D71" i="71"/>
  <c r="AZ59" i="3"/>
  <c r="AZ38" i="3"/>
  <c r="AZ137" i="3"/>
  <c r="AZ27" i="3"/>
  <c r="AZ178" i="3"/>
  <c r="AZ118" i="3"/>
  <c r="AZ126" i="3"/>
  <c r="AZ271" i="3"/>
  <c r="AZ243" i="3"/>
  <c r="AZ368" i="3"/>
  <c r="AZ353" i="3"/>
  <c r="AZ284" i="3"/>
  <c r="AZ332" i="3"/>
  <c r="AZ411" i="3"/>
  <c r="AA25" i="37"/>
  <c r="S25" i="37"/>
  <c r="AZ461" i="3"/>
  <c r="AZ454" i="3"/>
  <c r="AZ418" i="3"/>
  <c r="U12" i="36"/>
  <c r="AB12" i="36"/>
  <c r="AA38" i="40"/>
  <c r="S38" i="40"/>
  <c r="U23" i="35"/>
  <c r="AB23" i="35"/>
  <c r="D79" i="71"/>
  <c r="C78" i="71"/>
  <c r="D78" i="71" s="1"/>
  <c r="AZ105" i="3"/>
  <c r="AZ45" i="3"/>
  <c r="AZ283" i="3"/>
  <c r="AZ435" i="3"/>
  <c r="W12" i="36"/>
  <c r="AC12" i="36"/>
  <c r="AB9" i="33"/>
  <c r="U9" i="33"/>
  <c r="G5" i="3"/>
  <c r="B3" i="3" s="1"/>
  <c r="AP6" i="3" s="1"/>
  <c r="D83" i="71"/>
  <c r="C82" i="71"/>
  <c r="D82" i="71" s="1"/>
  <c r="C52" i="71"/>
  <c r="D51" i="71"/>
  <c r="AZ41" i="3"/>
  <c r="AZ150" i="3"/>
  <c r="D44" i="71"/>
  <c r="T44" i="71"/>
  <c r="C56" i="71"/>
  <c r="D55" i="71"/>
  <c r="AZ130" i="3"/>
  <c r="AZ31" i="3"/>
  <c r="AZ20" i="3"/>
  <c r="AZ122" i="3"/>
  <c r="AZ274" i="3"/>
  <c r="AZ229" i="3"/>
  <c r="AZ218" i="3"/>
  <c r="AZ471" i="3"/>
  <c r="AZ459" i="3"/>
  <c r="AZ415" i="3"/>
  <c r="AZ398" i="3"/>
  <c r="AB24" i="36"/>
  <c r="U24" i="36"/>
  <c r="AC38" i="40"/>
  <c r="W38" i="40"/>
  <c r="C40" i="71"/>
  <c r="D39" i="71"/>
  <c r="AZ75" i="3"/>
  <c r="T32" i="71"/>
  <c r="D32" i="71"/>
  <c r="AZ28" i="3"/>
  <c r="AZ457" i="3"/>
  <c r="AZ414" i="3"/>
  <c r="AC24" i="36"/>
  <c r="W24" i="36"/>
  <c r="G16" i="1"/>
  <c r="F10" i="39" s="1"/>
  <c r="S10" i="39" s="1"/>
  <c r="J7" i="37"/>
  <c r="AC7" i="37" s="1"/>
  <c r="K1" i="73"/>
  <c r="E286" i="3"/>
  <c r="E37" i="3"/>
  <c r="E144" i="3"/>
  <c r="E68" i="3"/>
  <c r="E251" i="3"/>
  <c r="E287" i="3"/>
  <c r="E556" i="3"/>
  <c r="E452" i="3"/>
  <c r="E370" i="3"/>
  <c r="E80" i="3"/>
  <c r="E490" i="3"/>
  <c r="E498" i="3"/>
  <c r="E540" i="3"/>
  <c r="E455" i="3"/>
  <c r="E50" i="3"/>
  <c r="E20" i="3"/>
  <c r="E65" i="3"/>
  <c r="E51" i="3"/>
  <c r="E323" i="3"/>
  <c r="E582" i="3"/>
  <c r="E488" i="3"/>
  <c r="E195" i="3"/>
  <c r="E532" i="3"/>
  <c r="E288" i="3"/>
  <c r="U6" i="3"/>
  <c r="E432" i="3"/>
  <c r="E574" i="3"/>
  <c r="E359" i="3"/>
  <c r="E302" i="3"/>
  <c r="E159" i="3"/>
  <c r="E120" i="3"/>
  <c r="E177" i="3"/>
  <c r="E73" i="3"/>
  <c r="E203" i="3"/>
  <c r="E164" i="3"/>
  <c r="AG6" i="3"/>
  <c r="E121" i="3"/>
  <c r="E166" i="3"/>
  <c r="N6" i="3"/>
  <c r="E239" i="3"/>
  <c r="V6" i="3"/>
  <c r="E320" i="3"/>
  <c r="E117" i="3"/>
  <c r="E290" i="3"/>
  <c r="E453" i="3"/>
  <c r="E85" i="3"/>
  <c r="E527" i="3"/>
  <c r="E562" i="3"/>
  <c r="E318" i="3"/>
  <c r="E31" i="3"/>
  <c r="E478" i="3"/>
  <c r="E414" i="3"/>
  <c r="E162" i="3"/>
  <c r="E186" i="3"/>
  <c r="E530" i="3"/>
  <c r="E343" i="3"/>
  <c r="E337" i="3"/>
  <c r="E143" i="3"/>
  <c r="E561" i="3"/>
  <c r="E538" i="3"/>
  <c r="E216" i="3"/>
  <c r="E261" i="3"/>
  <c r="E361" i="3"/>
  <c r="E503" i="3"/>
  <c r="E134" i="3"/>
  <c r="E301" i="3"/>
  <c r="E495" i="3"/>
  <c r="E124" i="3"/>
  <c r="E77" i="3"/>
  <c r="E568" i="3"/>
  <c r="AK6" i="3"/>
  <c r="E228" i="3"/>
  <c r="K6" i="3"/>
  <c r="E560" i="3"/>
  <c r="E465" i="3"/>
  <c r="E587" i="3"/>
  <c r="E454" i="3"/>
  <c r="E106" i="3"/>
  <c r="E214" i="3"/>
  <c r="E315" i="3"/>
  <c r="E227" i="3"/>
  <c r="E368" i="3"/>
  <c r="E327" i="3"/>
  <c r="Z6" i="3"/>
  <c r="E400" i="3"/>
  <c r="E345" i="3"/>
  <c r="E489" i="3"/>
  <c r="E28" i="3"/>
  <c r="E211" i="3"/>
  <c r="E273" i="3"/>
  <c r="E109" i="3"/>
  <c r="E217" i="3"/>
  <c r="E322" i="3"/>
  <c r="AJ6" i="3"/>
  <c r="E431" i="3"/>
  <c r="E247" i="3"/>
  <c r="E514" i="3"/>
  <c r="E570" i="3"/>
  <c r="E387" i="3"/>
  <c r="E335" i="3"/>
  <c r="E69" i="3"/>
  <c r="E278" i="3"/>
  <c r="E445" i="3"/>
  <c r="E535" i="3"/>
  <c r="E191" i="3"/>
  <c r="E263" i="3"/>
  <c r="E385" i="3"/>
  <c r="E246" i="3"/>
  <c r="E200" i="3"/>
  <c r="E148" i="3"/>
  <c r="E296" i="3"/>
  <c r="E275" i="3"/>
  <c r="AA26" i="37"/>
  <c r="S26" i="37"/>
  <c r="BA5" i="3"/>
  <c r="E27" i="6" s="1"/>
  <c r="K26" i="6" s="1"/>
  <c r="M26" i="6" s="1"/>
  <c r="I26" i="6" s="1"/>
  <c r="S26" i="6" s="1"/>
  <c r="C19" i="71"/>
  <c r="T20" i="71"/>
  <c r="D20" i="71"/>
  <c r="U20" i="71" s="1"/>
  <c r="AZ5" i="3"/>
  <c r="AY6" i="3" s="1"/>
  <c r="E487" i="3"/>
  <c r="E219" i="3"/>
  <c r="W40" i="40"/>
  <c r="AC40"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H7" i="33"/>
  <c r="J7" i="33"/>
  <c r="D65" i="40"/>
  <c r="E63" i="40"/>
  <c r="F48" i="35"/>
  <c r="S7" i="36"/>
  <c r="AB7" i="36"/>
  <c r="T36" i="36" s="1"/>
  <c r="G36" i="36" s="1"/>
  <c r="F7" i="33"/>
  <c r="E58" i="21"/>
  <c r="AC7" i="36"/>
  <c r="V36" i="36" s="1"/>
  <c r="I36" i="36" s="1"/>
  <c r="W7" i="36"/>
  <c r="F7" i="37"/>
  <c r="M17" i="67"/>
  <c r="M17" i="15"/>
  <c r="F59" i="15"/>
  <c r="P28" i="43"/>
  <c r="B66" i="40" s="1"/>
  <c r="P25" i="43"/>
  <c r="C49" i="67"/>
  <c r="P29" i="43"/>
  <c r="P27" i="43"/>
  <c r="B70" i="39" s="1"/>
  <c r="J18" i="15"/>
  <c r="C32" i="67"/>
  <c r="Q60" i="67"/>
  <c r="Q73" i="67"/>
  <c r="M11" i="67"/>
  <c r="J10" i="67" s="1"/>
  <c r="J5" i="67" s="1"/>
  <c r="F11" i="15"/>
  <c r="M11" i="15"/>
  <c r="J10" i="15" s="1"/>
  <c r="J5" i="15" s="1"/>
  <c r="J24" i="15" s="1"/>
  <c r="F11" i="67"/>
  <c r="J18" i="67"/>
  <c r="F1" i="67"/>
  <c r="Q52" i="67"/>
  <c r="Q61" i="67"/>
  <c r="Q74" i="67"/>
  <c r="Q74" i="15"/>
  <c r="Q61" i="15"/>
  <c r="AE11" i="1"/>
  <c r="AE9" i="1"/>
  <c r="AE7" i="1"/>
  <c r="AE8" i="1"/>
  <c r="AE12" i="1"/>
  <c r="AE10" i="1"/>
  <c r="G1" i="73"/>
  <c r="D26" i="43" l="1"/>
  <c r="C25" i="43" s="1"/>
  <c r="W7" i="37"/>
  <c r="F27" i="68"/>
  <c r="F45" i="68" s="1"/>
  <c r="J10" i="39"/>
  <c r="W10" i="39" s="1"/>
  <c r="F10" i="40"/>
  <c r="S10" i="40" s="1"/>
  <c r="F28" i="12"/>
  <c r="C29" i="12" s="1"/>
  <c r="D28" i="12" s="1"/>
  <c r="AA10" i="39"/>
  <c r="F27" i="11"/>
  <c r="C29" i="11" s="1"/>
  <c r="D27" i="11" s="1"/>
  <c r="H10" i="39"/>
  <c r="U10" i="39" s="1"/>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31" i="3"/>
  <c r="AR6" i="3"/>
  <c r="E555" i="3"/>
  <c r="E44" i="3"/>
  <c r="E476" i="3"/>
  <c r="E107" i="3"/>
  <c r="E111" i="3"/>
  <c r="E193" i="3"/>
  <c r="E293" i="3"/>
  <c r="E415" i="3"/>
  <c r="E151" i="3"/>
  <c r="E125" i="3"/>
  <c r="E581" i="3"/>
  <c r="E32" i="3"/>
  <c r="AE6" i="3"/>
  <c r="E156" i="3"/>
  <c r="E169" i="3"/>
  <c r="E29" i="3"/>
  <c r="E357" i="3"/>
  <c r="E122" i="3"/>
  <c r="E259" i="3"/>
  <c r="E110" i="3"/>
  <c r="E398" i="3"/>
  <c r="E52" i="3"/>
  <c r="E226" i="3"/>
  <c r="E493" i="3"/>
  <c r="E78" i="3"/>
  <c r="T6" i="3"/>
  <c r="E482" i="3"/>
  <c r="E16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380" i="3"/>
  <c r="E270" i="3"/>
  <c r="E388" i="3"/>
  <c r="E384" i="3"/>
  <c r="AS6" i="3"/>
  <c r="E271" i="3"/>
  <c r="E72" i="3"/>
  <c r="E45" i="3"/>
  <c r="E578" i="3"/>
  <c r="E114" i="3"/>
  <c r="E229" i="3"/>
  <c r="E30" i="3"/>
  <c r="E558" i="3"/>
  <c r="E580" i="3"/>
  <c r="E424" i="3"/>
  <c r="E280" i="3"/>
  <c r="E338" i="3"/>
  <c r="E272" i="3"/>
  <c r="E257" i="3"/>
  <c r="E307" i="3"/>
  <c r="E373" i="3"/>
  <c r="E57" i="3"/>
  <c r="E165" i="3"/>
  <c r="E339" i="3"/>
  <c r="E202" i="3"/>
  <c r="E116" i="3"/>
  <c r="E243" i="3"/>
  <c r="E534" i="3"/>
  <c r="E332" i="3"/>
  <c r="E425" i="3"/>
  <c r="F45" i="69"/>
  <c r="C29" i="69"/>
  <c r="D27" i="69" s="1"/>
  <c r="E185" i="3"/>
  <c r="E439" i="3"/>
  <c r="E533" i="3"/>
  <c r="E410" i="3"/>
  <c r="E305" i="3"/>
  <c r="E441" i="3"/>
  <c r="E210" i="3"/>
  <c r="E447" i="3"/>
  <c r="E477" i="3"/>
  <c r="E585" i="3"/>
  <c r="E549" i="3"/>
  <c r="E150" i="3"/>
  <c r="E571" i="3"/>
  <c r="E573" i="3"/>
  <c r="E314" i="3"/>
  <c r="E336" i="3"/>
  <c r="E245" i="3"/>
  <c r="E395" i="3"/>
  <c r="E294" i="3"/>
  <c r="E559" i="3"/>
  <c r="E516" i="3"/>
  <c r="E366" i="3"/>
  <c r="E316" i="3"/>
  <c r="E444" i="3"/>
  <c r="E448" i="3"/>
  <c r="E236" i="3"/>
  <c r="E256" i="3"/>
  <c r="E429" i="3"/>
  <c r="E437" i="3"/>
  <c r="E238" i="3"/>
  <c r="E303" i="3"/>
  <c r="E213" i="3"/>
  <c r="E390" i="3"/>
  <c r="E53" i="3"/>
  <c r="E546" i="3"/>
  <c r="E397" i="3"/>
  <c r="W6" i="3"/>
  <c r="E306" i="3"/>
  <c r="E167" i="3"/>
  <c r="E462" i="3"/>
  <c r="E47" i="3"/>
  <c r="E209" i="3"/>
  <c r="E222" i="3"/>
  <c r="E155" i="3"/>
  <c r="E218" i="3"/>
  <c r="E36" i="3"/>
  <c r="E137" i="3"/>
  <c r="E333" i="3"/>
  <c r="E419" i="3"/>
  <c r="E486" i="3"/>
  <c r="E83" i="3"/>
  <c r="E190" i="3"/>
  <c r="E104" i="3"/>
  <c r="E469" i="3"/>
  <c r="E308" i="3"/>
  <c r="E129" i="3"/>
  <c r="E264" i="3"/>
  <c r="E300" i="3"/>
  <c r="E258" i="3"/>
  <c r="E508" i="3"/>
  <c r="E175" i="3"/>
  <c r="E331" i="3"/>
  <c r="E27" i="3"/>
  <c r="E505" i="3"/>
  <c r="E515" i="3"/>
  <c r="E269" i="3"/>
  <c r="E351" i="3"/>
  <c r="E450" i="3"/>
  <c r="E458" i="3"/>
  <c r="E99" i="3"/>
  <c r="E583" i="3"/>
  <c r="E382" i="3"/>
  <c r="E550" i="3"/>
  <c r="E230" i="3"/>
  <c r="E551" i="3"/>
  <c r="E396" i="3"/>
  <c r="E553" i="3"/>
  <c r="E334" i="3"/>
  <c r="E88" i="3"/>
  <c r="P6" i="3"/>
  <c r="E252" i="3"/>
  <c r="E394" i="3"/>
  <c r="E496" i="3"/>
  <c r="E481" i="3"/>
  <c r="E262" i="3"/>
  <c r="AN6" i="3"/>
  <c r="E17" i="3"/>
  <c r="E418" i="3"/>
  <c r="E153" i="3"/>
  <c r="E71" i="3"/>
  <c r="E379" i="3"/>
  <c r="E475" i="3"/>
  <c r="E157" i="3"/>
  <c r="E98" i="3"/>
  <c r="Y6" i="3"/>
  <c r="E266" i="3"/>
  <c r="E19" i="3"/>
  <c r="E421" i="3"/>
  <c r="E348" i="3"/>
  <c r="E101" i="3"/>
  <c r="E147" i="3"/>
  <c r="E194" i="3"/>
  <c r="E43" i="3"/>
  <c r="E40" i="3"/>
  <c r="E507" i="3"/>
  <c r="E223" i="3"/>
  <c r="E342" i="3"/>
  <c r="E41" i="3"/>
  <c r="E360" i="3"/>
  <c r="E140" i="3"/>
  <c r="E86" i="3"/>
  <c r="E494" i="3"/>
  <c r="E84" i="3"/>
  <c r="E76" i="3"/>
  <c r="E567" i="3"/>
  <c r="E279" i="3"/>
  <c r="E433" i="3"/>
  <c r="E457" i="3"/>
  <c r="E519" i="3"/>
  <c r="E511" i="3"/>
  <c r="E253" i="3"/>
  <c r="E518" i="3"/>
  <c r="E61" i="3"/>
  <c r="E260" i="3"/>
  <c r="E130" i="3"/>
  <c r="E407" i="3"/>
  <c r="E358" i="3"/>
  <c r="E569" i="3"/>
  <c r="E282" i="3"/>
  <c r="E480" i="3"/>
  <c r="E295" i="3"/>
  <c r="E404" i="3"/>
  <c r="E443" i="3"/>
  <c r="E576" i="3"/>
  <c r="I6" i="3"/>
  <c r="E274" i="3"/>
  <c r="E55" i="3"/>
  <c r="E344" i="3"/>
  <c r="Q6" i="3"/>
  <c r="E434" i="3"/>
  <c r="E353" i="3"/>
  <c r="E254"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241" i="3"/>
  <c r="E435" i="3"/>
  <c r="E536" i="3"/>
  <c r="E502" i="3"/>
  <c r="E491" i="3"/>
  <c r="E95" i="3"/>
  <c r="E363" i="3"/>
  <c r="E5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430" i="3"/>
  <c r="E417" i="3"/>
  <c r="E192" i="3"/>
  <c r="E349" i="3"/>
  <c r="E409"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3" i="6"/>
  <c r="E522" i="3"/>
  <c r="E75" i="3"/>
  <c r="E21" i="3"/>
  <c r="E381" i="3"/>
  <c r="E23" i="3"/>
  <c r="E103" i="3"/>
  <c r="E389" i="3"/>
  <c r="E56" i="3"/>
  <c r="E539" i="3"/>
  <c r="Q60" i="15"/>
  <c r="H10" i="40"/>
  <c r="AB10" i="40" s="1"/>
  <c r="J10" i="40"/>
  <c r="AC10" i="40" s="1"/>
  <c r="F1" i="15"/>
  <c r="Q52" i="15"/>
  <c r="R36" i="36"/>
  <c r="I3" i="6"/>
  <c r="E541" i="3"/>
  <c r="R6" i="3"/>
  <c r="E199" i="3"/>
  <c r="E510" i="3"/>
  <c r="T52" i="71"/>
  <c r="D52" i="71"/>
  <c r="E484" i="3"/>
  <c r="E544" i="3"/>
  <c r="E292" i="3"/>
  <c r="E152" i="3"/>
  <c r="E479" i="3"/>
  <c r="E517" i="3"/>
  <c r="E255" i="3"/>
  <c r="E466" i="3"/>
  <c r="E499" i="3"/>
  <c r="E212" i="3"/>
  <c r="T40" i="71"/>
  <c r="D40" i="71"/>
  <c r="C26" i="71"/>
  <c r="D26" i="71" s="1"/>
  <c r="D27" i="71"/>
  <c r="E554" i="3"/>
  <c r="E449" i="3"/>
  <c r="E442" i="3"/>
  <c r="E575" i="3"/>
  <c r="D56" i="71"/>
  <c r="T5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8" i="35"/>
  <c r="U7" i="33"/>
  <c r="AB7" i="33"/>
  <c r="T48" i="33" s="1"/>
  <c r="G48" i="33" s="1"/>
  <c r="J24" i="67"/>
  <c r="C53" i="67"/>
  <c r="C48" i="67" s="1"/>
  <c r="C10" i="67"/>
  <c r="C5" i="67" s="1"/>
  <c r="C38" i="67" s="1"/>
  <c r="C53" i="15"/>
  <c r="C48" i="15" s="1"/>
  <c r="C66" i="15" s="1"/>
  <c r="C10" i="15"/>
  <c r="C5" i="15" s="1"/>
  <c r="C38" i="15" s="1"/>
  <c r="AE6" i="1"/>
  <c r="M27" i="15"/>
  <c r="M27" i="67"/>
  <c r="F41" i="15"/>
  <c r="AC10" i="39" l="1"/>
  <c r="U10" i="40"/>
  <c r="C29" i="68"/>
  <c r="D27" i="68" s="1"/>
  <c r="C47" i="68"/>
  <c r="D45" i="68" s="1"/>
  <c r="F25" i="12"/>
  <c r="C26" i="12" s="1"/>
  <c r="D25" i="12" s="1"/>
  <c r="H6" i="3"/>
  <c r="E6" i="3" s="1"/>
  <c r="D116" i="43"/>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E42" i="37"/>
  <c r="G63" i="40"/>
  <c r="F65" i="40"/>
  <c r="C37" i="36"/>
  <c r="C36" i="36"/>
  <c r="G58" i="21"/>
  <c r="C60" i="15"/>
  <c r="C66" i="67"/>
  <c r="C60" i="67"/>
  <c r="D10" i="69"/>
  <c r="C34" i="69"/>
  <c r="D10" i="68"/>
  <c r="F41" i="67"/>
  <c r="C14" i="67"/>
  <c r="C17" i="67"/>
  <c r="C17" i="15"/>
  <c r="I54" i="34" l="1"/>
  <c r="J54" i="34" s="1"/>
  <c r="F69" i="67"/>
  <c r="C44" i="68"/>
  <c r="D41" i="68" s="1"/>
  <c r="C26" i="11"/>
  <c r="D22" i="11" s="1"/>
  <c r="C44" i="11"/>
  <c r="D41" i="11" s="1"/>
  <c r="C26" i="68"/>
  <c r="D22" i="68"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C48" i="33"/>
  <c r="C49" i="33"/>
  <c r="H58" i="21"/>
  <c r="E46" i="37"/>
  <c r="F46" i="37" s="1"/>
  <c r="I47" i="37"/>
  <c r="J47" i="37" s="1"/>
  <c r="E53" i="33"/>
  <c r="F53" i="33" s="1"/>
  <c r="E52" i="33"/>
  <c r="F52" i="33" s="1"/>
  <c r="C33" i="15"/>
  <c r="C33" i="67"/>
  <c r="J19" i="67"/>
  <c r="C34" i="68"/>
  <c r="C14" i="15"/>
  <c r="E6" i="76"/>
  <c r="B6" i="76"/>
  <c r="B3" i="43" l="1"/>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27" i="12" s="1"/>
  <c r="C25"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30" i="12"/>
  <c r="C28" i="12" s="1"/>
  <c r="C32" i="12" s="1"/>
  <c r="B2" i="12" s="1"/>
  <c r="B3"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H33" i="37" s="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67"/>
  <c r="M21" i="15"/>
  <c r="F35" i="15"/>
  <c r="C25" i="68" l="1"/>
  <c r="C22" i="68" s="1"/>
  <c r="C31" i="68" s="1"/>
  <c r="AB33" i="37"/>
  <c r="T42" i="37" s="1"/>
  <c r="U33" i="37"/>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G42" i="37" l="1"/>
  <c r="R43" i="37"/>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3" i="37" l="1"/>
  <c r="U18" i="1" s="1"/>
  <c r="C42" i="37"/>
  <c r="C57" i="68"/>
  <c r="C56" i="68" s="1"/>
  <c r="G46" i="37"/>
  <c r="H46" i="37" s="1"/>
  <c r="G47" i="37"/>
  <c r="H47" i="37" s="1"/>
  <c r="E47" i="37"/>
  <c r="F47" i="37"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L51" i="15"/>
  <c r="D2" i="36"/>
  <c r="D2" i="35"/>
  <c r="D2" i="37"/>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C19" i="9"/>
  <c r="AO11" i="1"/>
  <c r="AO8" i="1"/>
  <c r="AO7" i="1"/>
  <c r="AO12" i="1"/>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20" i="9"/>
  <c r="C103" i="9" l="1"/>
  <c r="G19" i="9"/>
  <c r="D102" i="9"/>
  <c r="D2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D20" i="9"/>
  <c r="G21" i="9" l="1"/>
  <c r="D14" i="74"/>
  <c r="G14" i="74" s="1"/>
  <c r="D103" i="9"/>
  <c r="G20" i="9"/>
  <c r="D6" i="71"/>
  <c r="C5" i="71"/>
  <c r="D5" i="71" s="1"/>
  <c r="M24" i="43" s="1"/>
  <c r="C42" i="40"/>
  <c r="C43" i="40"/>
  <c r="E47" i="40"/>
  <c r="F47" i="40" s="1"/>
  <c r="E46" i="40"/>
  <c r="F46" i="40" s="1"/>
  <c r="I47" i="40"/>
  <c r="J47" i="40" s="1"/>
  <c r="C32" i="9" l="1"/>
  <c r="C35" i="9" s="1"/>
  <c r="C34" i="9" s="1"/>
  <c r="E14" i="74"/>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I4" i="52" s="1"/>
  <c r="G4" i="52" l="1"/>
  <c r="B52" i="72" s="1"/>
  <c r="E118" i="9"/>
  <c r="E4" i="52" s="1"/>
  <c r="B48" i="72" s="1"/>
  <c r="F4" i="52"/>
  <c r="B51" i="72" s="1"/>
  <c r="F119" i="9"/>
  <c r="F5" i="52" s="1"/>
  <c r="B53" i="72" s="1"/>
  <c r="H102" i="9"/>
  <c r="C105" i="9"/>
  <c r="H118" i="9"/>
  <c r="D118" i="9" l="1"/>
  <c r="D119" i="9" s="1"/>
  <c r="D5" i="52" s="1"/>
  <c r="B49" i="72" s="1"/>
  <c r="C5" i="74"/>
  <c r="D7" i="53"/>
  <c r="B21" i="72" s="1"/>
  <c r="C104" i="9"/>
  <c r="H119" i="9"/>
  <c r="H5" i="52" s="1"/>
  <c r="H101" i="9"/>
  <c r="H4" i="52"/>
  <c r="D4" i="52" l="1"/>
  <c r="B47" i="72" s="1"/>
  <c r="D5" i="53"/>
  <c r="M48" i="9"/>
  <c r="H107" i="9"/>
  <c r="D45" i="9"/>
  <c r="D52" i="9" l="1"/>
  <c r="C72" i="9"/>
  <c r="C64" i="9"/>
  <c r="C63" i="9" s="1"/>
  <c r="C67" i="9" s="1"/>
  <c r="C78" i="9"/>
  <c r="C73" i="9" s="1"/>
  <c r="C93" i="9"/>
  <c r="C86" i="9" s="1"/>
  <c r="C85" i="9"/>
  <c r="D53" i="9"/>
  <c r="D55" i="9"/>
  <c r="M53" i="9" s="1"/>
  <c r="M49" i="9"/>
  <c r="D122" i="9"/>
  <c r="H108" i="9"/>
  <c r="D13" i="53"/>
  <c r="B20" i="72"/>
  <c r="D6" i="53"/>
  <c r="B22" i="72" s="1"/>
  <c r="D15" i="53" l="1"/>
  <c r="B31" i="72" s="1"/>
  <c r="C6" i="74"/>
  <c r="C68" i="9"/>
  <c r="D54" i="9" s="1"/>
  <c r="D59" i="9"/>
  <c r="M55" i="9" s="1"/>
  <c r="D8" i="52"/>
  <c r="D123" i="9"/>
  <c r="D9" i="52" s="1"/>
  <c r="C95" i="9"/>
  <c r="C79" i="9"/>
  <c r="B30" i="72"/>
  <c r="D14" i="53"/>
  <c r="B32" i="72" s="1"/>
  <c r="L67" i="9"/>
  <c r="M67" i="9" s="1"/>
  <c r="L68" i="9"/>
  <c r="M68" i="9" s="1"/>
  <c r="L65" i="9"/>
  <c r="M65" i="9" s="1"/>
  <c r="L64" i="9"/>
  <c r="M64" i="9" s="1"/>
  <c r="L63" i="9"/>
  <c r="M63" i="9" s="1"/>
  <c r="L66" i="9"/>
  <c r="M66" i="9"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<sst xmlns="http://schemas.openxmlformats.org/spreadsheetml/2006/main" count="8023" uniqueCount="3513">
  <si>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</si>
  <si>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</si>
  <si>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</si>
  <si>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</si>
  <si>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</si>
  <si>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</si>
  <si>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</si>
  <si>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</si>
  <si>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</si>
  <si>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</si>
  <si>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</si>
  <si>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</si>
  <si>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</si>
  <si>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</si>
  <si>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</si>
  <si>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</si>
  <si>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</si>
  <si>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</si>
  <si>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</si>
  <si>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</si>
  <si>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</si>
  <si>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</si>
  <si>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</si>
  <si>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</si>
  <si>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</si>
  <si>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</si>
  <si>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</si>
  <si>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</si>
  <si>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</si>
  <si>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</si>
  <si>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</si>
  <si>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</si>
  <si>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</si>
  <si>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</si>
  <si>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</si>
  <si>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</si>
  <si>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</si>
  <si>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</si>
  <si>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</si>
  <si>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</si>
  <si>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</si>
  <si>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</si>
  <si>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</si>
  <si>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</si>
  <si>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</si>
  <si>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</si>
  <si>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</si>
  <si>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</si>
  <si>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</si>
  <si>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</si>
  <si>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</si>
  <si>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</si>
  <si>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</si>
  <si>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</si>
  <si>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</si>
  <si>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</si>
  <si>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</si>
  <si>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</si>
  <si>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</si>
  <si>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</si>
  <si>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</si>
  <si>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</si>
  <si>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</si>
  <si>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</si>
  <si>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</si>
  <si>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</si>
  <si>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</si>
  <si>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</si>
  <si>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</si>
  <si>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</si>
  <si>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</si>
  <si>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</si>
  <si>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</si>
  <si>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</si>
  <si>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</si>
  <si>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</si>
  <si>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</si>
  <si>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</si>
  <si>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</si>
  <si>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</si>
  <si>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</si>
  <si>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</si>
  <si>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</si>
  <si>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</si>
  <si>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</si>
  <si>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</si>
  <si>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</si>
  <si>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</si>
  <si>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</si>
  <si>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</si>
  <si>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</si>
  <si>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</si>
  <si>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</si>
  <si>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</si>
  <si>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</si>
  <si>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</si>
  <si>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</si>
  <si>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</si>
  <si>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</si>
  <si>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</si>
  <si>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</si>
  <si>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</si>
  <si>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</si>
  <si>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</si>
  <si>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</si>
  <si>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</si>
  <si>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</si>
  <si>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</si>
  <si>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</si>
  <si>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</si>
  <si>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</si>
  <si>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</si>
  <si>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</si>
  <si>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</si>
  <si>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</si>
  <si>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</si>
  <si>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</si>
  <si>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</si>
  <si>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</si>
  <si>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</si>
  <si>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</si>
  <si>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</si>
  <si>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</si>
  <si>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</si>
  <si>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</si>
  <si>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</si>
  <si>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</si>
  <si>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</si>
  <si>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</si>
  <si>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</si>
  <si>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</si>
  <si>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</si>
  <si>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</si>
  <si>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</si>
  <si>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</si>
  <si>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</si>
  <si>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</si>
  <si>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</si>
  <si>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</si>
  <si>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</si>
  <si>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</si>
  <si>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</si>
  <si>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</si>
  <si>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</si>
  <si>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</si>
  <si>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</si>
  <si>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</si>
  <si>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</si>
  <si>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</si>
  <si>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</si>
  <si>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</si>
  <si>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</si>
  <si>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</si>
  <si>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</si>
  <si>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</si>
  <si>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</si>
  <si>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</si>
  <si>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</si>
  <si>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</si>
  <si>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</si>
  <si>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</si>
  <si>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</si>
  <si>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</si>
  <si>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</si>
  <si>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</si>
  <si>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</si>
  <si>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</si>
  <si>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</si>
  <si>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</si>
  <si>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</si>
  <si>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</si>
  <si>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</si>
  <si>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</si>
  <si>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</si>
  <si>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</si>
  <si>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</si>
  <si>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</si>
  <si>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</si>
  <si>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</si>
  <si>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</si>
  <si>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</si>
  <si>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</si>
  <si>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</si>
  <si>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</si>
  <si>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</si>
  <si>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</si>
  <si>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</si>
  <si>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</si>
  <si>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</si>
  <si>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</si>
  <si>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</si>
  <si>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</si>
  <si>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</si>
  <si>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</si>
  <si>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</si>
  <si>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</si>
  <si>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</si>
  <si>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</si>
  <si>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</si>
  <si>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</si>
  <si>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</si>
  <si>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</si>
  <si>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</si>
  <si>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</si>
  <si>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</si>
  <si>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</si>
  <si>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</si>
  <si>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</si>
  <si>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</si>
  <si>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</si>
  <si>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</si>
  <si>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</si>
  <si>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</si>
  <si>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</si>
  <si>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</si>
  <si>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</si>
  <si>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</si>
  <si>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</si>
  <si>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</si>
  <si>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</si>
  <si>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</si>
  <si>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</si>
  <si>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</si>
  <si>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</si>
  <si>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</si>
  <si>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</si>
  <si>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</si>
  <si>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</si>
  <si>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</si>
  <si>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</si>
  <si>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</si>
  <si>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</si>
  <si>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</si>
  <si>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</si>
  <si>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</si>
  <si>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</si>
  <si>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</si>
  <si>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</si>
  <si>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</si>
  <si>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</si>
  <si>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</si>
  <si>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</si>
  <si>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</si>
  <si>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</si>
  <si>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</si>
  <si>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</si>
  <si>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</si>
  <si>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</si>
  <si>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</si>
  <si>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</si>
  <si>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</si>
  <si>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</si>
  <si>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</si>
  <si>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</si>
  <si>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</si>
  <si>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</si>
  <si>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</si>
  <si>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</si>
  <si>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</si>
  <si>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</si>
  <si>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</si>
  <si>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</si>
  <si>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</si>
  <si>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</si>
  <si>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</si>
  <si>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</si>
  <si>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</si>
  <si>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</si>
  <si>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</si>
  <si>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</si>
  <si>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</si>
  <si>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</si>
  <si>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</si>
  <si>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</si>
  <si>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</si>
  <si>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</si>
  <si>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</si>
  <si>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</si>
  <si>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</si>
  <si>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</si>
  <si>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</si>
  <si>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</si>
  <si>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</si>
  <si>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</si>
  <si>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</si>
  <si>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</si>
  <si>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</si>
  <si>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</si>
  <si>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</si>
  <si>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</si>
  <si>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</si>
  <si>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</si>
  <si>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</si>
  <si>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</si>
  <si>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</si>
  <si>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</si>
  <si>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</si>
  <si>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</si>
  <si>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</si>
  <si>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</si>
  <si>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</si>
  <si>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</si>
  <si>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</si>
  <si>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</si>
  <si>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</si>
  <si>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</si>
  <si>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</si>
  <si>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</si>
  <si>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</si>
  <si>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</si>
  <si>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</si>
  <si>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</si>
  <si>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</si>
  <si>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</si>
  <si>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</si>
  <si>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</si>
  <si>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</si>
  <si>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</si>
  <si>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</si>
  <si>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</si>
  <si>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</si>
  <si>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</si>
  <si>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</si>
  <si>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</si>
  <si>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</si>
  <si>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</si>
  <si>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</si>
  <si>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</si>
  <si>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</si>
  <si>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</si>
  <si>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</si>
  <si>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</si>
  <si>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</si>
  <si>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</si>
  <si>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</si>
  <si>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</si>
  <si>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</si>
  <si>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</si>
  <si>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</si>
  <si>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</si>
  <si>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</si>
  <si>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</si>
  <si>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</si>
  <si>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</si>
  <si>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</si>
  <si>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</si>
  <si>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</si>
  <si>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</si>
  <si>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</si>
  <si>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</si>
  <si>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</si>
  <si>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</si>
  <si>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</si>
  <si>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</si>
  <si>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</si>
  <si>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</si>
  <si>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</si>
  <si>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</si>
  <si>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</si>
  <si>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</si>
  <si>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</si>
  <si>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</si>
  <si>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</si>
  <si>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</si>
  <si>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</si>
  <si>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</si>
  <si>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</si>
  <si>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</si>
  <si>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</si>
  <si>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</si>
  <si>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</si>
  <si>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</si>
  <si>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</si>
  <si>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</si>
  <si>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</si>
  <si>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</si>
  <si>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</si>
  <si>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</si>
  <si>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</si>
  <si>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</si>
  <si>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</si>
  <si>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</si>
  <si>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</si>
  <si>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</si>
  <si>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</si>
  <si>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</si>
  <si>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</si>
  <si>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</si>
  <si>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</si>
  <si>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</si>
  <si>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</si>
  <si>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</si>
  <si>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</si>
  <si>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</si>
  <si>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</si>
  <si>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</si>
  <si>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</si>
  <si>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</si>
  <si>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</si>
  <si>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</si>
  <si>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</si>
  <si>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</si>
  <si>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</si>
  <si>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</si>
  <si>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</si>
  <si>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</si>
  <si>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</si>
  <si>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</si>
  <si>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</si>
  <si>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</si>
  <si>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</si>
  <si>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</si>
  <si>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</si>
  <si>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</si>
  <si>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</si>
  <si>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</si>
  <si>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</si>
  <si>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</si>
  <si>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</si>
  <si>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</si>
  <si>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</si>
  <si>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</si>
  <si>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</si>
  <si>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</si>
  <si>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</si>
  <si>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</si>
  <si>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</si>
  <si>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</si>
  <si>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</si>
  <si>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</si>
  <si>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</si>
  <si>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</si>
  <si>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</si>
  <si>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</si>
  <si>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</si>
  <si>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</si>
  <si>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</si>
  <si>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</si>
  <si>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</si>
  <si>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</si>
  <si>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</si>
  <si>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</si>
  <si>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</si>
  <si>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</si>
  <si>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</si>
  <si>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</si>
  <si>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</si>
  <si>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</si>
  <si>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</si>
  <si>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</si>
  <si>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</si>
  <si>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</si>
  <si>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</si>
  <si>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</si>
  <si>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</si>
  <si>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</si>
  <si>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</si>
  <si>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</si>
  <si>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</si>
  <si>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</si>
  <si>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</si>
  <si>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</si>
  <si>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</si>
  <si>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</si>
  <si>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</si>
  <si>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</si>
  <si>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</si>
  <si>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</si>
  <si>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</si>
  <si>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</si>
  <si>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</si>
  <si>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</si>
  <si>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</si>
  <si>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</si>
  <si>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</si>
  <si>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</si>
  <si>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</si>
  <si>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</si>
  <si>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</si>
  <si>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</si>
  <si>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</si>
  <si>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</si>
  <si>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</si>
  <si>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</si>
  <si>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</si>
  <si>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</si>
  <si>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</si>
  <si>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</si>
  <si>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</si>
  <si>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</si>
  <si>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</si>
  <si>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</si>
  <si>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</si>
  <si>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</si>
  <si>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</si>
  <si>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</si>
  <si>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</si>
  <si>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</si>
  <si>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</si>
  <si>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</si>
  <si>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</si>
  <si>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</si>
  <si>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</si>
  <si>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</si>
  <si>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</si>
  <si>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</si>
  <si>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</si>
  <si>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</si>
  <si>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</si>
  <si>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</si>
  <si>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</si>
  <si>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</si>
  <si>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</si>
  <si>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</si>
  <si>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</si>
  <si>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</si>
  <si>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</si>
  <si>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</si>
  <si>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</si>
  <si>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</si>
  <si>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</si>
  <si>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</si>
  <si>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</si>
  <si>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</si>
  <si>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</si>
  <si>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</si>
  <si>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</si>
  <si>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</si>
  <si>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</si>
  <si>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</si>
  <si>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</si>
  <si>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</si>
  <si>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</si>
  <si>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</si>
  <si>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</si>
  <si>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</si>
  <si>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</si>
  <si>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</si>
  <si>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</si>
  <si>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</si>
  <si>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</si>
  <si>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</si>
  <si>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</si>
  <si>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</si>
  <si>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</si>
  <si>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</si>
  <si>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</si>
  <si>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</si>
  <si>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</si>
  <si>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</si>
  <si>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</si>
  <si>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</si>
  <si>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</si>
  <si>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</si>
  <si>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</si>
  <si>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</si>
  <si>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</si>
  <si>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</si>
  <si>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</si>
  <si>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</si>
  <si>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</si>
  <si>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</si>
  <si>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</si>
  <si>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</si>
  <si>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</si>
  <si>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</si>
  <si>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</si>
  <si>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</si>
  <si>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</si>
  <si>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</si>
  <si>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</si>
  <si>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</si>
  <si>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</si>
  <si>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</si>
  <si>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</si>
  <si>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</si>
  <si>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</si>
  <si>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</si>
  <si>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</si>
  <si>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</si>
  <si>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</si>
  <si>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</si>
  <si>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</si>
  <si>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</si>
  <si>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</si>
  <si>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</si>
  <si>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</si>
  <si>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</si>
  <si>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</si>
  <si>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</si>
  <si>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</si>
  <si>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</si>
  <si>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</si>
  <si>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</si>
  <si>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</si>
  <si>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</si>
  <si>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</si>
  <si>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</si>
  <si>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</si>
  <si>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</si>
  <si>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</si>
  <si>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</si>
  <si>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</si>
  <si>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</si>
  <si>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</si>
  <si>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</si>
  <si>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</si>
  <si>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</si>
  <si>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</si>
  <si>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</si>
  <si>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</si>
  <si>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</si>
  <si>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</si>
  <si>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</si>
  <si>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</si>
  <si>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</si>
  <si>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</si>
  <si>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</si>
  <si>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</si>
  <si>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</si>
  <si>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</si>
  <si>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</si>
  <si>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</si>
  <si>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</si>
  <si>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</si>
  <si>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</si>
  <si>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</si>
  <si>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</si>
  <si>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</si>
  <si>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</si>
  <si>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</si>
  <si>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</si>
  <si>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</si>
  <si>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</si>
  <si>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</si>
  <si>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</si>
  <si>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</si>
  <si>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</si>
  <si>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</si>
  <si>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</si>
  <si>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</si>
  <si>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</si>
  <si>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</si>
  <si>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</si>
  <si>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</si>
  <si>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</si>
  <si>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</si>
  <si>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</si>
  <si>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</si>
  <si>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</si>
  <si>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</si>
  <si>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</si>
  <si>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</si>
  <si>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</si>
  <si>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</si>
  <si>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</si>
  <si>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</si>
  <si>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</si>
  <si>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</si>
  <si>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</si>
  <si>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</si>
  <si>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</si>
  <si>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</si>
  <si>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</si>
  <si>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</si>
  <si>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</si>
  <si>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</si>
  <si>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</si>
  <si>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</si>
  <si>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</si>
  <si>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</si>
  <si>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</si>
  <si>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</si>
  <si>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</si>
  <si>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</si>
  <si>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</si>
  <si>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</si>
  <si>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</si>
  <si>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</si>
  <si>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</si>
  <si>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</si>
  <si>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</si>
  <si>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</si>
  <si>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</si>
  <si>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</si>
  <si>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</si>
  <si>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</si>
  <si>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</si>
  <si>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</si>
  <si>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</si>
  <si>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</si>
  <si>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</si>
  <si>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</si>
  <si>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</si>
  <si>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</si>
  <si>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</si>
  <si>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</si>
  <si>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</si>
  <si>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</si>
  <si>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</si>
  <si>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</si>
  <si>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</si>
  <si>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</si>
  <si>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</si>
  <si>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</si>
  <si>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</si>
  <si>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</si>
  <si>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</si>
  <si>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</si>
  <si>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</si>
  <si>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</si>
  <si>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</si>
  <si>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</si>
  <si>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</si>
  <si>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</si>
  <si>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</si>
  <si>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</si>
  <si>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</si>
  <si>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</si>
  <si>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</si>
  <si>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</si>
  <si>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</si>
  <si>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</si>
  <si>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</si>
  <si>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</si>
  <si>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</si>
  <si>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</si>
  <si>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</si>
  <si>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</si>
  <si>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</si>
  <si>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</si>
  <si>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</si>
  <si>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</si>
  <si>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</si>
  <si>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</si>
  <si>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</si>
  <si>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</si>
  <si>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</si>
  <si>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</si>
  <si>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</si>
  <si>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</si>
  <si>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</si>
  <si>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</si>
  <si>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</si>
  <si>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</si>
  <si>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</si>
  <si>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</si>
  <si>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</si>
  <si>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</si>
  <si>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</si>
  <si>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</si>
  <si>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</si>
  <si>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</si>
  <si>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</si>
  <si>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</si>
  <si>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</si>
  <si>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</si>
  <si>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</si>
  <si>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</si>
  <si>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</si>
  <si>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</si>
  <si>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</si>
  <si>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</si>
  <si>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</si>
  <si>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</si>
  <si>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</si>
  <si>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</si>
  <si>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</si>
  <si>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</si>
  <si>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</si>
  <si>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</si>
  <si>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</si>
  <si>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</si>
  <si>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</si>
  <si>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</si>
  <si>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</si>
  <si>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</si>
  <si>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</si>
  <si>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</si>
  <si>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</si>
  <si>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</si>
  <si>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</si>
  <si>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</si>
  <si>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</si>
  <si>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</si>
  <si>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</si>
  <si>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</si>
  <si>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</si>
  <si>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</si>
  <si>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</si>
  <si>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</si>
  <si>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</si>
  <si>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</si>
  <si>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</si>
  <si>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</si>
  <si>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</si>
  <si>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</si>
  <si>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</si>
  <si>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</si>
  <si>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</si>
  <si>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</si>
  <si>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</si>
  <si>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</si>
  <si>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</si>
  <si>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</si>
  <si>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</si>
  <si>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</si>
  <si>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</si>
  <si>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</si>
  <si>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</si>
  <si>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</si>
  <si>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</si>
  <si>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</si>
  <si>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</si>
  <si>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</si>
  <si>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</si>
  <si>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</si>
  <si>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</si>
  <si>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</si>
  <si>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</si>
  <si>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</si>
  <si>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</si>
  <si>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</si>
  <si>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</si>
  <si>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</si>
  <si>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</si>
  <si>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</si>
  <si>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</si>
  <si>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</si>
  <si>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</si>
  <si>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</si>
  <si>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</si>
  <si>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</si>
  <si>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</si>
  <si>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</si>
  <si>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</si>
  <si>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</si>
  <si>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</si>
  <si>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</si>
  <si>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</si>
  <si>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</si>
  <si>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</si>
  <si>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</si>
  <si>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</si>
  <si>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</si>
  <si>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</si>
  <si>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</si>
  <si>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</si>
  <si>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</si>
  <si>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</si>
  <si>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</si>
  <si>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</si>
  <si>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</si>
  <si>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</si>
  <si>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</si>
  <si>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</si>
  <si>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</si>
  <si>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</si>
  <si>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</si>
  <si>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</si>
  <si>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</si>
  <si>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</si>
  <si>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</si>
  <si>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</si>
  <si>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</si>
  <si>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</si>
  <si>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</si>
  <si>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</si>
  <si>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</si>
  <si>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</si>
  <si>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</si>
  <si>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</si>
  <si>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</si>
  <si>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</si>
  <si>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</si>
  <si>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</si>
  <si>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</si>
  <si>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</si>
  <si>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</si>
  <si>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</si>
  <si>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</si>
  <si>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</si>
  <si>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</si>
  <si>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</si>
  <si>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</si>
  <si>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</si>
  <si>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</si>
  <si>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</si>
  <si>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</si>
  <si>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</si>
  <si>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</si>
  <si>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</si>
  <si>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</si>
  <si>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</si>
  <si>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</si>
  <si>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</si>
  <si>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</si>
  <si>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</si>
  <si>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</si>
  <si>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</si>
  <si>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</si>
  <si>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</si>
  <si>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</si>
  <si>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</si>
  <si>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</si>
  <si>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</si>
  <si>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</si>
  <si>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</si>
  <si>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</si>
  <si>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</si>
  <si>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</si>
  <si>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</si>
  <si>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</si>
  <si>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</si>
  <si>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</si>
  <si>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</si>
  <si>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</si>
  <si>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</si>
  <si>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</si>
  <si>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</si>
  <si>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</si>
  <si>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</si>
  <si>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</si>
  <si>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</si>
  <si>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</si>
  <si>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</si>
  <si>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</si>
  <si>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</si>
  <si>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</si>
  <si>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</si>
  <si>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</si>
  <si>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</si>
  <si>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</si>
  <si>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</si>
  <si>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</si>
  <si>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</si>
  <si>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</si>
  <si>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</si>
  <si>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</si>
  <si>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</si>
  <si>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</si>
  <si>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</si>
  <si>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</si>
  <si>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</si>
  <si>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</si>
  <si>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</si>
  <si>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</si>
  <si>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</si>
  <si>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</si>
  <si>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</si>
  <si>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</si>
  <si>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</si>
  <si>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</si>
  <si>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</si>
  <si>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</si>
  <si>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</si>
  <si>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</si>
  <si>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</si>
  <si>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</si>
  <si>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</si>
  <si>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</si>
  <si>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</si>
  <si>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</si>
  <si>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</si>
  <si>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</si>
  <si>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</si>
  <si>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</si>
  <si>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</si>
  <si>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</si>
  <si>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</si>
  <si>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</si>
  <si>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</si>
  <si>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</si>
  <si>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</si>
  <si>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</si>
  <si>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</si>
  <si>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</si>
  <si>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</si>
  <si>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</si>
  <si>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</si>
  <si>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</si>
  <si>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</si>
  <si>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</si>
  <si>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</si>
  <si>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</si>
  <si>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</si>
  <si>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</si>
  <si>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</si>
  <si>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</si>
  <si>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</si>
  <si>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</si>
  <si>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</si>
  <si>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</si>
  <si>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</si>
  <si>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</si>
  <si>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</si>
  <si>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</si>
  <si>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</si>
  <si>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</si>
  <si>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</si>
  <si>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</si>
  <si>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</si>
  <si>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</si>
  <si>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</si>
  <si>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</si>
  <si>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</si>
  <si>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</si>
  <si>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</si>
  <si>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</si>
  <si>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</si>
  <si>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</si>
  <si>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</si>
  <si>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</si>
  <si>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</si>
  <si>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</si>
  <si>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</si>
  <si>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</si>
  <si>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</si>
  <si>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</si>
  <si>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</si>
  <si>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</si>
  <si>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</si>
  <si>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</si>
  <si>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</si>
  <si>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</si>
  <si>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</si>
  <si>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</si>
  <si>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</si>
  <si>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</si>
  <si>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</si>
  <si>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</si>
  <si>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</si>
  <si>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</si>
  <si>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</si>
  <si>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</si>
  <si>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</si>
  <si>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</si>
  <si>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</si>
  <si>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</si>
  <si>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</si>
  <si>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</si>
  <si>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</si>
  <si>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</si>
  <si>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</si>
  <si>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</si>
  <si>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</si>
  <si>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</si>
  <si>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</si>
  <si>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</si>
  <si>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</si>
  <si>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</si>
  <si>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</si>
  <si>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</si>
  <si>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</si>
  <si>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</si>
  <si>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</si>
  <si>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</si>
  <si>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</si>
  <si>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</si>
  <si>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</si>
  <si>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</si>
  <si>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</si>
  <si>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</si>
  <si>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</si>
  <si>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</si>
  <si>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</si>
  <si>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</si>
  <si>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</si>
  <si>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</si>
  <si>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</si>
  <si>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</si>
  <si>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</si>
  <si>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</si>
  <si>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</si>
  <si>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</si>
  <si>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</si>
  <si>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</si>
  <si>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</si>
  <si>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</si>
  <si>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</si>
  <si>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</si>
  <si>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</si>
  <si>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</si>
  <si>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</si>
  <si>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</si>
  <si>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</si>
  <si>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</si>
  <si>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</si>
  <si>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</si>
  <si>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</si>
  <si>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</si>
  <si>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</si>
  <si>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</si>
  <si>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</si>
  <si>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</si>
  <si>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</si>
  <si>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</si>
  <si>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</si>
  <si>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</si>
  <si>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</si>
  <si>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</si>
  <si>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</si>
  <si>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</si>
  <si>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</si>
  <si>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</si>
  <si>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</si>
  <si>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</si>
  <si>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</si>
  <si>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</si>
  <si>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</si>
  <si>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</si>
  <si>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</si>
  <si>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</si>
  <si>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</si>
  <si>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</si>
  <si>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</si>
  <si>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</si>
  <si>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</si>
  <si>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</si>
  <si>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</si>
  <si>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</si>
  <si>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</si>
  <si>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</si>
  <si>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</si>
  <si>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</si>
  <si>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</si>
  <si>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</si>
  <si>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</si>
  <si>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</si>
  <si>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</si>
  <si>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</si>
  <si>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</si>
  <si>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</si>
  <si>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</si>
  <si>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</si>
  <si>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</si>
  <si>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</si>
  <si>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</si>
  <si>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</si>
  <si>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</si>
  <si>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</si>
  <si>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</si>
  <si>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</si>
  <si>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</si>
  <si>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</si>
  <si>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</si>
  <si>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</si>
  <si>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</si>
  <si>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</si>
  <si>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</si>
  <si>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</si>
  <si>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</si>
  <si>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</si>
  <si>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</si>
  <si>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</si>
  <si>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</si>
  <si>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</si>
  <si>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</si>
  <si>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</si>
  <si>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</si>
  <si>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</si>
  <si>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</si>
  <si>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</si>
  <si>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</si>
  <si>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</si>
  <si>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</si>
  <si>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</si>
  <si>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</si>
  <si>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</si>
  <si>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</si>
  <si>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</si>
  <si>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</si>
  <si>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</si>
  <si>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</si>
  <si>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</si>
  <si>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</si>
  <si>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</si>
  <si>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</si>
  <si>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</si>
  <si>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</si>
  <si>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</si>
  <si>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</si>
  <si>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</si>
  <si>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</si>
  <si>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</si>
  <si>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</si>
  <si>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</si>
  <si>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</si>
  <si>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</si>
  <si>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</si>
  <si>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</si>
  <si>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</si>
  <si>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</si>
  <si>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</si>
  <si>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</si>
  <si>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</si>
  <si>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</si>
  <si>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</si>
  <si>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</si>
  <si>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</si>
  <si>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</si>
  <si>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</si>
  <si>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</si>
  <si>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</si>
  <si>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</si>
  <si>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</si>
  <si>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</si>
  <si>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</si>
  <si>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</si>
  <si>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</si>
  <si>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</si>
  <si>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</si>
  <si>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</si>
  <si>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</si>
  <si>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</si>
  <si>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</si>
  <si>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</si>
  <si>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</si>
  <si>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</si>
  <si>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</si>
  <si>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</si>
  <si>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</si>
  <si>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</si>
  <si>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</si>
  <si>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</si>
  <si>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</si>
  <si>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</si>
  <si>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</si>
  <si>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</si>
  <si>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</si>
  <si>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</si>
  <si>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</si>
  <si>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</si>
  <si>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</si>
  <si>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</si>
  <si>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</si>
  <si>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</si>
  <si>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</si>
  <si>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</si>
  <si>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</si>
  <si>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</si>
  <si>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</si>
  <si>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</si>
  <si>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</si>
  <si>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</si>
  <si>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</si>
  <si>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</si>
  <si>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</si>
  <si>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</si>
  <si>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</si>
  <si>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</si>
  <si>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</si>
  <si>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</si>
  <si>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</si>
  <si>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</si>
  <si>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</si>
  <si>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</si>
  <si>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</si>
  <si>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</si>
  <si>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</si>
  <si>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</si>
  <si>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</si>
  <si>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</si>
  <si>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</si>
  <si>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</si>
  <si>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</si>
  <si>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</si>
  <si>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</si>
  <si>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</si>
  <si>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</si>
  <si>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</si>
  <si>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</si>
  <si>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</si>
  <si>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</si>
  <si>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</si>
  <si>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</si>
  <si>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</si>
  <si>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</si>
  <si>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</si>
  <si>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</si>
  <si>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</si>
  <si>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</si>
  <si>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</si>
  <si>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</si>
  <si>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</si>
  <si>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</si>
  <si>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</si>
  <si>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</si>
  <si>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</si>
  <si>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</si>
  <si>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</si>
  <si>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</si>
  <si>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</si>
  <si>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</si>
  <si>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</si>
  <si>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</si>
  <si>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</si>
  <si>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</si>
  <si>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</si>
  <si>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</si>
  <si>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</si>
  <si>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</si>
  <si>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</si>
  <si>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</si>
  <si>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</si>
  <si>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</si>
  <si>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</si>
  <si>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</si>
  <si>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</si>
  <si>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</si>
  <si>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</si>
  <si>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</si>
  <si>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</si>
  <si>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</si>
  <si>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</si>
  <si>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</si>
  <si>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</si>
  <si>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</si>
  <si>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</si>
  <si>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</si>
  <si>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</si>
  <si>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</si>
  <si>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</si>
  <si>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</si>
  <si>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</si>
  <si>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</si>
  <si>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</si>
  <si>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</si>
  <si>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</si>
  <si>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</si>
  <si>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</si>
  <si>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</si>
  <si>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</si>
  <si>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</si>
  <si>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</si>
  <si>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</si>
  <si>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</si>
  <si>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</si>
  <si>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</si>
  <si>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</si>
  <si>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</si>
  <si>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</si>
  <si>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</si>
  <si>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</si>
  <si>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</si>
  <si>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</si>
  <si>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</si>
  <si>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</si>
  <si>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</si>
  <si>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</si>
  <si>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</si>
  <si>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</si>
  <si>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</si>
  <si>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</si>
  <si>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</si>
  <si>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</si>
  <si>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</si>
  <si>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</si>
  <si>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</si>
  <si>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</si>
  <si>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</si>
  <si>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</si>
  <si>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</si>
  <si>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</si>
  <si>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</si>
  <si>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</si>
  <si>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</si>
  <si>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</si>
  <si>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</si>
  <si>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</si>
  <si>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</si>
  <si>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</si>
  <si>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</si>
  <si>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</si>
  <si>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</si>
  <si>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</si>
  <si>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</si>
  <si>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</si>
  <si>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</si>
  <si>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</si>
  <si>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</si>
  <si>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</si>
  <si>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</si>
  <si>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</si>
  <si>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</si>
  <si>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</si>
  <si>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</si>
  <si>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</si>
  <si>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</si>
  <si>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</si>
  <si>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</si>
  <si>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</si>
  <si>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</si>
  <si>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</si>
  <si>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</si>
  <si>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</si>
  <si>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</si>
  <si>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</si>
  <si>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</si>
  <si>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</si>
  <si>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</si>
  <si>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</si>
  <si>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</si>
  <si>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</si>
  <si>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</si>
  <si>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</si>
  <si>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</si>
  <si>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</si>
  <si>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</si>
  <si>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</si>
  <si>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</si>
  <si>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</si>
  <si>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</si>
  <si>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</si>
  <si>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</si>
  <si>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</si>
  <si>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</si>
  <si>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</si>
  <si>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</si>
  <si>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</si>
  <si>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</si>
  <si>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</si>
  <si>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</si>
  <si>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</si>
  <si>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</si>
  <si>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</si>
  <si>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</si>
  <si>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</si>
  <si>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</si>
  <si>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</si>
  <si>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</si>
  <si>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</si>
  <si>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</si>
  <si>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</si>
  <si>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</si>
  <si>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</si>
  <si>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</si>
  <si>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</si>
  <si>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</si>
  <si>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</si>
  <si>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</si>
  <si>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</si>
  <si>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</si>
  <si>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</si>
  <si>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</si>
  <si>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</si>
  <si>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</si>
  <si>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</si>
  <si>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</si>
  <si>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</si>
  <si>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</si>
  <si>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</si>
  <si>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</si>
  <si>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</si>
  <si>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</si>
  <si>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</si>
  <si>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</si>
  <si>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</si>
  <si>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</si>
  <si>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</si>
  <si>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</si>
  <si>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</si>
  <si>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</si>
  <si>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</si>
  <si>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</si>
  <si>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</si>
  <si>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</si>
  <si>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</si>
  <si>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</si>
  <si>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</si>
  <si>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</si>
  <si>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</si>
  <si>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</si>
  <si>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</si>
  <si>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</si>
  <si>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</si>
  <si>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</si>
  <si>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</si>
  <si>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</si>
  <si>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</si>
  <si>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</si>
  <si>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</si>
  <si>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</si>
  <si>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</si>
  <si>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</si>
  <si>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</si>
  <si>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</si>
  <si>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</si>
  <si>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</si>
  <si>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</si>
  <si>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</si>
  <si>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</si>
  <si>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</si>
  <si>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</si>
  <si>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</si>
  <si>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</si>
  <si>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</si>
  <si>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</si>
  <si>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</si>
  <si>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</si>
  <si>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</si>
  <si>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</si>
  <si>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</si>
  <si>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</si>
  <si>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</si>
  <si>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</si>
  <si>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</si>
  <si>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</si>
  <si>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</si>
  <si>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</si>
  <si>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</si>
  <si>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</si>
  <si>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</si>
  <si>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</si>
  <si>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</si>
  <si>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</si>
  <si>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</si>
  <si>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</si>
  <si>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</si>
  <si>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</si>
  <si>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</si>
  <si>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</si>
  <si>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</si>
  <si>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</si>
  <si>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</si>
  <si>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</si>
  <si>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</si>
  <si>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</si>
  <si>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</si>
  <si>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</si>
  <si>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</si>
  <si>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</si>
  <si>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</si>
  <si>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</si>
  <si>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</si>
  <si>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</si>
  <si>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</si>
  <si>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</si>
  <si>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</si>
  <si>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</si>
  <si>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</si>
  <si>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</si>
  <si>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</si>
  <si>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</si>
  <si>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</si>
  <si>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</si>
  <si>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</si>
  <si>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</si>
  <si>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</si>
  <si>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</si>
  <si>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</si>
  <si>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</si>
  <si>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</si>
  <si>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</si>
  <si>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</si>
  <si>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</si>
  <si>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</si>
  <si>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</si>
  <si>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</si>
  <si>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</si>
  <si>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</si>
  <si>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</si>
  <si>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</si>
  <si>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</si>
  <si>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</si>
  <si>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</si>
  <si>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</si>
  <si>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</si>
  <si>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</si>
  <si>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</si>
  <si>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</si>
  <si>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</si>
  <si>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</si>
  <si>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</si>
  <si>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</si>
  <si>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</si>
  <si>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</si>
  <si>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</si>
  <si>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</si>
  <si>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</si>
  <si>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</si>
  <si>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</si>
  <si>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</si>
  <si>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</si>
  <si>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</si>
  <si>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</si>
  <si>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</si>
  <si>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</si>
  <si>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</si>
  <si>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</si>
  <si>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</si>
  <si>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</si>
  <si>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</si>
  <si>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</si>
  <si>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</si>
  <si>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</si>
  <si>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</si>
  <si>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</si>
  <si>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</si>
  <si>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</si>
  <si>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</si>
  <si>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</si>
  <si>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</si>
  <si>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</si>
  <si>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</si>
  <si>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</si>
  <si>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</si>
  <si>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</si>
  <si>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</si>
  <si>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</si>
  <si>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</si>
  <si>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</si>
  <si>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</si>
  <si>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</si>
  <si>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</si>
  <si>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</si>
  <si>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</si>
  <si>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</si>
  <si>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</si>
  <si>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</si>
  <si>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</si>
  <si>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</si>
  <si>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</si>
  <si>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</si>
  <si>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</si>
  <si>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</si>
  <si>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</si>
  <si>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</si>
  <si>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</si>
  <si>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</si>
  <si>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</si>
  <si>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</si>
  <si>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</si>
  <si>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</si>
  <si>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</si>
  <si>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</si>
  <si>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</si>
  <si>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</si>
  <si>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</si>
  <si>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</si>
  <si>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</si>
  <si>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</si>
  <si>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</si>
  <si>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</si>
  <si>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</si>
  <si>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</si>
  <si>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</si>
  <si>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</si>
  <si>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</si>
  <si>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</si>
  <si>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</si>
  <si>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</si>
  <si>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</si>
  <si>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</si>
  <si>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</si>
  <si>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</si>
  <si>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</si>
  <si>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</si>
  <si>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</si>
  <si>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</si>
  <si>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</si>
  <si>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</si>
  <si>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</si>
  <si>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</si>
  <si>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</si>
  <si>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</si>
  <si>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</si>
  <si>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</si>
  <si>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</si>
  <si>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</si>
  <si>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</si>
  <si>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</si>
  <si>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</si>
  <si>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</si>
  <si>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</si>
  <si>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</si>
  <si>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</si>
  <si>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</si>
  <si>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</si>
  <si>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</si>
  <si>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</si>
  <si>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</si>
  <si>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</si>
  <si>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</si>
  <si>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</si>
  <si>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</si>
  <si>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</si>
  <si>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</si>
  <si>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</si>
  <si>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</si>
  <si>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</si>
  <si>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</si>
  <si>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</si>
  <si>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</si>
  <si>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</si>
  <si>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</si>
  <si>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</si>
  <si>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</si>
  <si>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</si>
  <si>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</si>
  <si>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</si>
  <si>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</si>
  <si>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</si>
  <si>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</si>
  <si>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</si>
  <si>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</si>
  <si>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</si>
  <si>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</si>
  <si>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</si>
  <si>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</si>
  <si>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</si>
  <si>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</si>
  <si>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</si>
  <si>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</si>
  <si>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</si>
  <si>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</si>
  <si>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</si>
  <si>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</si>
  <si>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</si>
  <si>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</si>
  <si>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</si>
  <si>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</si>
  <si>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</si>
  <si>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</si>
  <si>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</si>
  <si>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</si>
  <si>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</si>
  <si>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</si>
  <si>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</si>
  <si>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</si>
  <si>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</si>
  <si>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</si>
  <si>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</si>
  <si>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</si>
  <si>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</si>
  <si>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</si>
  <si>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</si>
  <si>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</si>
  <si>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</si>
  <si>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</si>
  <si>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</si>
  <si>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</si>
  <si>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</si>
  <si>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</si>
  <si>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</si>
  <si>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</si>
  <si>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</si>
  <si>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</si>
  <si>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</si>
  <si>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</si>
  <si>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</si>
  <si>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</si>
  <si>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</si>
  <si>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</si>
  <si>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</si>
  <si>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</si>
  <si>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</si>
  <si>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</si>
  <si>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</si>
  <si>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</si>
  <si>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</si>
  <si>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</si>
  <si>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</si>
  <si>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</si>
  <si>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</si>
  <si>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</si>
  <si>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</si>
  <si>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</si>
  <si>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</si>
  <si>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</si>
  <si>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</si>
  <si>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</si>
  <si>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</si>
  <si>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</si>
  <si>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</si>
  <si>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</si>
  <si>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</si>
  <si>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</si>
  <si>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</si>
  <si>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</si>
  <si>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</si>
  <si>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</si>
  <si>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</si>
  <si>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</si>
  <si>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</si>
  <si>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</si>
  <si>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</si>
  <si>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</si>
  <si>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</si>
  <si>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</si>
  <si>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</si>
  <si>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</si>
  <si>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</si>
  <si>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</si>
  <si>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</si>
  <si>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</si>
  <si>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</si>
  <si>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</si>
  <si>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</si>
  <si>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</si>
  <si>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</si>
  <si>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</si>
  <si>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</si>
  <si>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</si>
  <si>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</si>
  <si>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</si>
  <si>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</si>
  <si>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</si>
  <si>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</si>
  <si>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</si>
  <si>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</si>
  <si>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</si>
  <si>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</si>
  <si>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</si>
  <si>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</si>
  <si>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</si>
  <si>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</si>
  <si>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</si>
  <si>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</si>
  <si>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</si>
  <si>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</si>
  <si>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</si>
  <si>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</si>
  <si>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</si>
  <si>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</si>
  <si>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</si>
  <si>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</si>
  <si>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</si>
  <si>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</si>
  <si>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</si>
  <si>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</si>
  <si>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</si>
  <si>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</si>
  <si>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</si>
  <si>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</si>
  <si>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</si>
  <si>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</si>
  <si>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</si>
  <si>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</si>
  <si>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</si>
  <si>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</si>
  <si>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</si>
  <si>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</si>
  <si>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</si>
  <si>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</si>
  <si>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</si>
  <si>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</si>
  <si>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</si>
  <si>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</si>
  <si>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</si>
  <si>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</si>
  <si>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</si>
  <si>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</si>
  <si>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</si>
  <si>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</si>
  <si>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</si>
  <si>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</si>
  <si>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</si>
  <si>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</si>
  <si>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</si>
  <si>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</si>
  <si>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</si>
  <si>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</si>
  <si>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</si>
  <si>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</si>
  <si>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</si>
  <si>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</si>
  <si>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</si>
  <si>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</si>
  <si>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</si>
  <si>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</si>
  <si>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</si>
  <si>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</si>
  <si>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</si>
  <si>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</si>
  <si>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</si>
  <si>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</si>
  <si>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</si>
  <si>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</si>
  <si>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</si>
  <si>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</si>
  <si>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</si>
  <si>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</si>
  <si>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</si>
  <si>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</si>
  <si>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</si>
  <si>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</si>
  <si>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</si>
  <si>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</si>
  <si>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</si>
  <si>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</si>
  <si>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</si>
  <si>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</si>
  <si>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</si>
  <si>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</si>
  <si>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</si>
  <si>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</si>
  <si>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</si>
  <si>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</si>
  <si>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</si>
  <si>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</si>
  <si>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</si>
  <si>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</si>
  <si>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</si>
  <si>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</si>
  <si>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</si>
  <si>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</si>
  <si>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</si>
  <si>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</si>
  <si>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</si>
  <si>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</si>
  <si>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</si>
  <si>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</si>
  <si>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</si>
  <si>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</si>
  <si>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</si>
  <si>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</si>
  <si>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</si>
  <si>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</si>
  <si>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</si>
  <si>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</si>
  <si>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</si>
  <si>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</si>
  <si>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</si>
  <si>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</si>
  <si>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</si>
  <si>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</si>
  <si>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</si>
  <si>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</si>
  <si>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</si>
  <si>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</si>
  <si>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</si>
  <si>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</si>
  <si>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</si>
  <si>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</si>
  <si>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</si>
  <si>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</si>
  <si>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</si>
  <si>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</si>
  <si>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</si>
  <si>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</si>
  <si>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</si>
  <si>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</si>
  <si>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</si>
  <si>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</si>
  <si>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</si>
  <si>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</si>
  <si>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</si>
  <si>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</si>
  <si>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</si>
  <si>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</si>
  <si>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</si>
  <si>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</si>
  <si>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</si>
  <si>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</si>
  <si>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</si>
  <si>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</si>
  <si>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</si>
  <si>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</si>
  <si>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</si>
  <si>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</si>
  <si>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</si>
  <si>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</si>
  <si>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</si>
  <si>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</si>
  <si>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</si>
  <si>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</si>
  <si>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</si>
  <si>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</si>
  <si>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</si>
  <si>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</si>
  <si>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</si>
  <si>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</si>
  <si>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</si>
  <si>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</si>
  <si>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</si>
  <si>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</si>
  <si>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</si>
  <si>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</si>
  <si>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</si>
  <si>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</si>
  <si>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</si>
  <si>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</si>
  <si>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</si>
  <si>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</si>
  <si>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</si>
  <si>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</si>
  <si>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</si>
  <si>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</si>
  <si>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</si>
  <si>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</si>
  <si>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</si>
  <si>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</si>
  <si>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</si>
  <si>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</si>
  <si>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</si>
  <si>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</si>
  <si>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</si>
  <si>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</si>
  <si>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</si>
  <si>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</si>
  <si>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</si>
  <si>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</si>
  <si>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</si>
  <si>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</si>
  <si>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</si>
  <si>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</si>
  <si>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</si>
  <si>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</si>
  <si>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</si>
  <si>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</si>
  <si>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</si>
  <si>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</si>
  <si>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</si>
  <si>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</si>
  <si>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</si>
  <si>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</si>
  <si>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</si>
  <si>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</si>
  <si>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</si>
  <si>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</si>
  <si>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</si>
  <si>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</si>
  <si>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</si>
  <si>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</si>
  <si>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</si>
  <si>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</si>
  <si>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</si>
  <si>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</si>
  <si>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</si>
  <si>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</si>
  <si>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</si>
  <si>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</si>
  <si>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</si>
  <si>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</si>
  <si>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</si>
  <si>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</si>
  <si>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</si>
  <si>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</si>
  <si>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</si>
  <si>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</si>
  <si>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</si>
  <si>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</si>
  <si>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</si>
  <si>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</si>
  <si>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</si>
  <si>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</si>
  <si>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</si>
  <si>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</si>
  <si>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</si>
  <si>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</si>
  <si>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</si>
  <si>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</si>
  <si>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</si>
  <si>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</si>
  <si>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</si>
  <si>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</si>
  <si>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</si>
  <si>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</si>
  <si>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</si>
  <si>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</si>
  <si>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</si>
  <si>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</si>
  <si>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</si>
  <si>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</si>
  <si>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</si>
  <si>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</si>
  <si>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</si>
  <si>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</si>
  <si>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</si>
  <si>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</si>
  <si>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</si>
  <si>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</si>
  <si>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</si>
  <si>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</si>
  <si>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</si>
  <si>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</si>
  <si>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</si>
  <si>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</si>
  <si>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</si>
  <si>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</si>
  <si>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</si>
  <si>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</si>
  <si>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</si>
  <si>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</si>
  <si>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</si>
  <si>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</si>
  <si>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</si>
  <si>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</si>
  <si>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</si>
  <si>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</si>
  <si>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</si>
  <si>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</si>
  <si>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</si>
  <si>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</si>
  <si>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</si>
  <si>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</si>
  <si>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</si>
  <si>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</si>
  <si>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</si>
  <si>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</si>
  <si>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</si>
  <si>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</si>
  <si>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</si>
  <si>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</si>
  <si>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</si>
  <si>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</si>
  <si>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</si>
  <si>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</si>
  <si>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</si>
  <si>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</si>
  <si>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</si>
  <si>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</si>
  <si>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</si>
  <si>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</si>
  <si>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</si>
  <si>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</si>
  <si>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</si>
  <si>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</si>
  <si>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</si>
  <si>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</si>
  <si>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</si>
  <si>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</si>
  <si>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</si>
  <si>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</si>
  <si>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</si>
  <si>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</si>
  <si>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</si>
  <si>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</si>
  <si>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</si>
  <si>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</si>
  <si>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</si>
  <si>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</si>
  <si>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</si>
  <si>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</si>
  <si>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</si>
  <si>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</si>
  <si>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</si>
  <si>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</si>
  <si>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</si>
  <si>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</si>
  <si>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</si>
  <si>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</si>
  <si>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</si>
  <si>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</si>
  <si>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</si>
  <si>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</si>
  <si>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</si>
  <si>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</si>
  <si>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</si>
  <si>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</si>
  <si>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</si>
  <si>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</si>
  <si>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</si>
  <si>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</si>
  <si>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</si>
  <si>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</si>
  <si>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</si>
  <si>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</si>
  <si>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</si>
  <si>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</si>
  <si>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</si>
  <si>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</si>
  <si>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</si>
  <si>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</si>
  <si>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</si>
  <si>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</si>
  <si>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</si>
  <si>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</si>
  <si>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</si>
  <si>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</si>
  <si>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</si>
  <si>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</si>
  <si>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</si>
  <si>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</si>
  <si>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</si>
  <si>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</si>
  <si>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</si>
  <si>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</si>
  <si>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</si>
  <si>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</si>
  <si>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</si>
  <si>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</si>
  <si>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</si>
  <si>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</si>
  <si>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</si>
  <si>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</si>
  <si>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</si>
  <si>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</si>
  <si>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</si>
  <si>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</si>
  <si>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</si>
  <si>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</si>
  <si>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</si>
  <si>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</si>
  <si>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</si>
  <si>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</si>
  <si>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</si>
  <si>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</si>
  <si>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</si>
  <si>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</si>
  <si>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</si>
  <si>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</si>
  <si>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</si>
  <si>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</si>
  <si>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</si>
  <si>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</si>
  <si>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</si>
  <si>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</si>
  <si>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</si>
  <si>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</si>
  <si>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</si>
  <si>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</si>
  <si>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</si>
  <si>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</si>
  <si>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</si>
  <si>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</si>
  <si>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</si>
  <si>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</si>
  <si>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</si>
  <si>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</si>
  <si>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</si>
  <si>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</si>
  <si>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</si>
  <si>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</si>
  <si>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</si>
  <si>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</si>
  <si>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</si>
  <si>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</si>
  <si>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</si>
  <si>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</si>
  <si>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</si>
  <si>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</si>
  <si>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</si>
  <si>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</si>
  <si>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</si>
  <si>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</si>
  <si>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</si>
  <si>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</si>
  <si>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</si>
  <si>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</si>
  <si>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</si>
  <si>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</si>
  <si>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</si>
  <si>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</si>
  <si>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</si>
  <si>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</si>
  <si>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</si>
  <si>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</si>
  <si>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</si>
  <si>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</si>
  <si>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</si>
  <si>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</si>
  <si>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</si>
  <si>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</si>
  <si>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</si>
  <si>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</si>
  <si>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</si>
  <si>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</si>
  <si>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</si>
  <si>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</si>
  <si>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</si>
  <si>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</si>
  <si>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</si>
  <si>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</si>
  <si>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</si>
  <si>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</si>
  <si>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</si>
  <si>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</si>
  <si>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</si>
  <si>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</si>
  <si>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</si>
  <si>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</si>
  <si>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</si>
  <si>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</si>
  <si>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</si>
  <si>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</si>
  <si>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</si>
  <si>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</si>
  <si>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</si>
  <si>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</si>
  <si>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</si>
  <si>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</si>
  <si>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</si>
  <si>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</si>
  <si>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</si>
  <si>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</si>
  <si>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</si>
  <si>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</si>
  <si>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</si>
  <si>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</si>
  <si>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</si>
  <si>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</si>
  <si>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</si>
  <si>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</si>
  <si>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</si>
  <si>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</si>
  <si>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</si>
  <si>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</si>
  <si>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</si>
  <si>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</si>
  <si>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</si>
  <si>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</si>
  <si>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</si>
  <si>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</si>
  <si>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</si>
  <si>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</si>
  <si>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</si>
  <si>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</si>
  <si>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</si>
  <si>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</si>
  <si>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</si>
  <si>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</si>
  <si>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</si>
  <si>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</si>
  <si>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</si>
  <si>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</si>
  <si>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</si>
  <si>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</si>
  <si>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</si>
  <si>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</si>
  <si>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</si>
  <si>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</si>
  <si>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</si>
  <si>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</si>
  <si>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</si>
  <si>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</si>
  <si>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</si>
  <si>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</si>
  <si>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</si>
  <si>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</si>
  <si>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</si>
  <si>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</si>
  <si>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</si>
  <si>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</si>
  <si>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</si>
  <si>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</si>
  <si>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</si>
  <si>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</si>
  <si>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</si>
  <si>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</si>
  <si>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</si>
  <si>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</si>
  <si>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</si>
  <si>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</si>
  <si>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</si>
  <si>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</si>
  <si>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</si>
  <si>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</si>
  <si>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</si>
  <si>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</si>
  <si>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</si>
  <si>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</si>
  <si>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</si>
  <si>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</si>
  <si>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</si>
  <si>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</si>
  <si>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</si>
  <si>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</si>
  <si>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</si>
  <si>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</si>
  <si>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</si>
  <si>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</si>
  <si>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</si>
  <si>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</si>
  <si>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</si>
  <si>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</si>
  <si>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</si>
  <si>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</si>
  <si>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</si>
  <si>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</si>
  <si>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</si>
  <si>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</si>
  <si>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</si>
  <si>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</si>
  <si>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</si>
  <si>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</si>
  <si>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</si>
  <si>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</si>
  <si>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</si>
  <si>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</si>
  <si>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</si>
  <si>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</si>
  <si>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</si>
  <si>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</si>
  <si>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</si>
  <si>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</si>
  <si>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</si>
  <si>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</si>
  <si>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</si>
  <si>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</si>
  <si>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</si>
  <si>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</si>
  <si>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</si>
  <si>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</si>
  <si>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</si>
  <si>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</si>
  <si>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</si>
  <si>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</si>
  <si>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</si>
  <si>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</si>
  <si>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</si>
  <si>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</si>
  <si>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</si>
  <si>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</si>
  <si>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</si>
  <si>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</si>
  <si>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</si>
  <si>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</si>
  <si>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</si>
  <si>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</si>
  <si>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</si>
  <si>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</si>
  <si>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</si>
  <si>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</si>
  <si>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</si>
  <si>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</si>
  <si>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</si>
  <si>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</si>
  <si>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</si>
  <si>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</si>
  <si>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</si>
  <si>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</si>
  <si>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</si>
  <si>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</si>
  <si>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</si>
  <si>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</si>
  <si>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</si>
  <si>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</si>
  <si>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</si>
  <si>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</si>
  <si>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</si>
  <si>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</si>
  <si>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</si>
  <si>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</si>
  <si>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</si>
  <si>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</si>
  <si>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</si>
  <si>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</si>
  <si>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</si>
  <si>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</si>
  <si>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</si>
  <si>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</si>
  <si>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</si>
  <si>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</si>
  <si>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</si>
  <si>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</si>
  <si>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</si>
  <si>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</si>
  <si>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</si>
  <si>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</si>
  <si>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</si>
  <si>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</si>
  <si>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</si>
  <si>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</si>
  <si>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</si>
  <si>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</si>
  <si>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</si>
  <si>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</si>
  <si>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</si>
  <si>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</si>
  <si>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</si>
  <si>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</si>
  <si>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</si>
  <si>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</si>
  <si>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</si>
  <si>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</si>
  <si>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</si>
  <si>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</si>
  <si>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</si>
  <si>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</si>
  <si>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</si>
  <si>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</si>
  <si>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</si>
  <si>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</si>
  <si>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</si>
  <si>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</si>
  <si>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</si>
  <si>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</si>
  <si>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</si>
  <si>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</si>
  <si>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</si>
  <si>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</si>
  <si>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</si>
  <si>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</si>
  <si>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</si>
  <si>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</si>
  <si>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</si>
  <si>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</si>
  <si>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</si>
  <si>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</si>
  <si>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</si>
  <si>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</si>
  <si>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</si>
  <si>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</si>
  <si>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</si>
  <si>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</si>
  <si>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</si>
  <si>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</si>
  <si>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</si>
  <si>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</si>
  <si>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</si>
  <si>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</si>
  <si>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</si>
  <si>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</si>
  <si>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</si>
  <si>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</si>
  <si>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</si>
  <si>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</si>
  <si>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</si>
  <si>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</si>
  <si>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</si>
  <si>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</si>
  <si>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</si>
  <si>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</si>
  <si>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</si>
  <si>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</si>
  <si>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</si>
  <si>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</si>
  <si>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</si>
  <si>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</si>
  <si>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</si>
  <si>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</si>
  <si>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</si>
  <si>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</si>
  <si>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</si>
  <si>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</si>
  <si>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</si>
  <si>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</si>
  <si>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</si>
  <si>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</si>
  <si>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</si>
  <si>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</si>
  <si>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</si>
  <si>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</si>
  <si>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</si>
  <si>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</si>
  <si>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</si>
  <si>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</si>
  <si>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</si>
  <si>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</si>
  <si>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</si>
  <si>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</si>
  <si>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</si>
  <si>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</si>
  <si>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</si>
  <si>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</si>
  <si>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</si>
  <si>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</si>
  <si>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</si>
  <si>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</si>
  <si>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</si>
  <si>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</si>
  <si>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</si>
  <si>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</si>
  <si>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</si>
  <si>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</si>
  <si>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</si>
  <si>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</si>
  <si>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</si>
  <si>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</si>
  <si>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</si>
  <si>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</si>
  <si>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</si>
  <si>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</si>
  <si>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</si>
  <si>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</si>
  <si>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</si>
  <si>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</si>
  <si>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</si>
  <si>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</si>
  <si>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</si>
  <si>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</si>
  <si>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</si>
  <si>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</si>
  <si>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</si>
  <si>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</si>
  <si>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</si>
  <si>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</si>
  <si>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</si>
  <si>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</si>
  <si>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</si>
  <si>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</si>
  <si>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</si>
  <si>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</si>
  <si>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</si>
  <si>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</si>
  <si>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</si>
  <si>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</si>
  <si>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</si>
  <si>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</si>
  <si>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</si>
  <si>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</si>
  <si>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</si>
  <si>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</si>
  <si>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</si>
  <si>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</si>
  <si>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</si>
  <si>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</si>
  <si>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</si>
  <si>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</si>
  <si>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</si>
  <si>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</si>
  <si>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</si>
  <si>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</si>
  <si>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</si>
  <si>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</si>
  <si>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</si>
  <si>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</si>
  <si>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</si>
  <si>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</si>
  <si>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</si>
  <si>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</si>
  <si>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</si>
  <si>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</si>
  <si>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</si>
  <si>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</si>
  <si>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</si>
  <si>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</si>
  <si>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</si>
  <si>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</si>
  <si>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</si>
  <si>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</si>
  <si>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</si>
  <si>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</si>
  <si>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</si>
  <si>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</si>
  <si>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</si>
  <si>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</si>
  <si>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</si>
  <si>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</si>
  <si>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</si>
  <si>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</si>
  <si>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</si>
  <si>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</si>
  <si>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</si>
  <si>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</si>
  <si>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</si>
  <si>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</si>
  <si>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</si>
  <si>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</si>
  <si>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</si>
  <si>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</si>
  <si>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</si>
  <si>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</si>
  <si>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</si>
  <si>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</si>
  <si>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</si>
  <si>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</si>
  <si>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</si>
  <si>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</si>
  <si>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</si>
  <si>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</si>
  <si>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</si>
  <si>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</si>
  <si>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</si>
  <si>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</si>
  <si>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</si>
  <si>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</si>
  <si>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</si>
  <si>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</si>
  <si>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</si>
  <si>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</si>
  <si>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</si>
  <si>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</si>
  <si>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</si>
  <si>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</si>
  <si>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</si>
  <si>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</si>
  <si>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</si>
  <si>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</si>
  <si>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</si>
  <si>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</si>
  <si>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</si>
  <si>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</si>
  <si>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</si>
  <si>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</si>
  <si>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</si>
  <si>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</si>
  <si>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</si>
  <si>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</si>
  <si>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</si>
  <si>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</si>
  <si>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</si>
  <si>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</si>
  <si>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</si>
  <si>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</si>
  <si>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</si>
  <si>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</si>
  <si>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</si>
  <si>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</si>
  <si>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</si>
  <si>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</si>
  <si>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</si>
  <si>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</si>
  <si>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</si>
  <si>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</si>
  <si>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</si>
  <si>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</si>
  <si>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</si>
  <si>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</si>
  <si>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</si>
  <si>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</si>
  <si>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</si>
  <si>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</si>
  <si>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</si>
  <si>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</si>
  <si>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</si>
  <si>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</si>
  <si>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</si>
  <si>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</si>
  <si>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</si>
  <si>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</si>
  <si>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</si>
  <si>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</si>
  <si>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</si>
  <si>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</si>
  <si>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</si>
  <si>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</si>
  <si>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</si>
  <si>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</si>
  <si>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</si>
  <si>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</si>
  <si>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</si>
  <si>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</si>
  <si>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</si>
  <si>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</si>
  <si>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</si>
  <si>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</si>
  <si>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</si>
  <si>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</si>
  <si>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</si>
  <si>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</si>
  <si>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</si>
  <si>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</si>
  <si>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</si>
  <si>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</si>
  <si>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</si>
  <si>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</si>
  <si>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</si>
  <si>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</si>
  <si>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</si>
  <si>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</si>
  <si>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</si>
  <si>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</si>
  <si>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</si>
  <si>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</si>
  <si>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</si>
  <si>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</si>
  <si>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</si>
  <si>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</si>
  <si>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</si>
  <si>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</si>
  <si>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</si>
  <si>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</si>
  <si>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</si>
  <si>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</si>
  <si>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</si>
  <si>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</si>
  <si>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</si>
  <si>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</si>
  <si>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</si>
  <si>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</si>
  <si>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</si>
  <si>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</si>
  <si>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</si>
  <si>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</si>
  <si>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</si>
  <si>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</si>
  <si>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</si>
  <si>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</si>
  <si>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</si>
  <si>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</si>
  <si>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</si>
  <si>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</si>
  <si>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</si>
  <si>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</si>
  <si>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</si>
  <si>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</si>
  <si>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</si>
  <si>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</si>
  <si>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</si>
  <si>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</si>
  <si>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</si>
  <si>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</si>
  <si>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</si>
  <si>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</si>
  <si>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</si>
  <si>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</si>
  <si>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</si>
  <si>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</si>
  <si>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</si>
  <si>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</si>
  <si>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</si>
  <si>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</si>
  <si>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</si>
  <si>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</si>
  <si>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</si>
  <si>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</si>
  <si>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</si>
  <si>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</si>
  <si>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</si>
  <si>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</si>
  <si>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</si>
  <si>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</si>
  <si>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</si>
  <si>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</si>
  <si>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</si>
  <si>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</si>
  <si>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</si>
  <si>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</si>
  <si>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</si>
  <si>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</si>
  <si>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</si>
  <si>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</si>
  <si>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</si>
  <si>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</si>
  <si>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</si>
  <si>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</si>
  <si>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</si>
  <si>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</si>
  <si>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</si>
  <si>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</si>
  <si>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</si>
  <si>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</si>
  <si>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</si>
  <si>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</si>
  <si>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</si>
  <si>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</si>
  <si>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</si>
  <si>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</si>
  <si>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</si>
  <si>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</si>
  <si>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</si>
  <si>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</si>
  <si>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</si>
  <si>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</si>
  <si>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</si>
  <si>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</si>
  <si>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</si>
  <si>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</si>
  <si>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</si>
  <si>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</si>
  <si>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</si>
  <si>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</si>
  <si>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</si>
  <si>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</si>
  <si>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</si>
  <si>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</si>
  <si>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</si>
  <si>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</si>
  <si>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</si>
  <si>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</si>
  <si>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</si>
  <si>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</si>
  <si>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</si>
  <si>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</si>
  <si>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</si>
  <si>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</si>
  <si>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</si>
  <si>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</si>
  <si>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</si>
  <si>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</si>
  <si>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</si>
  <si>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</si>
  <si>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</si>
  <si>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</si>
  <si>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</si>
  <si>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</si>
  <si>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</si>
  <si>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</si>
  <si>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</si>
  <si>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</si>
  <si>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</si>
  <si>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</si>
  <si>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</si>
  <si>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</si>
  <si>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</si>
  <si>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</si>
  <si>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</si>
  <si>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</si>
  <si>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</si>
  <si>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</si>
  <si>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</si>
  <si>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</si>
  <si>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</si>
  <si>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</si>
  <si>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</si>
  <si>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</si>
  <si>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</si>
  <si>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</si>
  <si>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</si>
  <si>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</si>
  <si>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</si>
  <si>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</si>
  <si>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</si>
  <si>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</si>
  <si>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</si>
  <si>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</si>
  <si>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</si>
  <si>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</si>
  <si>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</si>
  <si>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</si>
  <si>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</si>
  <si>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</si>
  <si>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</si>
  <si>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</si>
  <si>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</si>
  <si>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</si>
  <si>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</si>
  <si>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</si>
  <si>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</si>
  <si>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</si>
  <si>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</si>
  <si>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</si>
  <si>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</si>
  <si>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</si>
  <si>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</si>
  <si>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</si>
  <si>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</si>
  <si>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</si>
  <si>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</si>
  <si>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</si>
  <si>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</si>
  <si>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</si>
  <si>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</si>
  <si>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</si>
  <si>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</si>
  <si>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</si>
  <si>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</si>
  <si>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</si>
  <si>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</si>
  <si>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</si>
  <si>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</si>
  <si>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</si>
  <si>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</si>
  <si>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</si>
  <si>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</si>
  <si>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</si>
  <si>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</si>
  <si>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</si>
  <si>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</si>
  <si>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</si>
  <si>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</si>
  <si>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</si>
  <si>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</si>
  <si>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</si>
  <si>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</si>
  <si>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</si>
  <si>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</si>
  <si>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</si>
  <si>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</si>
  <si>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</si>
  <si>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</si>
  <si>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</si>
  <si>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</si>
  <si>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</si>
  <si>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</si>
  <si>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</si>
  <si>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</si>
  <si>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</si>
  <si>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</si>
  <si>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</si>
  <si>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</si>
  <si>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</si>
  <si>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</si>
  <si>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</si>
  <si>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</si>
  <si>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</si>
  <si>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</si>
  <si>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</si>
  <si>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</si>
  <si>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</si>
  <si>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</si>
  <si>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</si>
  <si>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</si>
  <si>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</si>
  <si>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</si>
  <si>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</si>
  <si>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</si>
  <si>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</si>
  <si>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</si>
  <si>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</si>
  <si>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</si>
  <si>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</si>
  <si>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</si>
  <si>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</si>
  <si>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</si>
  <si>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</si>
  <si>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</si>
  <si>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</si>
  <si>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</si>
  <si>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</si>
  <si>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</si>
  <si>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</si>
  <si>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</si>
  <si>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</si>
  <si>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</si>
  <si>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</si>
  <si>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</si>
  <si>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</si>
  <si>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</si>
  <si>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</si>
  <si>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</si>
  <si>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</si>
  <si>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</si>
  <si>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</si>
  <si>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</si>
  <si>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</si>
  <si>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</si>
  <si>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</si>
  <si>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</si>
  <si>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</si>
  <si>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</si>
  <si>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</si>
  <si>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</si>
  <si>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</si>
  <si>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</si>
  <si>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</si>
  <si>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</si>
  <si>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</si>
  <si>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</si>
  <si>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</si>
  <si>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</si>
  <si>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</si>
  <si>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</si>
  <si>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</si>
  <si>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</si>
  <si>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</si>
  <si>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</si>
  <si>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</si>
  <si>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</si>
  <si>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</si>
  <si>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</si>
  <si>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</si>
  <si>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</si>
  <si>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</si>
  <si>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</si>
  <si>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</si>
  <si>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</si>
  <si>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</si>
  <si>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</si>
  <si>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</si>
  <si>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</si>
  <si>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</si>
  <si>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</si>
  <si>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</si>
  <si>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</si>
  <si>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</si>
  <si>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</si>
  <si>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</si>
  <si>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</si>
  <si>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</si>
  <si>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</si>
  <si>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</si>
  <si>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</si>
  <si>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</si>
  <si>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</si>
  <si>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</si>
  <si>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</si>
  <si>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</si>
  <si>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</si>
  <si>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</si>
  <si>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</si>
  <si>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</si>
  <si>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</si>
  <si>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</si>
  <si>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</si>
  <si>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</si>
  <si>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</si>
  <si>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</si>
  <si>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</si>
  <si>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</si>
  <si>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</si>
  <si>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</si>
  <si>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</si>
  <si>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</si>
  <si>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</si>
  <si>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</si>
  <si>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</si>
  <si>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</si>
  <si>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</si>
  <si>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</si>
  <si>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</si>
  <si>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</si>
  <si>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</si>
  <si>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</si>
  <si>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</si>
  <si>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</si>
  <si>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</si>
  <si>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</si>
  <si>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</si>
  <si>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</si>
  <si>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</si>
  <si>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</si>
  <si>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</si>
  <si>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</si>
  <si>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</si>
  <si>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</si>
  <si>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</si>
  <si>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</si>
  <si>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</si>
  <si>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</si>
  <si>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</si>
  <si>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</si>
  <si>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</si>
  <si>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</si>
  <si>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</si>
  <si>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</si>
  <si>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</si>
  <si>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</si>
  <si>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</si>
  <si>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</si>
  <si>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</si>
  <si>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</si>
  <si>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</si>
  <si>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</si>
  <si>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</si>
  <si>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</si>
  <si>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</si>
  <si>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</si>
  <si>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</si>
  <si>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</si>
  <si>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</si>
  <si>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</si>
  <si>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</si>
  <si>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</si>
  <si>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</si>
  <si>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</si>
  <si>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</si>
  <si>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</si>
  <si>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</si>
  <si>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</si>
  <si>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</si>
  <si>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</si>
  <si>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</si>
  <si>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</si>
  <si>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</si>
  <si>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</si>
  <si>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</si>
  <si>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</si>
  <si>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</si>
  <si>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</si>
  <si>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</si>
  <si>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</si>
  <si>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</si>
  <si>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</si>
  <si>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</si>
  <si>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</si>
  <si>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</si>
  <si>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</si>
  <si>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</si>
  <si>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</si>
  <si>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</si>
  <si>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</si>
  <si>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</si>
  <si>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</si>
  <si>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</si>
  <si>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</si>
  <si>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</si>
  <si>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</si>
  <si>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</si>
  <si>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</si>
  <si>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</si>
  <si>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</si>
  <si>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</si>
  <si>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</si>
  <si>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</si>
  <si>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</si>
  <si>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</si>
  <si>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</si>
  <si>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</si>
  <si>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</si>
  <si>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</si>
  <si>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</si>
  <si>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</si>
  <si>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</si>
  <si>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</si>
  <si>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</si>
  <si>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</si>
  <si>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</si>
  <si>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</si>
  <si>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</si>
  <si>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</si>
  <si>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</si>
  <si>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</si>
  <si>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</si>
  <si>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</si>
  <si>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</si>
  <si>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</si>
  <si>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</si>
  <si>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</si>
  <si>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</si>
  <si>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</si>
  <si>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</si>
  <si>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</si>
  <si>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</si>
  <si>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</si>
  <si>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</si>
  <si>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</si>
  <si>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</si>
  <si>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</si>
  <si>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</si>
  <si>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</si>
  <si>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</si>
  <si>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</si>
  <si>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</si>
  <si>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</si>
  <si>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</si>
  <si>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</si>
  <si>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</si>
  <si>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</si>
  <si>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</si>
  <si>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</si>
  <si>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</si>
  <si>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</si>
  <si>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</si>
  <si>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</si>
  <si>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</si>
  <si>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</si>
  <si>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</si>
  <si>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</si>
  <si>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</si>
  <si>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</si>
  <si>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</si>
  <si>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</si>
  <si>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</si>
  <si>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</si>
  <si>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</si>
  <si>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</si>
  <si>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</si>
  <si>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</si>
  <si>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</si>
  <si>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</si>
  <si>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</si>
  <si>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</si>
  <si>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</si>
  <si>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</si>
  <si>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</si>
  <si>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</si>
  <si>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</si>
  <si>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</si>
  <si>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</si>
  <si>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</si>
  <si>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</si>
  <si>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</si>
  <si>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</si>
  <si>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</si>
  <si>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</si>
  <si>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</si>
  <si>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</si>
  <si>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</si>
  <si>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</si>
  <si>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</si>
  <si>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</si>
  <si>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</si>
  <si>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</si>
  <si>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</si>
  <si>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</si>
  <si>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</si>
  <si>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</si>
  <si>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</si>
  <si>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</si>
  <si>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</si>
  <si>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</si>
  <si>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</si>
  <si>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</si>
  <si>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</si>
  <si>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</si>
  <si>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</si>
  <si>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</si>
  <si>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</si>
  <si>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</si>
  <si>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</si>
  <si>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</si>
  <si>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</si>
  <si>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</si>
  <si>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</si>
  <si>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</si>
  <si>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</si>
  <si>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</si>
  <si>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</si>
  <si>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</si>
  <si>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</si>
  <si>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</si>
  <si>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</si>
  <si>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</si>
  <si>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</si>
  <si>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</si>
  <si>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</si>
  <si>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</si>
  <si>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</si>
  <si>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</si>
  <si>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</si>
  <si>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</si>
  <si>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</si>
  <si>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</si>
  <si>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</si>
  <si>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</si>
  <si>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</si>
  <si>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</si>
  <si>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</si>
  <si>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</si>
  <si>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</si>
  <si>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</si>
  <si>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</si>
  <si>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</si>
  <si>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</si>
  <si>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</si>
  <si>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</si>
  <si>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</si>
  <si>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</si>
  <si>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</si>
  <si>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</si>
  <si>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</si>
  <si>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</si>
  <si>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</si>
  <si>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</si>
  <si>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</si>
  <si>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</si>
  <si>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</si>
  <si>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</si>
  <si>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</si>
  <si>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</si>
  <si>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</si>
  <si>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</si>
  <si>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</si>
  <si>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</si>
  <si>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</si>
  <si>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</si>
  <si>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</si>
  <si>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</si>
  <si>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</si>
  <si>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</si>
  <si>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</si>
  <si>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</si>
  <si>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</si>
  <si>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</si>
  <si>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</si>
  <si>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</si>
  <si>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</si>
  <si>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</si>
  <si>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</si>
  <si>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</si>
  <si>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</si>
  <si>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</si>
  <si>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</si>
  <si>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</si>
  <si>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</si>
  <si>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</si>
  <si>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</si>
  <si>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</si>
  <si>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</si>
  <si>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</si>
  <si>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</si>
  <si>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</si>
  <si>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</si>
  <si>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</si>
  <si>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</si>
  <si>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</si>
  <si>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</si>
  <si>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</si>
  <si>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</si>
  <si>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</si>
  <si>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</si>
  <si>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</si>
  <si>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</si>
  <si>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</si>
  <si>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</si>
  <si>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</si>
  <si>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</si>
  <si>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</si>
  <si>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</si>
  <si>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</si>
  <si>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</si>
  <si>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</si>
  <si>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</si>
  <si>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</si>
  <si>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</si>
  <si>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</si>
  <si>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</si>
  <si>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</si>
  <si>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</si>
  <si>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</si>
  <si>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</si>
  <si>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</si>
  <si>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</si>
  <si>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</si>
  <si>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</si>
  <si>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</si>
  <si>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</si>
  <si>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</si>
  <si>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</si>
  <si>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</si>
  <si>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</si>
  <si>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</si>
  <si>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</si>
  <si>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</si>
  <si>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</si>
  <si>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</si>
  <si>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</si>
  <si>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</si>
  <si>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</si>
  <si>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</si>
  <si>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</si>
  <si>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</si>
  <si>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</si>
  <si>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</si>
  <si>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</si>
  <si>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</si>
  <si>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</si>
  <si>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</si>
  <si>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</si>
  <si>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</si>
  <si>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</si>
  <si>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</si>
  <si>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</si>
  <si>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房地产抵押价值</t>
  </si>
  <si>
    <t>北京市</t>
  </si>
  <si>
    <t>企业</t>
  </si>
  <si>
    <t>是</t>
  </si>
  <si>
    <t>工业项目</t>
  </si>
  <si>
    <t>无</t>
  </si>
  <si>
    <t>否</t>
  </si>
  <si>
    <t>现房</t>
  </si>
  <si>
    <t>地上</t>
  </si>
  <si>
    <t>地下</t>
  </si>
  <si>
    <t>工业</t>
    <phoneticPr fontId="8" type="noConversion"/>
  </si>
  <si>
    <t>成新度</t>
  </si>
  <si>
    <t>台湖镇</t>
    <phoneticPr fontId="4" type="noConversion"/>
  </si>
  <si>
    <t>收益法</t>
  </si>
  <si>
    <t>押一</t>
  </si>
  <si>
    <t>钢混</t>
  </si>
  <si>
    <t>非生产用房</t>
  </si>
  <si>
    <t>单套模式</t>
  </si>
  <si>
    <t>售价</t>
  </si>
  <si>
    <t>国际企业大道</t>
    <phoneticPr fontId="4" type="noConversion"/>
  </si>
  <si>
    <t>正常</t>
  </si>
  <si>
    <t>工业</t>
    <phoneticPr fontId="32" type="noConversion"/>
  </si>
  <si>
    <r>
      <t>50</t>
    </r>
    <r>
      <rPr>
        <sz val="11"/>
        <rFont val="宋体"/>
        <family val="3"/>
        <charset val="134"/>
      </rPr>
      <t>（含）</t>
    </r>
    <r>
      <rPr>
        <sz val="11"/>
        <rFont val="Arial"/>
        <family val="2"/>
      </rPr>
      <t>-40</t>
    </r>
    <phoneticPr fontId="32" type="noConversion"/>
  </si>
  <si>
    <r>
      <t>40</t>
    </r>
    <r>
      <rPr>
        <sz val="11"/>
        <rFont val="宋体"/>
        <family val="3"/>
        <charset val="134"/>
      </rPr>
      <t>（含）</t>
    </r>
    <r>
      <rPr>
        <sz val="11"/>
        <rFont val="Arial"/>
        <family val="2"/>
      </rPr>
      <t>-30</t>
    </r>
    <phoneticPr fontId="32" type="noConversion"/>
  </si>
  <si>
    <r>
      <t>30</t>
    </r>
    <r>
      <rPr>
        <sz val="11"/>
        <rFont val="宋体"/>
        <family val="3"/>
        <charset val="134"/>
      </rPr>
      <t>（含）</t>
    </r>
    <r>
      <rPr>
        <sz val="11"/>
        <rFont val="Arial"/>
        <family val="2"/>
      </rPr>
      <t>-20</t>
    </r>
    <phoneticPr fontId="32" type="noConversion"/>
  </si>
  <si>
    <r>
      <t>20</t>
    </r>
    <r>
      <rPr>
        <sz val="11"/>
        <rFont val="宋体"/>
        <family val="3"/>
        <charset val="134"/>
      </rPr>
      <t>（含）</t>
    </r>
    <r>
      <rPr>
        <sz val="11"/>
        <rFont val="Arial"/>
        <family val="2"/>
      </rPr>
      <t>-10</t>
    </r>
    <phoneticPr fontId="32" type="noConversion"/>
  </si>
  <si>
    <r>
      <t>10</t>
    </r>
    <r>
      <rPr>
        <sz val="11"/>
        <rFont val="宋体"/>
        <family val="3"/>
        <charset val="134"/>
      </rPr>
      <t>（含）以下</t>
    </r>
    <phoneticPr fontId="32" type="noConversion"/>
  </si>
  <si>
    <t>报价</t>
  </si>
  <si>
    <t>报价</t>
    <phoneticPr fontId="32" type="noConversion"/>
  </si>
  <si>
    <t>工业立项办公</t>
  </si>
  <si>
    <t>工业立项办公</t>
    <phoneticPr fontId="32" type="noConversion"/>
  </si>
  <si>
    <t>钢混</t>
    <phoneticPr fontId="32" type="noConversion"/>
  </si>
  <si>
    <t>精装修</t>
  </si>
  <si>
    <t>精装修</t>
    <phoneticPr fontId="32" type="noConversion"/>
  </si>
  <si>
    <t>专业</t>
  </si>
  <si>
    <t>专业</t>
    <phoneticPr fontId="32" type="noConversion"/>
  </si>
  <si>
    <t>七通</t>
  </si>
  <si>
    <t>七通</t>
    <phoneticPr fontId="32" type="noConversion"/>
  </si>
  <si>
    <t>六通</t>
    <phoneticPr fontId="32" type="noConversion"/>
  </si>
  <si>
    <t>五通</t>
  </si>
  <si>
    <t>五通</t>
    <phoneticPr fontId="32" type="noConversion"/>
  </si>
  <si>
    <t>普通装修</t>
    <phoneticPr fontId="32" type="noConversion"/>
  </si>
  <si>
    <t>简单装修</t>
    <phoneticPr fontId="32" type="noConversion"/>
  </si>
  <si>
    <t>毛坯</t>
    <phoneticPr fontId="32" type="noConversion"/>
  </si>
  <si>
    <t>较好</t>
  </si>
  <si>
    <t>比较法-工业</t>
  </si>
  <si>
    <t>纯地上</t>
    <phoneticPr fontId="135" type="noConversion"/>
  </si>
  <si>
    <t>同项目租金1.6-2块，开发商直售新房单价15000-17000，小业主二手房10000左右</t>
    <phoneticPr fontId="4" type="noConversion"/>
  </si>
  <si>
    <r>
      <rPr>
        <sz val="10"/>
        <color indexed="8"/>
        <rFont val="宋体"/>
        <family val="3"/>
        <charset val="134"/>
      </rPr>
      <t>周边类似项目租金</t>
    </r>
    <r>
      <rPr>
        <sz val="10"/>
        <color indexed="8"/>
        <rFont val="Arial"/>
        <family val="2"/>
      </rPr>
      <t>1.5-2.3</t>
    </r>
    <r>
      <rPr>
        <sz val="10"/>
        <color indexed="8"/>
        <rFont val="宋体"/>
        <family val="3"/>
        <charset val="134"/>
      </rPr>
      <t>块，在售项目较少</t>
    </r>
    <phoneticPr fontId="4" type="noConversion"/>
  </si>
  <si>
    <t>Ⅵ-光机电</t>
  </si>
  <si>
    <t>自定义容积率</t>
  </si>
  <si>
    <t>不临65条商业街</t>
  </si>
  <si>
    <t>与级别开发程度不一致</t>
  </si>
  <si>
    <t>通电</t>
  </si>
  <si>
    <t>通路</t>
  </si>
  <si>
    <t>通讯</t>
  </si>
  <si>
    <t>通上水</t>
  </si>
  <si>
    <t>通下水</t>
  </si>
  <si>
    <t>平整</t>
  </si>
  <si>
    <t>较差</t>
  </si>
  <si>
    <t>按公示增长率计算</t>
  </si>
  <si>
    <t>中心城区</t>
  </si>
  <si>
    <t>未包含在土地购买价格中</t>
  </si>
  <si>
    <t>全部缴纳</t>
  </si>
  <si>
    <t>已包含在土地取得成本中</t>
  </si>
  <si>
    <t>项目名称</t>
    <phoneticPr fontId="135" type="noConversion"/>
  </si>
  <si>
    <t>北京经开国际企业大道</t>
    <phoneticPr fontId="135" type="noConversion"/>
  </si>
  <si>
    <t>建筑面积</t>
    <phoneticPr fontId="135" type="noConversion"/>
  </si>
  <si>
    <t>售价</t>
    <phoneticPr fontId="135" type="noConversion"/>
  </si>
  <si>
    <t>其他</t>
    <phoneticPr fontId="135" type="noConversion"/>
  </si>
  <si>
    <t>北京壹号总部</t>
    <phoneticPr fontId="135" type="noConversion"/>
  </si>
  <si>
    <t>整栋，二手房，小业主售卖，有地下，带装修，首层5米以下，其余楼层标准层高</t>
    <phoneticPr fontId="135" type="noConversion"/>
  </si>
  <si>
    <t>嘉捷科技园</t>
    <phoneticPr fontId="135" type="noConversion"/>
  </si>
  <si>
    <t>整栋，二手房，小业主售卖，无地下，带装修，首层5米以下，其余楼层标准层高</t>
    <phoneticPr fontId="135" type="noConversion"/>
  </si>
  <si>
    <t>如产权交易，需缴税达到规定额度和经营范围符合园区要求，否则只能股权交易</t>
    <phoneticPr fontId="135" type="noConversion"/>
  </si>
  <si>
    <t>汇龙森科技园</t>
    <phoneticPr fontId="135" type="noConversion"/>
  </si>
  <si>
    <t>整栋，二手房，小业主售卖，地下1层603平，带装修，首层5米以下，其余楼层标准层高</t>
    <phoneticPr fontId="135" type="noConversion"/>
  </si>
  <si>
    <t>整栋，二手房，小业主售卖，地下1层333平，带装修，首层5米以下，其余楼层标准层高</t>
    <phoneticPr fontId="135" type="noConversion"/>
  </si>
  <si>
    <t>是否有地下</t>
    <phoneticPr fontId="32" type="noConversion"/>
  </si>
  <si>
    <t>有</t>
    <phoneticPr fontId="32" type="noConversion"/>
  </si>
  <si>
    <t>日租金</t>
    <phoneticPr fontId="135" type="noConversion"/>
  </si>
  <si>
    <t>1.6-2块</t>
    <phoneticPr fontId="135" type="noConversion"/>
  </si>
  <si>
    <t>1.6-2.3块</t>
    <phoneticPr fontId="135" type="noConversion"/>
  </si>
  <si>
    <r>
      <t>2</t>
    </r>
    <r>
      <rPr>
        <sz val="11"/>
        <color theme="1"/>
        <rFont val="宋体"/>
        <family val="3"/>
        <charset val="134"/>
        <scheme val="minor"/>
      </rPr>
      <t>.3-2.8块</t>
    </r>
    <phoneticPr fontId="135" type="noConversion"/>
  </si>
  <si>
    <r>
      <t>1.7-2.5块</t>
    </r>
    <r>
      <rPr>
        <sz val="11"/>
        <color theme="1"/>
        <rFont val="宋体"/>
        <family val="2"/>
        <charset val="134"/>
        <scheme val="minor"/>
      </rPr>
      <t/>
    </r>
    <phoneticPr fontId="135" type="noConversion"/>
  </si>
  <si>
    <t>锋创科技园</t>
    <phoneticPr fontId="135" type="noConversion"/>
  </si>
  <si>
    <t>2-3块</t>
    <phoneticPr fontId="135" type="noConversion"/>
  </si>
  <si>
    <t>北京壹号总部</t>
    <phoneticPr fontId="4" type="noConversion"/>
  </si>
  <si>
    <t>无</t>
    <phoneticPr fontId="32" type="noConversion"/>
  </si>
  <si>
    <t>汇龙森科技园</t>
    <phoneticPr fontId="4" type="noConversion"/>
  </si>
  <si>
    <t>锋创科技园</t>
    <phoneticPr fontId="4" type="noConversion"/>
  </si>
  <si>
    <t>2013-2016</t>
    <phoneticPr fontId="32" type="noConversion"/>
  </si>
  <si>
    <r>
      <rPr>
        <sz val="10"/>
        <color theme="9" tint="-0.249977111117893"/>
        <rFont val="宋体"/>
        <family val="3"/>
        <charset val="134"/>
      </rPr>
      <t>通州区经海五路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46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t>
    </r>
    <r>
      <rPr>
        <sz val="10"/>
        <color theme="9" tint="-0.249977111117893"/>
        <rFont val="Arial"/>
        <family val="2"/>
      </rPr>
      <t>5-101</t>
    </r>
    <r>
      <rPr>
        <sz val="10"/>
        <color theme="9" tint="-0.249977111117893"/>
        <rFont val="宋体"/>
        <family val="3"/>
        <charset val="134"/>
      </rPr>
      <t>工业用房</t>
    </r>
    <phoneticPr fontId="7" type="noConversion"/>
  </si>
  <si>
    <t>楼面单价</t>
  </si>
  <si>
    <t>成本比率</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</si>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</sst>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cellStyleXfs>
  <cellXfs count="383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NumberFormat="1" applyFont="1" applyAlignment="1" applyProtection="1">
      <alignment horizontal="left" vertical="center"/>
      <protection locked="0"/>
    </xf>
    <xf numFmtId="2" fontId="145" fillId="13" borderId="0" xfId="9" applyNumberFormat="1" applyFont="1" applyFill="1" applyAlignment="1" applyProtection="1">
      <alignment horizontal="right" vertical="center"/>
    </xf>
    <xf numFmtId="2" fontId="145" fillId="21" borderId="0" xfId="9" applyNumberFormat="1" applyFont="1" applyFill="1" applyAlignment="1" applyProtection="1">
      <alignment horizontal="right" vertical="center"/>
    </xf>
    <xf numFmtId="0" fontId="145" fillId="13" borderId="0" xfId="9" applyNumberFormat="1" applyFont="1" applyFill="1" applyAlignment="1" applyProtection="1">
      <alignment horizontal="right" vertical="center"/>
    </xf>
    <xf numFmtId="0" fontId="145"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8" fillId="6" borderId="1"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 xfId="0" applyFont="1" applyFill="1" applyBorder="1" applyAlignment="1" applyProtection="1">
      <alignment horizontal="left" vertical="center"/>
    </xf>
    <xf numFmtId="0" fontId="108" fillId="6" borderId="24" xfId="0" applyFont="1" applyFill="1" applyBorder="1" applyAlignment="1" applyProtection="1">
      <alignment horizontal="left" vertical="center"/>
    </xf>
    <xf numFmtId="0" fontId="108" fillId="6" borderId="32" xfId="0" applyFont="1" applyFill="1" applyBorder="1" applyAlignment="1" applyProtection="1">
      <alignment horizontal="left" vertical="center"/>
    </xf>
    <xf numFmtId="0" fontId="108" fillId="6" borderId="49" xfId="0" applyFont="1" applyFill="1" applyBorder="1" applyAlignment="1" applyProtection="1">
      <alignment horizontal="left" vertical="center"/>
    </xf>
    <xf numFmtId="0" fontId="108" fillId="6" borderId="75" xfId="0" applyNumberFormat="1" applyFont="1" applyFill="1" applyBorder="1" applyAlignment="1" applyProtection="1">
      <alignment horizontal="left" vertical="center"/>
    </xf>
    <xf numFmtId="0" fontId="108" fillId="6" borderId="73" xfId="0" applyNumberFormat="1" applyFont="1" applyFill="1" applyBorder="1" applyAlignment="1" applyProtection="1">
      <alignment horizontal="left" vertical="center"/>
    </xf>
    <xf numFmtId="0" fontId="108" fillId="6" borderId="76" xfId="0" applyNumberFormat="1" applyFont="1" applyFill="1" applyBorder="1" applyAlignment="1" applyProtection="1">
      <alignment horizontal="left" vertical="center"/>
    </xf>
    <xf numFmtId="0" fontId="108" fillId="6" borderId="9" xfId="0" applyNumberFormat="1" applyFont="1" applyFill="1" applyBorder="1" applyAlignment="1" applyProtection="1">
      <alignment horizontal="left" vertical="center"/>
    </xf>
    <xf numFmtId="0" fontId="129" fillId="12" borderId="0" xfId="0" applyFont="1" applyFill="1" applyAlignment="1" applyProtection="1">
      <alignment vertical="center"/>
      <protection locked="0"/>
    </xf>
    <xf numFmtId="0" fontId="129" fillId="0" borderId="51"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10" fontId="45" fillId="0" borderId="37" xfId="0" applyNumberFormat="1" applyFont="1" applyFill="1" applyBorder="1" applyAlignment="1" applyProtection="1">
      <alignment horizontal="center" vertical="center" wrapText="1"/>
      <protection locked="0"/>
    </xf>
    <xf numFmtId="0" fontId="96" fillId="0" borderId="0" xfId="0" applyFont="1">
      <alignment vertical="center"/>
    </xf>
    <xf numFmtId="0" fontId="129" fillId="0" borderId="5" xfId="0" applyFont="1" applyFill="1" applyBorder="1" applyAlignment="1" applyProtection="1">
      <alignment horizontal="center" vertical="center" wrapText="1"/>
      <protection locked="0"/>
    </xf>
    <xf numFmtId="9" fontId="48" fillId="0" borderId="1" xfId="17" applyFont="1" applyBorder="1" applyAlignment="1" applyProtection="1">
      <alignment vertical="center" wrapText="1"/>
      <protection locked="0"/>
    </xf>
    <xf numFmtId="0" fontId="78" fillId="12" borderId="0" xfId="0" applyFont="1" applyFill="1" applyAlignment="1" applyProtection="1">
      <alignment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1"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9"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6" borderId="32"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96" fillId="0" borderId="0" xfId="0" applyFont="1" applyAlignment="1">
      <alignment horizontal="left" vertical="center"/>
    </xf>
    <xf numFmtId="0" fontId="273" fillId="0" borderId="0" xfId="0" applyFont="1" applyAlignment="1">
      <alignment horizontal="left" vertical="center"/>
    </xf>
    <xf numFmtId="1" fontId="0" fillId="0" borderId="0" xfId="0" applyNumberFormat="1" applyAlignment="1">
      <alignment horizontal="left" vertical="center"/>
    </xf>
    <xf numFmtId="9" fontId="129" fillId="0" borderId="37" xfId="0" applyNumberFormat="1" applyFont="1" applyFill="1" applyBorder="1" applyAlignment="1" applyProtection="1">
      <alignment horizontal="center" vertical="center" wrapText="1"/>
      <protection locked="0"/>
    </xf>
    <xf numFmtId="9" fontId="95" fillId="0" borderId="37" xfId="0" applyNumberFormat="1" applyFont="1" applyFill="1" applyBorder="1" applyAlignment="1" applyProtection="1">
      <alignment horizontal="center" vertical="center" wrapText="1"/>
      <protection locked="0"/>
    </xf>
    <xf numFmtId="9" fontId="129"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 Type="http://schemas.openxmlformats.org/officeDocument/2006/relationships/image" Target="../media/image14.png"/><Relationship Id="rId16" Type="http://schemas.openxmlformats.org/officeDocument/2006/relationships/image" Target="../media/image28.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6</xdr:col>
      <xdr:colOff>76200</xdr:colOff>
      <xdr:row>47</xdr:row>
      <xdr:rowOff>144386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14350"/>
          <a:ext cx="5819775" cy="5459336"/>
        </a:xfrm>
        <a:prstGeom prst="rect">
          <a:avLst/>
        </a:prstGeom>
      </xdr:spPr>
    </xdr:pic>
    <xdr:clientData/>
  </xdr:twoCellAnchor>
  <xdr:twoCellAnchor editAs="oneCell">
    <xdr:from>
      <xdr:col>0</xdr:col>
      <xdr:colOff>1</xdr:colOff>
      <xdr:row>49</xdr:row>
      <xdr:rowOff>0</xdr:rowOff>
    </xdr:from>
    <xdr:to>
      <xdr:col>5</xdr:col>
      <xdr:colOff>297400</xdr:colOff>
      <xdr:row>74</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1" y="6172200"/>
          <a:ext cx="5355174" cy="4305300"/>
        </a:xfrm>
        <a:prstGeom prst="rect">
          <a:avLst/>
        </a:prstGeom>
      </xdr:spPr>
    </xdr:pic>
    <xdr:clientData/>
  </xdr:twoCellAnchor>
  <xdr:twoCellAnchor editAs="oneCell">
    <xdr:from>
      <xdr:col>5</xdr:col>
      <xdr:colOff>482990</xdr:colOff>
      <xdr:row>49</xdr:row>
      <xdr:rowOff>123825</xdr:rowOff>
    </xdr:from>
    <xdr:to>
      <xdr:col>12</xdr:col>
      <xdr:colOff>675509</xdr:colOff>
      <xdr:row>67</xdr:row>
      <xdr:rowOff>66211</xdr:rowOff>
    </xdr:to>
    <xdr:pic>
      <xdr:nvPicPr>
        <xdr:cNvPr id="4" name="图片 3"/>
        <xdr:cNvPicPr>
          <a:picLocks noChangeAspect="1"/>
        </xdr:cNvPicPr>
      </xdr:nvPicPr>
      <xdr:blipFill>
        <a:blip xmlns:r="http://schemas.openxmlformats.org/officeDocument/2006/relationships" r:embed="rId3"/>
        <a:stretch>
          <a:fillRect/>
        </a:stretch>
      </xdr:blipFill>
      <xdr:spPr>
        <a:xfrm>
          <a:off x="5540765" y="8524875"/>
          <a:ext cx="4993119" cy="3028486"/>
        </a:xfrm>
        <a:prstGeom prst="rect">
          <a:avLst/>
        </a:prstGeom>
      </xdr:spPr>
    </xdr:pic>
    <xdr:clientData/>
  </xdr:twoCellAnchor>
  <xdr:twoCellAnchor editAs="oneCell">
    <xdr:from>
      <xdr:col>0</xdr:col>
      <xdr:colOff>0</xdr:colOff>
      <xdr:row>75</xdr:row>
      <xdr:rowOff>1</xdr:rowOff>
    </xdr:from>
    <xdr:to>
      <xdr:col>5</xdr:col>
      <xdr:colOff>138043</xdr:colOff>
      <xdr:row>103</xdr:row>
      <xdr:rowOff>19051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1"/>
          <a:ext cx="5195818" cy="4819650"/>
        </a:xfrm>
        <a:prstGeom prst="rect">
          <a:avLst/>
        </a:prstGeom>
      </xdr:spPr>
    </xdr:pic>
    <xdr:clientData/>
  </xdr:twoCellAnchor>
  <xdr:twoCellAnchor editAs="oneCell">
    <xdr:from>
      <xdr:col>5</xdr:col>
      <xdr:colOff>371476</xdr:colOff>
      <xdr:row>75</xdr:row>
      <xdr:rowOff>114300</xdr:rowOff>
    </xdr:from>
    <xdr:to>
      <xdr:col>13</xdr:col>
      <xdr:colOff>348840</xdr:colOff>
      <xdr:row>99</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5429251" y="12973050"/>
          <a:ext cx="5463764" cy="4095750"/>
        </a:xfrm>
        <a:prstGeom prst="rect">
          <a:avLst/>
        </a:prstGeom>
      </xdr:spPr>
    </xdr:pic>
    <xdr:clientData/>
  </xdr:twoCellAnchor>
  <xdr:twoCellAnchor editAs="oneCell">
    <xdr:from>
      <xdr:col>0</xdr:col>
      <xdr:colOff>1</xdr:colOff>
      <xdr:row>104</xdr:row>
      <xdr:rowOff>0</xdr:rowOff>
    </xdr:from>
    <xdr:to>
      <xdr:col>4</xdr:col>
      <xdr:colOff>527060</xdr:colOff>
      <xdr:row>118</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1" y="15601950"/>
          <a:ext cx="4899034" cy="2438400"/>
        </a:xfrm>
        <a:prstGeom prst="rect">
          <a:avLst/>
        </a:prstGeom>
      </xdr:spPr>
    </xdr:pic>
    <xdr:clientData/>
  </xdr:twoCellAnchor>
  <xdr:twoCellAnchor editAs="oneCell">
    <xdr:from>
      <xdr:col>0</xdr:col>
      <xdr:colOff>95250</xdr:colOff>
      <xdr:row>119</xdr:row>
      <xdr:rowOff>76200</xdr:rowOff>
    </xdr:from>
    <xdr:to>
      <xdr:col>4</xdr:col>
      <xdr:colOff>323850</xdr:colOff>
      <xdr:row>137</xdr:row>
      <xdr:rowOff>74081</xdr:rowOff>
    </xdr:to>
    <xdr:pic>
      <xdr:nvPicPr>
        <xdr:cNvPr id="8" name="图片 7"/>
        <xdr:cNvPicPr>
          <a:picLocks noChangeAspect="1"/>
        </xdr:cNvPicPr>
      </xdr:nvPicPr>
      <xdr:blipFill>
        <a:blip xmlns:r="http://schemas.openxmlformats.org/officeDocument/2006/relationships" r:embed="rId7"/>
        <a:stretch>
          <a:fillRect/>
        </a:stretch>
      </xdr:blipFill>
      <xdr:spPr>
        <a:xfrm>
          <a:off x="95250" y="18249900"/>
          <a:ext cx="4600575" cy="3083981"/>
        </a:xfrm>
        <a:prstGeom prst="rect">
          <a:avLst/>
        </a:prstGeom>
      </xdr:spPr>
    </xdr:pic>
    <xdr:clientData/>
  </xdr:twoCellAnchor>
  <xdr:twoCellAnchor editAs="oneCell">
    <xdr:from>
      <xdr:col>5</xdr:col>
      <xdr:colOff>104775</xdr:colOff>
      <xdr:row>105</xdr:row>
      <xdr:rowOff>66675</xdr:rowOff>
    </xdr:from>
    <xdr:to>
      <xdr:col>12</xdr:col>
      <xdr:colOff>388620</xdr:colOff>
      <xdr:row>132</xdr:row>
      <xdr:rowOff>133350</xdr:rowOff>
    </xdr:to>
    <xdr:pic>
      <xdr:nvPicPr>
        <xdr:cNvPr id="9" name="图片 8"/>
        <xdr:cNvPicPr>
          <a:picLocks noChangeAspect="1"/>
        </xdr:cNvPicPr>
      </xdr:nvPicPr>
      <xdr:blipFill>
        <a:blip xmlns:r="http://schemas.openxmlformats.org/officeDocument/2006/relationships" r:embed="rId8"/>
        <a:stretch>
          <a:fillRect/>
        </a:stretch>
      </xdr:blipFill>
      <xdr:spPr>
        <a:xfrm>
          <a:off x="5162550" y="18068925"/>
          <a:ext cx="5084445" cy="4695825"/>
        </a:xfrm>
        <a:prstGeom prst="rect">
          <a:avLst/>
        </a:prstGeom>
      </xdr:spPr>
    </xdr:pic>
    <xdr:clientData/>
  </xdr:twoCellAnchor>
  <xdr:twoCellAnchor editAs="oneCell">
    <xdr:from>
      <xdr:col>0</xdr:col>
      <xdr:colOff>0</xdr:colOff>
      <xdr:row>138</xdr:row>
      <xdr:rowOff>0</xdr:rowOff>
    </xdr:from>
    <xdr:to>
      <xdr:col>4</xdr:col>
      <xdr:colOff>412310</xdr:colOff>
      <xdr:row>164</xdr:row>
      <xdr:rowOff>57150</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1431250"/>
          <a:ext cx="4784285" cy="4514850"/>
        </a:xfrm>
        <a:prstGeom prst="rect">
          <a:avLst/>
        </a:prstGeom>
      </xdr:spPr>
    </xdr:pic>
    <xdr:clientData/>
  </xdr:twoCellAnchor>
  <xdr:twoCellAnchor editAs="oneCell">
    <xdr:from>
      <xdr:col>4</xdr:col>
      <xdr:colOff>619125</xdr:colOff>
      <xdr:row>140</xdr:row>
      <xdr:rowOff>0</xdr:rowOff>
    </xdr:from>
    <xdr:to>
      <xdr:col>11</xdr:col>
      <xdr:colOff>146762</xdr:colOff>
      <xdr:row>159</xdr:row>
      <xdr:rowOff>28575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4991100" y="24003000"/>
          <a:ext cx="4328237" cy="3286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465981</xdr:colOff>
      <xdr:row>33</xdr:row>
      <xdr:rowOff>142150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52381" cy="5800000"/>
        </a:xfrm>
        <a:prstGeom prst="rect">
          <a:avLst/>
        </a:prstGeom>
      </xdr:spPr>
    </xdr:pic>
    <xdr:clientData/>
  </xdr:twoCellAnchor>
  <xdr:twoCellAnchor editAs="oneCell">
    <xdr:from>
      <xdr:col>0</xdr:col>
      <xdr:colOff>0</xdr:colOff>
      <xdr:row>34</xdr:row>
      <xdr:rowOff>0</xdr:rowOff>
    </xdr:from>
    <xdr:to>
      <xdr:col>8</xdr:col>
      <xdr:colOff>637410</xdr:colOff>
      <xdr:row>67</xdr:row>
      <xdr:rowOff>132627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829300"/>
          <a:ext cx="6123810" cy="5790477"/>
        </a:xfrm>
        <a:prstGeom prst="rect">
          <a:avLst/>
        </a:prstGeom>
      </xdr:spPr>
    </xdr:pic>
    <xdr:clientData/>
  </xdr:twoCellAnchor>
  <xdr:twoCellAnchor editAs="oneCell">
    <xdr:from>
      <xdr:col>0</xdr:col>
      <xdr:colOff>0</xdr:colOff>
      <xdr:row>68</xdr:row>
      <xdr:rowOff>0</xdr:rowOff>
    </xdr:from>
    <xdr:to>
      <xdr:col>9</xdr:col>
      <xdr:colOff>18277</xdr:colOff>
      <xdr:row>101</xdr:row>
      <xdr:rowOff>75484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58600"/>
          <a:ext cx="6190477" cy="5733334"/>
        </a:xfrm>
        <a:prstGeom prst="rect">
          <a:avLst/>
        </a:prstGeom>
      </xdr:spPr>
    </xdr:pic>
    <xdr:clientData/>
  </xdr:twoCellAnchor>
  <xdr:twoCellAnchor editAs="oneCell">
    <xdr:from>
      <xdr:col>0</xdr:col>
      <xdr:colOff>0</xdr:colOff>
      <xdr:row>103</xdr:row>
      <xdr:rowOff>0</xdr:rowOff>
    </xdr:from>
    <xdr:to>
      <xdr:col>8</xdr:col>
      <xdr:colOff>608839</xdr:colOff>
      <xdr:row>137</xdr:row>
      <xdr:rowOff>18319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7659350"/>
          <a:ext cx="6095239" cy="5847619"/>
        </a:xfrm>
        <a:prstGeom prst="rect">
          <a:avLst/>
        </a:prstGeom>
      </xdr:spPr>
    </xdr:pic>
    <xdr:clientData/>
  </xdr:twoCellAnchor>
  <xdr:twoCellAnchor editAs="oneCell">
    <xdr:from>
      <xdr:col>0</xdr:col>
      <xdr:colOff>0</xdr:colOff>
      <xdr:row>138</xdr:row>
      <xdr:rowOff>0</xdr:rowOff>
    </xdr:from>
    <xdr:to>
      <xdr:col>8</xdr:col>
      <xdr:colOff>646934</xdr:colOff>
      <xdr:row>165</xdr:row>
      <xdr:rowOff>170850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3660100"/>
          <a:ext cx="6133334" cy="4800000"/>
        </a:xfrm>
        <a:prstGeom prst="rect">
          <a:avLst/>
        </a:prstGeom>
      </xdr:spPr>
    </xdr:pic>
    <xdr:clientData/>
  </xdr:twoCellAnchor>
  <xdr:twoCellAnchor editAs="oneCell">
    <xdr:from>
      <xdr:col>0</xdr:col>
      <xdr:colOff>0</xdr:colOff>
      <xdr:row>166</xdr:row>
      <xdr:rowOff>0</xdr:rowOff>
    </xdr:from>
    <xdr:to>
      <xdr:col>8</xdr:col>
      <xdr:colOff>351696</xdr:colOff>
      <xdr:row>199</xdr:row>
      <xdr:rowOff>151674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8460700"/>
          <a:ext cx="5838096" cy="5809524"/>
        </a:xfrm>
        <a:prstGeom prst="rect">
          <a:avLst/>
        </a:prstGeom>
      </xdr:spPr>
    </xdr:pic>
    <xdr:clientData/>
  </xdr:twoCellAnchor>
  <xdr:twoCellAnchor editAs="oneCell">
    <xdr:from>
      <xdr:col>8</xdr:col>
      <xdr:colOff>409575</xdr:colOff>
      <xdr:row>202</xdr:row>
      <xdr:rowOff>19050</xdr:rowOff>
    </xdr:from>
    <xdr:to>
      <xdr:col>18</xdr:col>
      <xdr:colOff>484629</xdr:colOff>
      <xdr:row>219</xdr:row>
      <xdr:rowOff>56167</xdr:rowOff>
    </xdr:to>
    <xdr:pic>
      <xdr:nvPicPr>
        <xdr:cNvPr id="10" name="图片 9"/>
        <xdr:cNvPicPr>
          <a:picLocks noChangeAspect="1"/>
        </xdr:cNvPicPr>
      </xdr:nvPicPr>
      <xdr:blipFill>
        <a:blip xmlns:r="http://schemas.openxmlformats.org/officeDocument/2006/relationships" r:embed="rId7"/>
        <a:stretch>
          <a:fillRect/>
        </a:stretch>
      </xdr:blipFill>
      <xdr:spPr>
        <a:xfrm>
          <a:off x="5895975" y="40481250"/>
          <a:ext cx="6933054" cy="2951767"/>
        </a:xfrm>
        <a:prstGeom prst="rect">
          <a:avLst/>
        </a:prstGeom>
      </xdr:spPr>
    </xdr:pic>
    <xdr:clientData/>
  </xdr:twoCellAnchor>
  <xdr:twoCellAnchor editAs="oneCell">
    <xdr:from>
      <xdr:col>0</xdr:col>
      <xdr:colOff>0</xdr:colOff>
      <xdr:row>202</xdr:row>
      <xdr:rowOff>0</xdr:rowOff>
    </xdr:from>
    <xdr:to>
      <xdr:col>8</xdr:col>
      <xdr:colOff>418362</xdr:colOff>
      <xdr:row>235</xdr:row>
      <xdr:rowOff>123103</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40462200"/>
          <a:ext cx="5904762" cy="5780953"/>
        </a:xfrm>
        <a:prstGeom prst="rect">
          <a:avLst/>
        </a:prstGeom>
      </xdr:spPr>
    </xdr:pic>
    <xdr:clientData/>
  </xdr:twoCellAnchor>
  <xdr:twoCellAnchor editAs="oneCell">
    <xdr:from>
      <xdr:col>0</xdr:col>
      <xdr:colOff>0</xdr:colOff>
      <xdr:row>239</xdr:row>
      <xdr:rowOff>0</xdr:rowOff>
    </xdr:from>
    <xdr:to>
      <xdr:col>12</xdr:col>
      <xdr:colOff>283346</xdr:colOff>
      <xdr:row>260</xdr:row>
      <xdr:rowOff>104775</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46805850"/>
          <a:ext cx="8512946" cy="3705225"/>
        </a:xfrm>
        <a:prstGeom prst="rect">
          <a:avLst/>
        </a:prstGeom>
      </xdr:spPr>
    </xdr:pic>
    <xdr:clientData/>
  </xdr:twoCellAnchor>
  <xdr:twoCellAnchor editAs="oneCell">
    <xdr:from>
      <xdr:col>0</xdr:col>
      <xdr:colOff>0</xdr:colOff>
      <xdr:row>279</xdr:row>
      <xdr:rowOff>19051</xdr:rowOff>
    </xdr:from>
    <xdr:to>
      <xdr:col>11</xdr:col>
      <xdr:colOff>523411</xdr:colOff>
      <xdr:row>299</xdr:row>
      <xdr:rowOff>95251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47853601"/>
          <a:ext cx="8067211" cy="3505200"/>
        </a:xfrm>
        <a:prstGeom prst="rect">
          <a:avLst/>
        </a:prstGeom>
      </xdr:spPr>
    </xdr:pic>
    <xdr:clientData/>
  </xdr:twoCellAnchor>
  <xdr:twoCellAnchor editAs="oneCell">
    <xdr:from>
      <xdr:col>0</xdr:col>
      <xdr:colOff>1</xdr:colOff>
      <xdr:row>261</xdr:row>
      <xdr:rowOff>0</xdr:rowOff>
    </xdr:from>
    <xdr:to>
      <xdr:col>7</xdr:col>
      <xdr:colOff>304801</xdr:colOff>
      <xdr:row>277</xdr:row>
      <xdr:rowOff>120805</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 y="44748450"/>
          <a:ext cx="5105400" cy="2864005"/>
        </a:xfrm>
        <a:prstGeom prst="rect">
          <a:avLst/>
        </a:prstGeom>
      </xdr:spPr>
    </xdr:pic>
    <xdr:clientData/>
  </xdr:twoCellAnchor>
  <xdr:twoCellAnchor editAs="oneCell">
    <xdr:from>
      <xdr:col>0</xdr:col>
      <xdr:colOff>0</xdr:colOff>
      <xdr:row>302</xdr:row>
      <xdr:rowOff>0</xdr:rowOff>
    </xdr:from>
    <xdr:to>
      <xdr:col>12</xdr:col>
      <xdr:colOff>52744</xdr:colOff>
      <xdr:row>323</xdr:row>
      <xdr:rowOff>123825</xdr:rowOff>
    </xdr:to>
    <xdr:pic>
      <xdr:nvPicPr>
        <xdr:cNvPr id="15" name="图片 14"/>
        <xdr:cNvPicPr>
          <a:picLocks noChangeAspect="1"/>
        </xdr:cNvPicPr>
      </xdr:nvPicPr>
      <xdr:blipFill>
        <a:blip xmlns:r="http://schemas.openxmlformats.org/officeDocument/2006/relationships" r:embed="rId12"/>
        <a:stretch>
          <a:fillRect/>
        </a:stretch>
      </xdr:blipFill>
      <xdr:spPr>
        <a:xfrm>
          <a:off x="0" y="51777900"/>
          <a:ext cx="8282344" cy="3724275"/>
        </a:xfrm>
        <a:prstGeom prst="rect">
          <a:avLst/>
        </a:prstGeom>
      </xdr:spPr>
    </xdr:pic>
    <xdr:clientData/>
  </xdr:twoCellAnchor>
  <xdr:twoCellAnchor editAs="oneCell">
    <xdr:from>
      <xdr:col>0</xdr:col>
      <xdr:colOff>1</xdr:colOff>
      <xdr:row>324</xdr:row>
      <xdr:rowOff>1</xdr:rowOff>
    </xdr:from>
    <xdr:to>
      <xdr:col>7</xdr:col>
      <xdr:colOff>128875</xdr:colOff>
      <xdr:row>339</xdr:row>
      <xdr:rowOff>133351</xdr:rowOff>
    </xdr:to>
    <xdr:pic>
      <xdr:nvPicPr>
        <xdr:cNvPr id="16" name="图片 15"/>
        <xdr:cNvPicPr>
          <a:picLocks noChangeAspect="1"/>
        </xdr:cNvPicPr>
      </xdr:nvPicPr>
      <xdr:blipFill>
        <a:blip xmlns:r="http://schemas.openxmlformats.org/officeDocument/2006/relationships" r:embed="rId13"/>
        <a:stretch>
          <a:fillRect/>
        </a:stretch>
      </xdr:blipFill>
      <xdr:spPr>
        <a:xfrm>
          <a:off x="1" y="55549801"/>
          <a:ext cx="4929474" cy="2705100"/>
        </a:xfrm>
        <a:prstGeom prst="rect">
          <a:avLst/>
        </a:prstGeom>
      </xdr:spPr>
    </xdr:pic>
    <xdr:clientData/>
  </xdr:twoCellAnchor>
  <xdr:twoCellAnchor editAs="oneCell">
    <xdr:from>
      <xdr:col>7</xdr:col>
      <xdr:colOff>175766</xdr:colOff>
      <xdr:row>323</xdr:row>
      <xdr:rowOff>66675</xdr:rowOff>
    </xdr:from>
    <xdr:to>
      <xdr:col>15</xdr:col>
      <xdr:colOff>513458</xdr:colOff>
      <xdr:row>341</xdr:row>
      <xdr:rowOff>133350</xdr:rowOff>
    </xdr:to>
    <xdr:pic>
      <xdr:nvPicPr>
        <xdr:cNvPr id="17" name="图片 16"/>
        <xdr:cNvPicPr>
          <a:picLocks noChangeAspect="1"/>
        </xdr:cNvPicPr>
      </xdr:nvPicPr>
      <xdr:blipFill>
        <a:blip xmlns:r="http://schemas.openxmlformats.org/officeDocument/2006/relationships" r:embed="rId14"/>
        <a:stretch>
          <a:fillRect/>
        </a:stretch>
      </xdr:blipFill>
      <xdr:spPr>
        <a:xfrm>
          <a:off x="4976366" y="55445025"/>
          <a:ext cx="5824092" cy="3152775"/>
        </a:xfrm>
        <a:prstGeom prst="rect">
          <a:avLst/>
        </a:prstGeom>
      </xdr:spPr>
    </xdr:pic>
    <xdr:clientData/>
  </xdr:twoCellAnchor>
  <xdr:twoCellAnchor editAs="oneCell">
    <xdr:from>
      <xdr:col>9</xdr:col>
      <xdr:colOff>63910</xdr:colOff>
      <xdr:row>0</xdr:row>
      <xdr:rowOff>0</xdr:rowOff>
    </xdr:from>
    <xdr:to>
      <xdr:col>15</xdr:col>
      <xdr:colOff>608839</xdr:colOff>
      <xdr:row>26</xdr:row>
      <xdr:rowOff>56412</xdr:rowOff>
    </xdr:to>
    <xdr:pic>
      <xdr:nvPicPr>
        <xdr:cNvPr id="8" name="图片 7"/>
        <xdr:cNvPicPr>
          <a:picLocks noChangeAspect="1"/>
        </xdr:cNvPicPr>
      </xdr:nvPicPr>
      <xdr:blipFill>
        <a:blip xmlns:r="http://schemas.openxmlformats.org/officeDocument/2006/relationships" r:embed="rId15"/>
        <a:stretch>
          <a:fillRect/>
        </a:stretch>
      </xdr:blipFill>
      <xdr:spPr>
        <a:xfrm>
          <a:off x="6236110" y="0"/>
          <a:ext cx="4659729" cy="4514112"/>
        </a:xfrm>
        <a:prstGeom prst="rect">
          <a:avLst/>
        </a:prstGeom>
      </xdr:spPr>
    </xdr:pic>
    <xdr:clientData/>
  </xdr:twoCellAnchor>
  <xdr:twoCellAnchor editAs="oneCell">
    <xdr:from>
      <xdr:col>9</xdr:col>
      <xdr:colOff>0</xdr:colOff>
      <xdr:row>28</xdr:row>
      <xdr:rowOff>0</xdr:rowOff>
    </xdr:from>
    <xdr:to>
      <xdr:col>16</xdr:col>
      <xdr:colOff>458512</xdr:colOff>
      <xdr:row>52</xdr:row>
      <xdr:rowOff>47625</xdr:rowOff>
    </xdr:to>
    <xdr:pic>
      <xdr:nvPicPr>
        <xdr:cNvPr id="9" name="图片 8"/>
        <xdr:cNvPicPr>
          <a:picLocks noChangeAspect="1"/>
        </xdr:cNvPicPr>
      </xdr:nvPicPr>
      <xdr:blipFill>
        <a:blip xmlns:r="http://schemas.openxmlformats.org/officeDocument/2006/relationships" r:embed="rId16"/>
        <a:stretch>
          <a:fillRect/>
        </a:stretch>
      </xdr:blipFill>
      <xdr:spPr>
        <a:xfrm>
          <a:off x="6172200" y="4800600"/>
          <a:ext cx="5259112" cy="4162425"/>
        </a:xfrm>
        <a:prstGeom prst="rect">
          <a:avLst/>
        </a:prstGeom>
      </xdr:spPr>
    </xdr:pic>
    <xdr:clientData/>
  </xdr:twoCellAnchor>
  <xdr:twoCellAnchor editAs="oneCell">
    <xdr:from>
      <xdr:col>9</xdr:col>
      <xdr:colOff>239855</xdr:colOff>
      <xdr:row>52</xdr:row>
      <xdr:rowOff>142875</xdr:rowOff>
    </xdr:from>
    <xdr:to>
      <xdr:col>17</xdr:col>
      <xdr:colOff>27811</xdr:colOff>
      <xdr:row>82</xdr:row>
      <xdr:rowOff>19050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412055" y="9058275"/>
          <a:ext cx="5274356" cy="50196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255944</xdr:colOff>
      <xdr:row>34</xdr:row>
      <xdr:rowOff>56415</xdr:rowOff>
    </xdr:to>
    <xdr:pic>
      <xdr:nvPicPr>
        <xdr:cNvPr id="2" name="图片 1">
          <a:extLst>
            <a:ext uri="{FF2B5EF4-FFF2-40B4-BE49-F238E27FC236}">
              <a16:creationId xmlns:a16="http://schemas.microsoft.com/office/drawing/2014/main" xmlns="" id="{00000000-0008-0000-2E00-000002000000}"/>
            </a:ext>
          </a:extLst>
        </xdr:cNvPr>
        <xdr:cNvPicPr>
          <a:picLocks noChangeAspect="1"/>
        </xdr:cNvPicPr>
      </xdr:nvPicPr>
      <xdr:blipFill>
        <a:blip xmlns:r="http://schemas.openxmlformats.org/officeDocument/2006/relationships" r:embed="rId1"/>
        <a:stretch>
          <a:fillRect/>
        </a:stretch>
      </xdr:blipFill>
      <xdr:spPr>
        <a:xfrm>
          <a:off x="0" y="0"/>
          <a:ext cx="9857144" cy="58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北京市通州区经海五路1号院46号楼-1至6层5-101工业用房房地产抵押价值预评估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受贵公司委托，我公司对北京市通州区经海五路1号院46号楼-1至6层5-101工业用房房地产抵押价值进行了预评估。</v>
      </c>
    </row>
    <row r="7" spans="1:2" s="1203" customFormat="1">
      <c r="A7" s="1201" t="s">
        <v>566</v>
      </c>
      <c r="B7" s="1202" t="str">
        <f>'预评函-1'!A7</f>
        <v>估价对象为北京市通州区经海五路1号院46号楼-1至6层5-101工业用房房地产，为所有。根据《国有土地使用证》[]，估价对象（分摊）出让国有建设用地使用权面积为0平方米，建筑面积为3830.64平方米。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经海五路1号院46号楼-1至6层5-101工业用房房地产,属开发建设的工业项目，该项目尚在开发建设中。根据《国有土地使用证》[]，估价对象（分摊）出让国有建设用地使用权面积为0平方米，规划建筑面积为3830.64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2025年9月2日（评估专业人员实地查勘之日）</v>
      </c>
    </row>
    <row r="13" spans="1:2" s="1203" customFormat="1">
      <c r="A13" s="1201" t="s">
        <v>529</v>
      </c>
      <c r="B13" s="1202" t="str">
        <f>'预评函-1'!A18</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4318</v>
      </c>
    </row>
    <row r="21" spans="1:2" s="1203" customFormat="1">
      <c r="A21" s="1201" t="s">
        <v>537</v>
      </c>
      <c r="B21" s="1202">
        <f ca="1">'预评函-2'!D7</f>
        <v>11272</v>
      </c>
    </row>
    <row r="22" spans="1:2" s="1203" customFormat="1">
      <c r="A22" s="1201" t="s">
        <v>538</v>
      </c>
      <c r="B22" s="1202" t="str">
        <f ca="1">'预评函-2'!D6</f>
        <v>肆仟叁佰壹拾捌万元整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4318</v>
      </c>
    </row>
    <row r="31" spans="1:2" s="1203" customFormat="1">
      <c r="A31" s="1201" t="s">
        <v>576</v>
      </c>
      <c r="B31" s="1202">
        <f ca="1">'预评函-2'!D15</f>
        <v>11272</v>
      </c>
    </row>
    <row r="32" spans="1:2" s="1203" customFormat="1">
      <c r="A32" s="1201" t="s">
        <v>543</v>
      </c>
      <c r="B32" s="1202" t="str">
        <f ca="1">'预评函-2'!D14</f>
        <v>肆仟叁佰壹拾捌万元整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北京市通州区经海五路1号院46号楼-1至6层5-101工业用房房地产</v>
      </c>
    </row>
    <row r="42" spans="1:2" s="1203" customFormat="1">
      <c r="A42" s="1201" t="s">
        <v>590</v>
      </c>
      <c r="B42" s="1202" t="str">
        <f>'预评函-3'!B2</f>
        <v>建筑面积</v>
      </c>
    </row>
    <row r="43" spans="1:2" s="1203" customFormat="1">
      <c r="A43" s="1201" t="s">
        <v>591</v>
      </c>
      <c r="B43" s="1202">
        <f>'预评函-3'!B4</f>
        <v>3830.64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2345</v>
      </c>
    </row>
    <row r="48" spans="1:2" s="1203" customFormat="1">
      <c r="A48" s="1201" t="s">
        <v>549</v>
      </c>
      <c r="B48" s="1202">
        <f ca="1">'预评函-3'!E4</f>
        <v>6121</v>
      </c>
    </row>
    <row r="49" spans="1:2" s="1203" customFormat="1">
      <c r="A49" s="1201" t="s">
        <v>550</v>
      </c>
      <c r="B49" s="1202" t="str">
        <f ca="1">'预评函-3'!D5</f>
        <v>贰仟叁佰肆拾伍万元整</v>
      </c>
    </row>
    <row r="50" spans="1:2" s="1203" customFormat="1">
      <c r="A50" s="1201" t="s">
        <v>574</v>
      </c>
      <c r="B50" s="1202" t="str">
        <f>'预评函-3'!F2</f>
        <v>在建建筑物价值</v>
      </c>
    </row>
    <row r="51" spans="1:2" s="1203" customFormat="1">
      <c r="A51" s="1201" t="s">
        <v>551</v>
      </c>
      <c r="B51" s="1202">
        <f ca="1">'预评函-3'!F4</f>
        <v>1973</v>
      </c>
    </row>
    <row r="52" spans="1:2" s="1203" customFormat="1">
      <c r="A52" s="1201" t="s">
        <v>552</v>
      </c>
      <c r="B52" s="1202">
        <f ca="1">'预评函-3'!G4</f>
        <v>5151</v>
      </c>
    </row>
    <row r="53" spans="1:2" s="1203" customFormat="1">
      <c r="A53" s="1201" t="s">
        <v>580</v>
      </c>
      <c r="B53" s="1202" t="str">
        <f ca="1">'预评函-3'!F5</f>
        <v>壹仟玖佰柒拾叁万元整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经海五路1号院46号楼-1至6层5-101工业用房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8"/>
      <c r="B54" s="1554" t="s">
        <v>385</v>
      </c>
      <c r="C54" s="1551" t="s">
        <v>583</v>
      </c>
    </row>
    <row r="55" spans="1:4">
      <c r="A55" s="3528"/>
      <c r="B55" s="1554" t="s">
        <v>386</v>
      </c>
      <c r="C55" s="1551" t="s">
        <v>584</v>
      </c>
    </row>
    <row r="56" spans="1:4">
      <c r="A56" s="3528"/>
      <c r="B56" s="1554" t="s">
        <v>387</v>
      </c>
      <c r="C56" s="1551" t="s">
        <v>588</v>
      </c>
    </row>
    <row r="57" spans="1:4">
      <c r="A57" s="352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9" t="s">
        <v>2580</v>
      </c>
      <c r="J2" s="3529"/>
      <c r="K2" s="3529"/>
      <c r="L2" s="3529"/>
      <c r="M2" s="3529"/>
      <c r="N2" s="3529"/>
      <c r="O2" s="3529"/>
      <c r="P2" s="3529"/>
      <c r="Q2" s="3529"/>
      <c r="R2" s="3529"/>
    </row>
    <row r="3" spans="1:18">
      <c r="A3" s="3020" t="s">
        <v>2501</v>
      </c>
      <c r="B3" s="3021">
        <f>项目基本情况!D3</f>
        <v>45902</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1.29</v>
      </c>
      <c r="D5" s="3025">
        <f>IF(ISERROR(ROUND(POWER(1+E5,A5-C5)*(POWER(1+E5,C5)-1)/(POWER(1+E5,A5)-1),3)),0,ROUND(POWER(1+E5,A5-C5)*(POWER(1+E5,C5)-1)/(POWER(1+E5,A5)-1),4))</f>
        <v>6.2300000000000001E-2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11.3</v>
      </c>
      <c r="D6" s="3025">
        <f>IF(ISERROR(ROUND(POWER(1+E6,A6-C6)*(POWER(1+E6,C6)-1)/(POWER(1+E6,A6)-1),3)),0,ROUND(POWER(1+E6,A6-C6)*(POWER(1+E6,C6)-1)/(POWER(1+E6,A6)-1),4))</f>
        <v>0.41660000000000003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31.31</v>
      </c>
      <c r="D7" s="3025">
        <f>IF(ISERROR(ROUND(POWER(1+E7,A7-C7)*(POWER(1+E7,C7)-1)/(POWER(1+E7,A7)-1),3)),0,ROUND(POWER(1+E7,A7-C7)*(POWER(1+E7,C7)-1)/(POWER(1+E7,A7)-1),4))</f>
        <v>0.75560000000000005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北京市通州区经海五路1号院46号楼-1至6层5-101工业用房房地产抵押价值预评估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北京市通州区经海五路1号院46号楼-1至6层5-101工业用房房地产抵押价值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北京市通州区经海五路1号院46号楼-1至6层5-101工业用房房地产</v>
      </c>
      <c r="T2" s="1745"/>
      <c r="U2" s="1745"/>
      <c r="V2" s="1745"/>
      <c r="W2" s="1745"/>
      <c r="X2" s="1745"/>
      <c r="Y2" s="1745"/>
      <c r="Z2" s="1745"/>
      <c r="AA2" s="1745"/>
      <c r="AB2" s="1745"/>
    </row>
    <row r="3" spans="1:30">
      <c r="A3" s="302" t="s">
        <v>2170</v>
      </c>
      <c r="B3" s="2373">
        <v>45902</v>
      </c>
      <c r="C3" s="2374" t="s">
        <v>2171</v>
      </c>
      <c r="D3" s="2373">
        <f>B3</f>
        <v>45902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3330</v>
      </c>
      <c r="C8" s="2390"/>
      <c r="D8" s="3533" t="s">
        <v>2177</v>
      </c>
      <c r="E8" s="2391" t="s">
        <v>3417</v>
      </c>
      <c r="F8" s="2392"/>
      <c r="G8" s="2663"/>
      <c r="H8" s="2663"/>
      <c r="I8" s="2663"/>
      <c r="J8" s="2439"/>
      <c r="K8" s="2614"/>
      <c r="L8" s="2613"/>
      <c r="M8" s="2613"/>
      <c r="N8" s="2439"/>
      <c r="O8" s="2450"/>
      <c r="P8" s="2439"/>
      <c r="Q8" s="2439"/>
      <c r="R8" s="2439"/>
    </row>
    <row r="9" spans="1:30" ht="13.5" thickBot="1">
      <c r="A9" s="2393" t="s">
        <v>2178</v>
      </c>
      <c r="B9" s="2394" t="s">
        <v>3417</v>
      </c>
      <c r="C9" s="2395"/>
      <c r="D9" s="3534"/>
      <c r="E9" s="2394"/>
      <c r="F9" s="2396"/>
      <c r="G9" s="2665"/>
      <c r="H9" s="2665"/>
      <c r="I9" s="2665"/>
      <c r="J9" s="2439"/>
      <c r="K9" s="2616"/>
      <c r="L9" s="2613"/>
      <c r="M9" s="2613"/>
      <c r="N9" s="2439"/>
      <c r="O9" s="2450"/>
      <c r="P9" s="2439"/>
      <c r="Q9" s="2439"/>
      <c r="R9" s="2439"/>
    </row>
    <row r="10" spans="1:30" ht="13.5" thickTop="1">
      <c r="A10" s="2397" t="s">
        <v>2179</v>
      </c>
      <c r="B10" s="2398" t="s">
        <v>3418</v>
      </c>
      <c r="C10" s="2399"/>
      <c r="D10" s="2382"/>
      <c r="E10" s="2400" t="s">
        <v>2180</v>
      </c>
      <c r="F10" s="2666" t="s">
        <v>3509</v>
      </c>
      <c r="G10" s="2667"/>
      <c r="H10" s="2668"/>
      <c r="I10" s="2669"/>
      <c r="J10" s="2439"/>
      <c r="K10" s="2616"/>
      <c r="L10" s="2613"/>
      <c r="M10" s="2613"/>
      <c r="N10" s="2439"/>
      <c r="O10" s="2450"/>
      <c r="P10" s="2439"/>
      <c r="Q10" s="2439"/>
      <c r="R10" s="2439"/>
    </row>
    <row r="11" spans="1:30">
      <c r="A11" s="2401" t="s">
        <v>2181</v>
      </c>
      <c r="B11" s="2402" t="s">
        <v>3419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v>58567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34.69</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3830.64</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3420</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53" t="s">
        <v>2214</v>
      </c>
      <c r="B27" s="320" t="s">
        <v>2215</v>
      </c>
      <c r="C27" s="2416" t="s">
        <v>3421</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53"/>
      <c r="B28" s="302" t="s">
        <v>2216</v>
      </c>
      <c r="C28" s="2418" t="s">
        <v>3422</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53"/>
      <c r="B29" s="302" t="s">
        <v>2217</v>
      </c>
      <c r="C29" s="2420" t="s">
        <v>3423</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54"/>
      <c r="B30" s="302" t="s">
        <v>2218</v>
      </c>
      <c r="C30" s="3555"/>
      <c r="D30" s="3556"/>
      <c r="E30" s="2664"/>
      <c r="F30" s="2664"/>
      <c r="G30" s="2664"/>
      <c r="H30" s="2664"/>
      <c r="I30" s="2664"/>
      <c r="J30" s="2439"/>
      <c r="K30" s="2616"/>
      <c r="L30" s="2613"/>
      <c r="M30" s="2613"/>
      <c r="N30" s="2439"/>
      <c r="O30" s="2450"/>
      <c r="P30" s="2439"/>
      <c r="Q30" s="2439"/>
      <c r="R30" s="2439"/>
      <c r="S30" s="2439"/>
      <c r="T30" s="2439"/>
      <c r="U30" s="2439"/>
      <c r="V30" s="2439"/>
    </row>
    <row r="31" spans="1:28">
      <c r="A31" s="3557" t="s">
        <v>2219</v>
      </c>
      <c r="B31" s="2422" t="s">
        <v>3424</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52" t="s">
        <v>2228</v>
      </c>
      <c r="T34" s="2428" t="str">
        <f>NUMBERSTRING(7-K34,1)&amp;"通"</f>
        <v>七通</v>
      </c>
      <c r="U34" s="2439"/>
      <c r="V34" s="2439"/>
    </row>
    <row r="35" spans="1:30">
      <c r="A35" s="2429"/>
      <c r="B35" s="3559" t="s">
        <v>2229</v>
      </c>
      <c r="C35" s="3559"/>
      <c r="D35" s="3559"/>
      <c r="E35" s="355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5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3466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3830.64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3830.64</v>
      </c>
      <c r="H5" s="13">
        <f t="shared" ref="H5:AT5" si="0">SUM(H13:H656)</f>
        <v>3830.64</v>
      </c>
      <c r="I5" s="13">
        <f t="shared" si="0"/>
        <v>3281.85</v>
      </c>
      <c r="J5" s="13">
        <f t="shared" si="0"/>
        <v>0</v>
      </c>
      <c r="K5" s="13">
        <f t="shared" si="0"/>
        <v>548.79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3830.64</v>
      </c>
      <c r="BA5" s="15">
        <f t="shared" si="1"/>
        <v>3830.64</v>
      </c>
      <c r="BB5" s="15">
        <f t="shared" si="1"/>
        <v>3281.85</v>
      </c>
      <c r="BC5" s="15">
        <f t="shared" si="1"/>
        <v>548.79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3425</v>
      </c>
      <c r="J9" s="809"/>
      <c r="K9" s="1603" t="s">
        <v>3426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3420</v>
      </c>
      <c r="E13" s="13">
        <f>IF($C$3="是",ROUND($A$3*G13/$B$3,2),ROUND($A$3*(G13-AT13)/$B$3,2))</f>
        <v>0</v>
      </c>
      <c r="F13" s="29"/>
      <c r="G13" s="30">
        <f>H13+AC13+AT13</f>
        <v>3830.64</v>
      </c>
      <c r="H13" s="17">
        <f>SUMIF(I$12:AB$12,"总值",I13:AB13)</f>
        <v>3830.64</v>
      </c>
      <c r="I13" s="1626">
        <f>3830.64-K13</f>
        <v>3281.85</v>
      </c>
      <c r="J13" s="1626"/>
      <c r="K13" s="1626">
        <f>33*16.63</f>
        <v>548.79</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3830.64</v>
      </c>
      <c r="BA13" s="13">
        <f>SUM(BB13:BK13)</f>
        <v>3830.64</v>
      </c>
      <c r="BB13" s="13">
        <f>IF($D13="是",I13-J13,0)</f>
        <v>3281.85</v>
      </c>
      <c r="BC13" s="13">
        <f>IF($D13="是",K13-L13,0)</f>
        <v>548.79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86"/>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N13" sqref="N1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9" t="s">
        <v>1131</v>
      </c>
      <c r="B2" s="3569"/>
      <c r="C2" s="3569"/>
      <c r="D2" s="796" t="s">
        <v>1107</v>
      </c>
      <c r="E2" s="1639" t="s">
        <v>1108</v>
      </c>
      <c r="F2" s="2659"/>
      <c r="G2" s="2650"/>
      <c r="H2" s="2651"/>
      <c r="I2" s="2325" t="s">
        <v>1132</v>
      </c>
      <c r="J2" s="2659"/>
      <c r="K2" s="2659"/>
      <c r="L2" s="2659"/>
      <c r="M2" s="2659"/>
      <c r="N2" s="2661"/>
      <c r="O2" s="2659"/>
      <c r="P2" s="2659"/>
    </row>
    <row r="3" spans="1:16" ht="15.75" thickBot="1">
      <c r="A3" s="3570" t="s">
        <v>1105</v>
      </c>
      <c r="B3" s="3570"/>
      <c r="C3" s="3570"/>
      <c r="D3" s="43">
        <f>'数据-基础表'!AY6</f>
        <v>0</v>
      </c>
      <c r="E3" s="43">
        <f>'数据-基础表'!AZ5</f>
        <v>3830.64</v>
      </c>
      <c r="F3" s="2659"/>
      <c r="G3" s="1145"/>
      <c r="H3" s="1026" t="s">
        <v>1106</v>
      </c>
      <c r="I3" s="855" t="e">
        <f>ROUND('数据-基础表'!B3/'数据-基础表'!A3,2)</f>
        <v>#DIV/0!</v>
      </c>
      <c r="J3" s="2659"/>
      <c r="K3" s="2659"/>
      <c r="L3" s="2659"/>
      <c r="M3" s="2659"/>
      <c r="N3" s="2661"/>
      <c r="O3" s="2659"/>
      <c r="P3" s="2659"/>
    </row>
    <row r="4" spans="1:16" ht="15">
      <c r="A4" s="3571"/>
      <c r="B4" s="3572"/>
      <c r="C4" s="3573"/>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74" t="s">
        <v>1110</v>
      </c>
      <c r="C5" s="3574"/>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74" t="s">
        <v>1111</v>
      </c>
      <c r="C6" s="3574"/>
      <c r="D6" s="45">
        <f>ROUND($D$3*E6/$E$3,2)</f>
        <v>0</v>
      </c>
      <c r="E6" s="46">
        <f>E3-E5</f>
        <v>3830.64</v>
      </c>
      <c r="F6" s="2659"/>
      <c r="G6" s="2653" t="s">
        <v>1112</v>
      </c>
      <c r="H6" s="1146" t="s">
        <v>1113</v>
      </c>
      <c r="I6" s="2654" t="e">
        <f>ROUND(F31/D31,2)</f>
        <v>#DIV/0!</v>
      </c>
      <c r="J6" s="2659"/>
      <c r="K6" s="2659"/>
      <c r="L6" s="2659"/>
      <c r="M6" s="2659"/>
      <c r="N6" s="2659"/>
      <c r="O6" s="2659"/>
      <c r="P6" s="2659"/>
    </row>
    <row r="7" spans="1:16" ht="15.75" thickBot="1">
      <c r="A7" s="3566"/>
      <c r="B7" s="3567"/>
      <c r="C7" s="3568"/>
      <c r="D7" s="1641" t="s">
        <v>1107</v>
      </c>
      <c r="E7" s="1645" t="s">
        <v>1114</v>
      </c>
      <c r="F7" s="2659"/>
      <c r="G7" s="2655" t="s">
        <v>1115</v>
      </c>
      <c r="H7" s="2656"/>
      <c r="I7" s="2657">
        <v>1.2</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3281.85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3281.85</v>
      </c>
      <c r="F16" s="2659"/>
      <c r="G16" s="2660"/>
      <c r="H16" s="1648" t="s">
        <v>1135</v>
      </c>
      <c r="I16" s="1649"/>
      <c r="J16" s="1139"/>
      <c r="K16" s="3563" t="s">
        <v>1135</v>
      </c>
      <c r="L16" s="3564"/>
      <c r="M16" s="3564"/>
      <c r="N16" s="3564"/>
      <c r="O16" s="3564"/>
      <c r="P16" s="3565"/>
    </row>
    <row r="17" spans="1:19" ht="15">
      <c r="A17" s="1650" t="s">
        <v>1136</v>
      </c>
      <c r="B17" s="1651" t="s">
        <v>1137</v>
      </c>
      <c r="C17" s="1652" t="s">
        <v>1138</v>
      </c>
      <c r="D17" s="1653" t="s">
        <v>1126</v>
      </c>
      <c r="E17" s="1654" t="s">
        <v>1127</v>
      </c>
      <c r="F17" s="1655"/>
      <c r="G17" s="1656"/>
      <c r="H17" s="1657" t="s">
        <v>1139</v>
      </c>
      <c r="I17" s="1658" t="s">
        <v>1124</v>
      </c>
      <c r="J17" s="1139"/>
      <c r="K17" s="3560" t="s">
        <v>1140</v>
      </c>
      <c r="L17" s="3561"/>
      <c r="M17" s="3562"/>
      <c r="N17" s="3560" t="s">
        <v>1141</v>
      </c>
      <c r="O17" s="3561"/>
      <c r="P17" s="356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3427</v>
      </c>
      <c r="D19" s="45">
        <f>ROUND($D$3*E19/$E$3,2)</f>
        <v>0</v>
      </c>
      <c r="E19" s="53">
        <f t="shared" ref="E19:E26" si="1">SUM(F19:G19)</f>
        <v>3830.64</v>
      </c>
      <c r="F19" s="2795">
        <f>'数据-基础表'!I13</f>
        <v>3281.85</v>
      </c>
      <c r="G19" s="2796">
        <f>'数据-基础表'!K13</f>
        <v>548.79</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3830.64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3830.64</v>
      </c>
      <c r="F27" s="1140">
        <f>IF(SUM(F19:F26)=E8,SUM(F19:F26),"地上面积有误")</f>
        <v>3281.85</v>
      </c>
      <c r="G27" s="1142">
        <f>SUM(G19:G26)</f>
        <v>548.79</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3830.64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3830.64</v>
      </c>
      <c r="F31" s="677">
        <f>F27+F30</f>
        <v>3281.85</v>
      </c>
      <c r="G31" s="678">
        <f>G27+G30</f>
        <v>548.79</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58567</v>
      </c>
      <c r="F6" s="64">
        <f>SUMIF(项目基本情况!C$12:I$12,C6,项目基本情况!C$15:I$15)</f>
        <v>34.69</v>
      </c>
      <c r="G6" s="65">
        <f>IF(ISERROR(ROUND(POWER(1+H6,D6-F6)*(POWER(1+H6,F6)-1)/(POWER(1+H6,D6)-1),3)),0,ROUND(POWER(1+H6,D6-F6)*(POWER(1+H6,F6)-1)/(POWER(1+H6,D6)-1),3))</f>
        <v>0.88</v>
      </c>
      <c r="H6" s="732">
        <v>4.4999999999999998E-2</v>
      </c>
      <c r="I6" s="732">
        <v>0.05</v>
      </c>
      <c r="J6" s="66">
        <v>7.0000000000000007E-2</v>
      </c>
      <c r="K6" s="1030">
        <f>SUMIF('数据-汇总表'!C$19:C$33,A6,'数据-汇总表'!E$19:E$33)</f>
        <v>3830.64</v>
      </c>
      <c r="L6" s="733">
        <v>3500</v>
      </c>
      <c r="M6" s="67">
        <f t="shared" ref="M6:M14" si="0">ROUND(K6*L6/10000,0)</f>
        <v>1341</v>
      </c>
      <c r="N6" s="731">
        <f>ROUND(1-(1-0%)*(2025-N18)/60,2)</f>
        <v>0.8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1.7</v>
      </c>
      <c r="V6" s="70">
        <v>1.4999999999999999E-2</v>
      </c>
      <c r="W6" s="70">
        <v>0.1</v>
      </c>
      <c r="X6" s="1040"/>
      <c r="Y6" s="71">
        <f>N6</f>
        <v>0.8</v>
      </c>
      <c r="Z6" s="72"/>
      <c r="AA6" s="66"/>
      <c r="AB6" s="66"/>
      <c r="AC6" s="1040"/>
      <c r="AD6" s="73"/>
      <c r="AE6" s="1041">
        <f ca="1">IF(AN6="",0,SUMIF(INDIRECT("'"&amp;AN6&amp;"'"&amp;"!E:E"),$AE$5,INDIRECT("'"&amp;AN6&amp;"'"&amp;"!F:F")))</f>
        <v>34.69</v>
      </c>
      <c r="AF6" s="1348"/>
      <c r="AG6" s="138">
        <f>IF(AF6="",0,AE6-AF6)</f>
        <v>0</v>
      </c>
      <c r="AH6" s="74"/>
      <c r="AI6" s="76">
        <v>365</v>
      </c>
      <c r="AJ6" s="77"/>
      <c r="AK6" s="78">
        <v>3.0000000000000001E-3</v>
      </c>
      <c r="AL6" s="79">
        <v>1E-3</v>
      </c>
      <c r="AM6" s="80">
        <v>0.02</v>
      </c>
      <c r="AN6" s="1715" t="s">
        <v>3430</v>
      </c>
      <c r="AO6" s="52">
        <f ca="1">SUMIF(INDIRECT("'"&amp;AN6&amp;"'"&amp;"!A:A"),"总价",INDIRECT("'"&amp;AN6&amp;"'"&amp;"!B:B"))</f>
        <v>3360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0.88</v>
      </c>
      <c r="H16" s="90">
        <f>ROUND(SUMPRODUCT(H6:H13,K6:K13)/SUMPRODUCT((H6:H13&gt;0)*(K6:K13)),3)</f>
        <v>4.4999999999999998E-2</v>
      </c>
      <c r="I16" s="91"/>
      <c r="J16" s="91"/>
      <c r="K16" s="92">
        <f>SUM(K6:K15)</f>
        <v>3830.64</v>
      </c>
      <c r="L16" s="93">
        <f>ROUND(M16*10000/SUM(K6:K14),0)</f>
        <v>3501</v>
      </c>
      <c r="M16" s="93">
        <f>SUM(M6:M14)</f>
        <v>1341</v>
      </c>
      <c r="N16" s="94">
        <f>ROUND(SUMPRODUCT(M6:M14,N6:N14)/M16,3)</f>
        <v>0.8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f>Q16/B20</f>
        <v>0.05</v>
      </c>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2013</v>
      </c>
      <c r="O18" s="2671"/>
      <c r="P18" s="2671"/>
      <c r="Q18" s="2671"/>
      <c r="R18" s="2671"/>
      <c r="S18" s="2671"/>
      <c r="T18" s="2671"/>
      <c r="U18" s="2671">
        <f>U6*365/'比较法-工业'!C43</f>
        <v>4.6587581650274046E-2</v>
      </c>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3487" t="s">
        <v>3464</v>
      </c>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t="s">
        <v>3465</v>
      </c>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140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170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3.1300000000000001E-2</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3478" t="s">
        <v>3429</v>
      </c>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5" t="s">
        <v>2286</v>
      </c>
      <c r="B1" s="3576"/>
      <c r="C1" s="3576"/>
      <c r="D1" s="3576"/>
      <c r="E1" s="3576"/>
      <c r="F1" s="3576"/>
      <c r="G1" s="357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G15" sqref="G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3830.64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45902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4318</v>
      </c>
      <c r="C5" s="2512">
        <f ca="1">IF(B5=D14,结果表!H102,ROUND(B5*10000/$B$1,0))</f>
        <v>11272</v>
      </c>
      <c r="D5" s="2512" t="e">
        <f ca="1">ROUND(B5*10000/$B$2,0)</f>
        <v>#DIV/0!</v>
      </c>
      <c r="E5" s="2686"/>
      <c r="F5" s="2687"/>
      <c r="G5" s="2687"/>
      <c r="H5" s="2688"/>
      <c r="I5" s="2688"/>
      <c r="J5" s="2688"/>
      <c r="K5" s="2688"/>
    </row>
    <row r="6" spans="1:11" ht="16.5">
      <c r="A6" s="2512" t="s">
        <v>656</v>
      </c>
      <c r="B6" s="2512">
        <f ca="1">SUM(G14:G23)</f>
        <v>4318</v>
      </c>
      <c r="C6" s="2512">
        <f ca="1">IF(B6=G14,结果表!H108,ROUND(B6*10000/$B$1,0))</f>
        <v>11272</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3830.64</v>
      </c>
      <c r="C14" s="2518"/>
      <c r="D14" s="2518">
        <f ca="1">结果表!G19</f>
        <v>4318</v>
      </c>
      <c r="E14" s="2518">
        <f ca="1">结果表!G20</f>
        <v>11272</v>
      </c>
      <c r="F14" s="2518" t="e">
        <f ca="1">ROUND(D14*10000/C14,0)</f>
        <v>#DIV/0!</v>
      </c>
      <c r="G14" s="2518">
        <f ca="1">D14</f>
        <v>4318</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K29" sqref="K2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44" t="str">
        <f>项目基本情况!S2</f>
        <v>北京市通州区经海五路1号院46号楼-1至6层5-101工业用房房地产</v>
      </c>
      <c r="B2" s="3645"/>
      <c r="C2" s="3645"/>
      <c r="D2" s="3645"/>
      <c r="E2" s="3645"/>
      <c r="F2" s="3645"/>
      <c r="G2" s="3645"/>
      <c r="H2" s="3645"/>
      <c r="I2" s="3646"/>
    </row>
    <row r="3" spans="1:12" ht="12.75">
      <c r="A3" s="3648" t="s">
        <v>1264</v>
      </c>
      <c r="B3" s="3649"/>
      <c r="C3" s="3649"/>
      <c r="D3" s="3649"/>
      <c r="E3" s="3649"/>
      <c r="F3" s="3649"/>
      <c r="G3" s="3649"/>
      <c r="H3" s="3649"/>
      <c r="I3" s="3649"/>
    </row>
    <row r="4" spans="1:12" ht="14.25">
      <c r="A4" s="1754" t="s">
        <v>1265</v>
      </c>
      <c r="B4" s="1755" t="s">
        <v>1266</v>
      </c>
      <c r="C4" s="1756" t="s">
        <v>3462</v>
      </c>
      <c r="D4" s="1756" t="s">
        <v>3430</v>
      </c>
      <c r="E4" s="3653" t="s">
        <v>1267</v>
      </c>
      <c r="F4" s="3654"/>
      <c r="G4" s="3654"/>
      <c r="H4" s="3654"/>
      <c r="I4" s="365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2" t="s">
        <v>1268</v>
      </c>
      <c r="B5" s="3647">
        <v>25</v>
      </c>
      <c r="C5" s="3650"/>
      <c r="D5" s="3638"/>
      <c r="E5" s="131" t="s">
        <v>1269</v>
      </c>
      <c r="F5" s="1757"/>
      <c r="G5" s="1757"/>
      <c r="H5" s="1757"/>
      <c r="I5" s="1373"/>
    </row>
    <row r="6" spans="1:12" ht="12.75">
      <c r="A6" s="3592"/>
      <c r="B6" s="3647"/>
      <c r="C6" s="3652"/>
      <c r="D6" s="3638"/>
      <c r="E6" s="131" t="s">
        <v>1270</v>
      </c>
      <c r="F6" s="1757"/>
      <c r="G6" s="1757"/>
      <c r="H6" s="1757"/>
      <c r="I6" s="1373"/>
    </row>
    <row r="7" spans="1:12" ht="12.75">
      <c r="A7" s="3592"/>
      <c r="B7" s="3647"/>
      <c r="C7" s="3651"/>
      <c r="D7" s="3638"/>
      <c r="E7" s="131" t="s">
        <v>1271</v>
      </c>
      <c r="F7" s="1757"/>
      <c r="G7" s="1757"/>
      <c r="H7" s="1757"/>
      <c r="I7" s="1373"/>
    </row>
    <row r="8" spans="1:12" ht="12.75">
      <c r="A8" s="3592" t="s">
        <v>1272</v>
      </c>
      <c r="B8" s="3647">
        <v>15</v>
      </c>
      <c r="C8" s="3650"/>
      <c r="D8" s="3638"/>
      <c r="E8" s="131" t="s">
        <v>1273</v>
      </c>
      <c r="F8" s="1757"/>
      <c r="G8" s="1757"/>
      <c r="H8" s="1757"/>
      <c r="I8" s="1373"/>
    </row>
    <row r="9" spans="1:12" ht="12.75">
      <c r="A9" s="3592"/>
      <c r="B9" s="3647"/>
      <c r="C9" s="3651"/>
      <c r="D9" s="3638"/>
      <c r="E9" s="131" t="s">
        <v>1274</v>
      </c>
      <c r="F9" s="1757"/>
      <c r="G9" s="1757"/>
      <c r="H9" s="1757"/>
      <c r="I9" s="1373"/>
    </row>
    <row r="10" spans="1:12" ht="12.75">
      <c r="A10" s="3592" t="s">
        <v>1275</v>
      </c>
      <c r="B10" s="3647">
        <v>15</v>
      </c>
      <c r="C10" s="3650"/>
      <c r="D10" s="3638"/>
      <c r="E10" s="131" t="s">
        <v>1276</v>
      </c>
      <c r="F10" s="1757"/>
      <c r="G10" s="1757"/>
      <c r="H10" s="1757"/>
      <c r="I10" s="1373"/>
    </row>
    <row r="11" spans="1:12" ht="12.75">
      <c r="A11" s="3592"/>
      <c r="B11" s="3647"/>
      <c r="C11" s="3651"/>
      <c r="D11" s="3638"/>
      <c r="E11" s="131" t="s">
        <v>1277</v>
      </c>
      <c r="F11" s="1757"/>
      <c r="G11" s="1757"/>
      <c r="H11" s="1757"/>
      <c r="I11" s="1373"/>
    </row>
    <row r="12" spans="1:12" ht="12.75">
      <c r="A12" s="3592" t="s">
        <v>1278</v>
      </c>
      <c r="B12" s="3647">
        <v>15</v>
      </c>
      <c r="C12" s="3650"/>
      <c r="D12" s="3638"/>
      <c r="E12" s="131" t="s">
        <v>1279</v>
      </c>
      <c r="F12" s="1757"/>
      <c r="G12" s="1757"/>
      <c r="H12" s="1757"/>
      <c r="I12" s="1373"/>
    </row>
    <row r="13" spans="1:12" ht="12.75">
      <c r="A13" s="3592"/>
      <c r="B13" s="3647"/>
      <c r="C13" s="3651"/>
      <c r="D13" s="3638"/>
      <c r="E13" s="131" t="s">
        <v>1280</v>
      </c>
      <c r="F13" s="1757"/>
      <c r="G13" s="1757"/>
      <c r="H13" s="1757"/>
      <c r="I13" s="1373"/>
    </row>
    <row r="14" spans="1:12" ht="12.75">
      <c r="A14" s="3592" t="s">
        <v>1281</v>
      </c>
      <c r="B14" s="3647">
        <v>30</v>
      </c>
      <c r="C14" s="3650">
        <v>55</v>
      </c>
      <c r="D14" s="3638">
        <v>45</v>
      </c>
      <c r="E14" s="131" t="s">
        <v>1282</v>
      </c>
      <c r="F14" s="1757"/>
      <c r="G14" s="1757"/>
      <c r="H14" s="1757"/>
      <c r="I14" s="1373"/>
    </row>
    <row r="15" spans="1:12" ht="12.75">
      <c r="A15" s="3592"/>
      <c r="B15" s="3647"/>
      <c r="C15" s="3652"/>
      <c r="D15" s="3638"/>
      <c r="E15" s="131" t="s">
        <v>1283</v>
      </c>
      <c r="F15" s="1757"/>
      <c r="G15" s="1757"/>
      <c r="H15" s="1757"/>
      <c r="I15" s="1373"/>
    </row>
    <row r="16" spans="1:12" ht="12.75">
      <c r="A16" s="3592"/>
      <c r="B16" s="3647"/>
      <c r="C16" s="3651"/>
      <c r="D16" s="3638"/>
      <c r="E16" s="131" t="s">
        <v>1284</v>
      </c>
      <c r="F16" s="1757"/>
      <c r="G16" s="1757"/>
      <c r="H16" s="1757"/>
      <c r="I16" s="1373"/>
    </row>
    <row r="17" spans="1:36" ht="15">
      <c r="A17" s="1758" t="s">
        <v>1285</v>
      </c>
      <c r="B17" s="56"/>
      <c r="C17" s="132">
        <f>SUM(C5:C16)</f>
        <v>55</v>
      </c>
      <c r="D17" s="132">
        <f>SUM(D5:D16)</f>
        <v>45</v>
      </c>
      <c r="E17" s="129"/>
      <c r="F17" s="129"/>
      <c r="G17" s="129"/>
      <c r="H17" s="129"/>
      <c r="I17" s="129"/>
      <c r="K17" s="302"/>
      <c r="L17" s="302" t="s">
        <v>1286</v>
      </c>
      <c r="M17" s="302" t="s">
        <v>1287</v>
      </c>
    </row>
    <row r="18" spans="1:36" ht="31.9" customHeight="1" thickBot="1">
      <c r="A18" s="1759" t="s">
        <v>1288</v>
      </c>
      <c r="B18" s="1760"/>
      <c r="C18" s="133">
        <f>ROUND(C17/SUM(C17:D17),2)</f>
        <v>0.55000000000000004</v>
      </c>
      <c r="D18" s="133">
        <f>1-C18</f>
        <v>0.44999999999999996</v>
      </c>
      <c r="E18" s="3669" t="s">
        <v>2131</v>
      </c>
      <c r="F18" s="3670"/>
      <c r="G18" s="3670"/>
      <c r="H18" s="3670"/>
      <c r="I18" s="3670"/>
      <c r="K18" s="302" t="s">
        <v>1289</v>
      </c>
      <c r="L18" s="302">
        <f>IF(C1="",'数据-汇总表'!E3,SUMIF(项目类型,C1,'数据-汇总表'!E17:E26)+SUMIF(项目类型,C1,'数据-汇总表'!I17:I26))</f>
        <v>3830.64</v>
      </c>
      <c r="M18" s="302">
        <f>IF(C1="",'数据-汇总表'!E3,SUMIF(项目类型,C1,'数据-汇总表'!E17:E26))</f>
        <v>3830.64</v>
      </c>
    </row>
    <row r="19" spans="1:36" ht="15">
      <c r="A19" s="1761" t="s">
        <v>1290</v>
      </c>
      <c r="B19" s="1762" t="s">
        <v>1291</v>
      </c>
      <c r="C19" s="134">
        <f ca="1">SUMIF(INDIRECT("'"&amp;C4&amp;"'"&amp;"!A:A"),结果表!B19,INDIRECT("'"&amp;C4&amp;"'"&amp;"!B:B"))</f>
        <v>5102.0294000000004</v>
      </c>
      <c r="D19" s="135">
        <f ca="1">SUMIF(INDIRECT("'"&amp;D4&amp;"'"&amp;"!A:A"),结果表!B19,INDIRECT("'"&amp;D4&amp;"'"&amp;"!B:B"))</f>
        <v>3360</v>
      </c>
      <c r="E19" s="1761" t="s">
        <v>1292</v>
      </c>
      <c r="F19" s="1762" t="s">
        <v>1291</v>
      </c>
      <c r="G19" s="136">
        <f ca="1">ROUND(C19*$C$18+D19*$D$18,0)</f>
        <v>4318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13319</v>
      </c>
      <c r="D20" s="138">
        <f ca="1">SUMIF(INDIRECT("'"&amp;D4&amp;"'"&amp;"!A:A"),结果表!B20,INDIRECT("'"&amp;D4&amp;"'"&amp;"!B:B"))</f>
        <v>8771</v>
      </c>
      <c r="E20" s="1764"/>
      <c r="F20" s="1026" t="s">
        <v>1295</v>
      </c>
      <c r="G20" s="139">
        <f ca="1">ROUND(C20*$C$18+D20*$D$18,0)</f>
        <v>11272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0.518461130952381</v>
      </c>
      <c r="E22" s="129"/>
      <c r="F22" s="129"/>
      <c r="G22" s="129"/>
      <c r="H22" s="129"/>
      <c r="I22" s="129"/>
    </row>
    <row r="23" spans="1:36" ht="13.5" thickBot="1">
      <c r="A23" s="1747"/>
      <c r="B23" s="1747"/>
      <c r="C23" s="1747"/>
      <c r="D23" s="1747"/>
      <c r="E23" s="129"/>
      <c r="F23" s="129"/>
      <c r="G23" s="129"/>
      <c r="H23" s="129"/>
      <c r="I23" s="129"/>
    </row>
    <row r="24" spans="1:36" ht="14.25">
      <c r="A24" s="3662" t="s">
        <v>1299</v>
      </c>
      <c r="B24" s="1762" t="s">
        <v>1291</v>
      </c>
      <c r="C24" s="136">
        <f>IF(B30=0,0,D30)</f>
        <v>0</v>
      </c>
      <c r="D24" s="1769"/>
      <c r="E24" s="129"/>
      <c r="F24" s="129"/>
      <c r="G24" s="129"/>
      <c r="H24" s="129"/>
      <c r="I24" s="129"/>
    </row>
    <row r="25" spans="1:36" ht="14.25">
      <c r="A25" s="366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11272</v>
      </c>
      <c r="D32" s="1775" t="s">
        <v>3510</v>
      </c>
      <c r="E32" s="129"/>
      <c r="F32" s="129"/>
      <c r="G32" s="129"/>
      <c r="H32" s="129"/>
      <c r="I32" s="129"/>
    </row>
    <row r="33" spans="1:15" ht="15">
      <c r="A33" s="786" t="s">
        <v>1306</v>
      </c>
      <c r="B33" s="1776"/>
      <c r="C33" s="1777" t="s">
        <v>3511</v>
      </c>
      <c r="D33" s="1778" t="s">
        <v>3430</v>
      </c>
      <c r="E33" s="1779" t="s">
        <v>1307</v>
      </c>
      <c r="F33" s="1780" t="str">
        <f>IF(D32="楼面单价","取值（单价）","取值（总价）")</f>
        <v>取值（单价）</v>
      </c>
      <c r="G33" s="129"/>
      <c r="H33" s="129"/>
      <c r="I33" s="129"/>
    </row>
    <row r="34" spans="1:15" ht="15">
      <c r="A34" s="1781"/>
      <c r="B34" s="1782" t="s">
        <v>1308</v>
      </c>
      <c r="C34" s="148">
        <f ca="1">IF(C33="自定义",F34,C32-C35)</f>
        <v>6121</v>
      </c>
      <c r="D34" s="861">
        <f ca="1">IF(C33="自定义",ROUND(C34/C32,3),IF(C33="收益比率",SUMIF(INDIRECT("'"&amp;D33&amp;"'"&amp;"!b:b"),"土地收益比率",INDIRECT("'"&amp;D33&amp;"'"&amp;"!c:c")),SUMIF(INDIRECT("'"&amp;D33&amp;"'"&amp;"!b:b"),"土地成本比率",INDIRECT("'"&amp;D33&amp;"'"&amp;"!c:c"))))</f>
        <v>0.54299999999999993</v>
      </c>
      <c r="E34" s="1783" t="s">
        <v>1309</v>
      </c>
      <c r="F34" s="1330"/>
      <c r="G34" s="129"/>
      <c r="H34" s="129"/>
      <c r="I34" s="129"/>
    </row>
    <row r="35" spans="1:15" ht="15.75" thickBot="1">
      <c r="A35" s="1784"/>
      <c r="B35" s="1785" t="s">
        <v>1310</v>
      </c>
      <c r="C35" s="1170">
        <f ca="1">IF(C33="自定义",F35,ROUND(C32*D35,0))</f>
        <v>5151</v>
      </c>
      <c r="D35" s="1171">
        <f ca="1">IF(C33="自定义",ROUND(C35/C32,3),IF(C33="收益比率",SUMIF(INDIRECT("'"&amp;D33&amp;"'"&amp;"!b:b"),"建筑物收益比率",INDIRECT("'"&amp;D33&amp;"'"&amp;"!c:c")),SUMIF(INDIRECT("'"&amp;D33&amp;"'"&amp;"!b:b"),"建筑物成本比率",INDIRECT("'"&amp;D33&amp;"'"&amp;"!c:c"))))</f>
        <v>0.45700000000000002</v>
      </c>
      <c r="E35" s="1786" t="s">
        <v>1311</v>
      </c>
      <c r="F35" s="154"/>
      <c r="G35" s="129"/>
      <c r="H35" s="129"/>
      <c r="I35" s="129"/>
    </row>
    <row r="36" spans="1:15" ht="15.75" thickBot="1">
      <c r="A36" s="3639" t="s">
        <v>1312</v>
      </c>
      <c r="B36" s="1787" t="s">
        <v>1313</v>
      </c>
      <c r="C36" s="145"/>
      <c r="D36" s="1788"/>
      <c r="E36" s="1789"/>
      <c r="F36" s="1790"/>
      <c r="G36" s="129"/>
      <c r="H36" s="129"/>
      <c r="I36" s="129"/>
    </row>
    <row r="37" spans="1:15" ht="15.75" thickBot="1">
      <c r="A37" s="3640"/>
      <c r="B37" s="1674" t="s">
        <v>1314</v>
      </c>
      <c r="C37" s="147"/>
      <c r="D37" s="1139"/>
      <c r="E37" s="1139"/>
      <c r="F37" s="1790"/>
      <c r="G37" s="129"/>
      <c r="H37" s="129"/>
      <c r="I37" s="129"/>
    </row>
    <row r="38" spans="1:15" ht="15.75" thickBot="1">
      <c r="A38" s="364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9" t="s">
        <v>1326</v>
      </c>
      <c r="B45" s="3660"/>
      <c r="C45" s="3661"/>
      <c r="D45" s="155">
        <f ca="1">ROUND(H101*F45,0)</f>
        <v>4318</v>
      </c>
      <c r="E45" s="156" t="s">
        <v>1327</v>
      </c>
      <c r="F45" s="157">
        <v>1</v>
      </c>
      <c r="G45" s="158" t="s">
        <v>1328</v>
      </c>
      <c r="H45" s="129"/>
      <c r="I45" s="129"/>
      <c r="J45" s="3579" t="s">
        <v>1329</v>
      </c>
      <c r="K45" s="3579"/>
      <c r="L45" s="3579"/>
      <c r="M45" s="3579"/>
      <c r="N45" s="3579"/>
      <c r="O45" s="3579"/>
    </row>
    <row r="46" spans="1:15" ht="14.25" customHeight="1">
      <c r="A46" s="3656" t="s">
        <v>1330</v>
      </c>
      <c r="B46" s="3657"/>
      <c r="C46" s="3657"/>
      <c r="D46" s="3657"/>
      <c r="E46" s="3657"/>
      <c r="F46" s="3657"/>
      <c r="G46" s="3658"/>
      <c r="H46" s="1806"/>
      <c r="I46" s="159"/>
      <c r="J46" s="2523">
        <v>1</v>
      </c>
      <c r="K46" s="3580" t="s">
        <v>1331</v>
      </c>
      <c r="L46" s="3580"/>
      <c r="M46" s="3581"/>
      <c r="N46" s="3581"/>
      <c r="O46" s="3581"/>
    </row>
    <row r="47" spans="1:15" ht="12" customHeight="1">
      <c r="A47" s="160" t="s">
        <v>1332</v>
      </c>
      <c r="B47" s="161"/>
      <c r="C47" s="162"/>
      <c r="D47" s="1087" t="s">
        <v>1333</v>
      </c>
      <c r="E47" s="302" t="s">
        <v>1334</v>
      </c>
      <c r="F47" s="163" t="s">
        <v>1335</v>
      </c>
      <c r="G47" s="2546" t="s">
        <v>1336</v>
      </c>
      <c r="H47" s="2547"/>
      <c r="I47" s="159"/>
      <c r="J47" s="2523">
        <v>2</v>
      </c>
      <c r="K47" s="3580" t="s">
        <v>1337</v>
      </c>
      <c r="L47" s="3580"/>
      <c r="M47" s="3582">
        <f>'数据-取费表'!B2</f>
        <v>45902</v>
      </c>
      <c r="N47" s="3582"/>
      <c r="O47" s="3582"/>
    </row>
    <row r="48" spans="1:15" ht="25.5">
      <c r="A48" s="3642" t="s">
        <v>1338</v>
      </c>
      <c r="B48" s="3643"/>
      <c r="C48" s="3643"/>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80" t="s">
        <v>1340</v>
      </c>
      <c r="L48" s="3580"/>
      <c r="M48" s="3583">
        <f ca="1">H101</f>
        <v>4318</v>
      </c>
      <c r="N48" s="3583"/>
      <c r="O48" s="3583"/>
    </row>
    <row r="49" spans="1:35" ht="25.5" customHeight="1">
      <c r="A49" s="2333" t="s">
        <v>1341</v>
      </c>
      <c r="B49" s="3628" t="s">
        <v>1342</v>
      </c>
      <c r="C49" s="3628"/>
      <c r="D49" s="1590">
        <v>0</v>
      </c>
      <c r="E49" s="324" t="s">
        <v>1343</v>
      </c>
      <c r="F49" s="2424" t="s">
        <v>28</v>
      </c>
      <c r="G49" s="3611"/>
      <c r="H49" s="2310" t="s">
        <v>2134</v>
      </c>
      <c r="I49" s="2311"/>
      <c r="J49" s="2523">
        <v>4</v>
      </c>
      <c r="K49" s="3580" t="str">
        <f>IF(项目基本情况!E8="房地产抵押价值","房地产抵押价值","抵押担保权已注销时的房地产抵押价值")</f>
        <v>房地产抵押价值</v>
      </c>
      <c r="L49" s="3580"/>
      <c r="M49" s="3583">
        <f ca="1">IF(项目基本情况!E8="房地产抵押价值",H107,H109)</f>
        <v>4318</v>
      </c>
      <c r="N49" s="3583"/>
      <c r="O49" s="3583"/>
    </row>
    <row r="50" spans="1:35" ht="25.5" customHeight="1">
      <c r="A50" s="2551"/>
      <c r="B50" s="3628" t="s">
        <v>1344</v>
      </c>
      <c r="C50" s="3628"/>
      <c r="D50" s="2552"/>
      <c r="E50" s="332"/>
      <c r="F50" s="2424"/>
      <c r="G50" s="3612"/>
      <c r="H50" s="2312" t="s">
        <v>2135</v>
      </c>
      <c r="I50" s="2311"/>
      <c r="J50" s="3579" t="s">
        <v>1345</v>
      </c>
      <c r="K50" s="3579"/>
      <c r="L50" s="3579"/>
      <c r="M50" s="3579"/>
      <c r="N50" s="3579"/>
      <c r="O50" s="3579"/>
    </row>
    <row r="51" spans="1:35" ht="20.45" customHeight="1">
      <c r="A51" s="2553"/>
      <c r="B51" s="3628" t="s">
        <v>1346</v>
      </c>
      <c r="C51" s="3628"/>
      <c r="D51" s="1087"/>
      <c r="E51" s="327"/>
      <c r="F51" s="2424"/>
      <c r="G51" s="3613"/>
      <c r="H51" s="2312" t="s">
        <v>2136</v>
      </c>
      <c r="I51" s="2311"/>
      <c r="J51" s="2524" t="s">
        <v>1347</v>
      </c>
      <c r="K51" s="3580" t="s">
        <v>1348</v>
      </c>
      <c r="L51" s="3580"/>
      <c r="M51" s="2524" t="s">
        <v>1349</v>
      </c>
      <c r="N51" s="2524" t="s">
        <v>1350</v>
      </c>
      <c r="O51" s="2524" t="s">
        <v>1351</v>
      </c>
    </row>
    <row r="52" spans="1:35" ht="24" customHeight="1">
      <c r="A52" s="2335" t="s">
        <v>1352</v>
      </c>
      <c r="B52" s="3628" t="s">
        <v>1353</v>
      </c>
      <c r="C52" s="3628"/>
      <c r="D52" s="1087">
        <f ca="1">ROUND(D45*'数据-取费表'!B41/(1+'数据-取费表'!C42),0)</f>
        <v>226</v>
      </c>
      <c r="E52" s="2334" t="s">
        <v>1354</v>
      </c>
      <c r="F52" s="2554">
        <f>'数据-取费表'!B41</f>
        <v>5.5000000000000007E-2</v>
      </c>
      <c r="G52" s="2555"/>
      <c r="H52" s="2544"/>
      <c r="I52" s="1807"/>
      <c r="J52" s="2523">
        <v>1</v>
      </c>
      <c r="K52" s="3605" t="s">
        <v>1355</v>
      </c>
      <c r="L52" s="3605"/>
      <c r="M52" s="2525" t="b">
        <f>D48</f>
        <v>0</v>
      </c>
      <c r="N52" s="2523" t="str">
        <f>E48</f>
        <v>销售额×税（费）率</v>
      </c>
      <c r="O52" s="2526">
        <f>F48</f>
        <v>5.5000000000000007E-2</v>
      </c>
    </row>
    <row r="53" spans="1:35" ht="12" customHeight="1">
      <c r="A53" s="2335" t="s">
        <v>1356</v>
      </c>
      <c r="B53" s="3629" t="s">
        <v>2291</v>
      </c>
      <c r="C53" s="3630"/>
      <c r="D53" s="1087">
        <f ca="1">ROUND(D45*'数据-取费表'!B41/(1+'数据-取费表'!C42),0)</f>
        <v>226</v>
      </c>
      <c r="E53" s="2334" t="s">
        <v>1354</v>
      </c>
      <c r="F53" s="2554">
        <f>'数据-取费表'!B41</f>
        <v>5.5000000000000007E-2</v>
      </c>
      <c r="G53" s="2555"/>
      <c r="H53" s="2544"/>
      <c r="I53" s="1807"/>
      <c r="J53" s="2523">
        <v>2</v>
      </c>
      <c r="K53" s="3605" t="s">
        <v>1357</v>
      </c>
      <c r="L53" s="3605"/>
      <c r="M53" s="2525">
        <f t="shared" ref="M53:O54" ca="1" si="0">D55</f>
        <v>2</v>
      </c>
      <c r="N53" s="2523" t="str">
        <f t="shared" si="0"/>
        <v>销售额×税（费）率</v>
      </c>
      <c r="O53" s="2526" t="str">
        <f t="shared" si="0"/>
        <v>免征</v>
      </c>
    </row>
    <row r="54" spans="1:35" ht="12" customHeight="1">
      <c r="A54" s="2335" t="s">
        <v>1358</v>
      </c>
      <c r="B54" s="3629" t="s">
        <v>2292</v>
      </c>
      <c r="C54" s="3630"/>
      <c r="D54" s="1087">
        <f ca="1">C68</f>
        <v>226</v>
      </c>
      <c r="E54" s="327" t="s">
        <v>1359</v>
      </c>
      <c r="F54" s="2554">
        <f>'数据-取费表'!B41</f>
        <v>5.5000000000000007E-2</v>
      </c>
      <c r="G54" s="2555"/>
      <c r="H54" s="2556"/>
      <c r="I54" s="1807"/>
      <c r="J54" s="2523">
        <v>3</v>
      </c>
      <c r="K54" s="3605" t="s">
        <v>1360</v>
      </c>
      <c r="L54" s="3605"/>
      <c r="M54" s="2525">
        <f t="shared" ca="1" si="0"/>
        <v>2447</v>
      </c>
      <c r="N54" s="2523" t="str">
        <f t="shared" si="0"/>
        <v>增值额×税（费）率</v>
      </c>
      <c r="O54" s="2527" t="str">
        <f t="shared" si="0"/>
        <v>免征</v>
      </c>
    </row>
    <row r="55" spans="1:35" ht="24" customHeight="1">
      <c r="A55" s="3665" t="s">
        <v>1361</v>
      </c>
      <c r="B55" s="3643"/>
      <c r="C55" s="3643"/>
      <c r="D55" s="2324">
        <f ca="1">IF(H55="个人住宅",0,ROUND(D45*I55,0))</f>
        <v>2</v>
      </c>
      <c r="E55" s="2334" t="s">
        <v>1362</v>
      </c>
      <c r="F55" s="2554" t="str">
        <f>IF(H55="正常",I55,"免征")</f>
        <v>免征</v>
      </c>
      <c r="G55" s="2555"/>
      <c r="H55" s="2550"/>
      <c r="I55" s="165">
        <f>'数据-取费表'!B49</f>
        <v>5.0000000000000001E-4</v>
      </c>
      <c r="J55" s="2523">
        <f>IF(H59="非个人房产","",4)</f>
        <v>4</v>
      </c>
      <c r="K55" s="3605" t="str">
        <f>IF(H59="非个人房产","——","个人所得税")</f>
        <v>个人所得税</v>
      </c>
      <c r="L55" s="3605"/>
      <c r="M55" s="2528">
        <f ca="1">D59</f>
        <v>41</v>
      </c>
      <c r="N55" s="2040" t="str">
        <f>E59</f>
        <v>差额计税</v>
      </c>
      <c r="O55" s="2529">
        <f>F59</f>
        <v>0.01</v>
      </c>
    </row>
    <row r="56" spans="1:35" ht="24.75">
      <c r="A56" s="3665" t="s">
        <v>1363</v>
      </c>
      <c r="B56" s="3643"/>
      <c r="C56" s="3643"/>
      <c r="D56" s="2324">
        <f ca="1">IF(H56="个人住宅",D57,D58)</f>
        <v>2447</v>
      </c>
      <c r="E56" s="2334" t="s">
        <v>1364</v>
      </c>
      <c r="F56" s="2554" t="str">
        <f>IF(H56="正常",F58,"免征")</f>
        <v>免征</v>
      </c>
      <c r="G56" s="2557" t="s">
        <v>1365</v>
      </c>
      <c r="H56" s="2558"/>
      <c r="I56" s="1808"/>
      <c r="J56" s="2523" t="str">
        <f>IF(项目基本情况!K6="上海银行",IF(J55="",4,J55+1),"")</f>
        <v/>
      </c>
      <c r="K56" s="3586" t="str">
        <f>IF(项目基本情况!K6="上海银行","其他处置费用","")</f>
        <v/>
      </c>
      <c r="L56" s="3587"/>
      <c r="M56" s="2525" t="str">
        <f>IF(项目基本情况!K6="上海银行",M69,"")</f>
        <v/>
      </c>
      <c r="N56" s="3586" t="str">
        <f>IF(项目基本情况!K6="上海银行","包含处置中涉及的律师、诉讼、拍卖、评估等费用","")</f>
        <v/>
      </c>
      <c r="O56" s="3589"/>
    </row>
    <row r="57" spans="1:35" ht="12.75">
      <c r="A57" s="2335" t="s">
        <v>1341</v>
      </c>
      <c r="B57" s="3629" t="s">
        <v>1366</v>
      </c>
      <c r="C57" s="3630"/>
      <c r="D57" s="1590">
        <v>0</v>
      </c>
      <c r="E57" s="324" t="s">
        <v>1343</v>
      </c>
      <c r="F57" s="302"/>
      <c r="G57" s="2555"/>
      <c r="H57" s="2559"/>
      <c r="I57" s="1808"/>
      <c r="J57" s="3605">
        <f>IF(AND(J55="",J56=""),4,IF(项目基本情况!K6="上海银行",结果表!J56+1,结果表!J55+1))</f>
        <v>5</v>
      </c>
      <c r="K57" s="3605" t="s">
        <v>1367</v>
      </c>
      <c r="L57" s="2530" t="s">
        <v>1368</v>
      </c>
      <c r="M57" s="2531"/>
      <c r="N57" s="2532">
        <f ca="1">SUMIF(M52:M56,"&lt;9e307")</f>
        <v>2490</v>
      </c>
      <c r="O57" s="2533"/>
      <c r="P57" s="2690">
        <f ca="1">N57/M49</f>
        <v>0.57665585919407136</v>
      </c>
    </row>
    <row r="58" spans="1:35" ht="24.75">
      <c r="A58" s="2335" t="s">
        <v>1352</v>
      </c>
      <c r="B58" s="3629" t="s">
        <v>1369</v>
      </c>
      <c r="C58" s="3628"/>
      <c r="D58" s="2324">
        <f ca="1">IF(H58="转让取得",C81,C97)</f>
        <v>2447</v>
      </c>
      <c r="E58" s="2334" t="s">
        <v>1364</v>
      </c>
      <c r="F58" s="302" t="s">
        <v>28</v>
      </c>
      <c r="G58" s="2555"/>
      <c r="H58" s="2558"/>
      <c r="I58" s="1808"/>
      <c r="J58" s="3605"/>
      <c r="K58" s="3605"/>
      <c r="L58" s="2530" t="s">
        <v>1370</v>
      </c>
      <c r="M58" s="2534"/>
      <c r="N58" s="2535" t="str">
        <f ca="1">NUMBERSTRING(INT(N57*10000),2)&amp;"元整"</f>
        <v>贰仟肆佰玖拾万元整</v>
      </c>
      <c r="O58" s="2536"/>
    </row>
    <row r="59" spans="1:35" ht="24.75" thickBot="1">
      <c r="A59" s="3609" t="s">
        <v>1371</v>
      </c>
      <c r="B59" s="3610"/>
      <c r="C59" s="3610"/>
      <c r="D59" s="2560">
        <f ca="1">IF(H59="非个人房产","——",IF(H59="个人住宅（满五唯一有凭证）",0,IF(H59="个人其他（无凭证）",ROUND(D45*F59,0),ROUND(C67*F59,0))))</f>
        <v>41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7">
        <f>J57+1</f>
        <v>6</v>
      </c>
      <c r="K59" s="3605" t="s">
        <v>1372</v>
      </c>
      <c r="L59" s="2523" t="s">
        <v>1368</v>
      </c>
      <c r="M59" s="2537"/>
      <c r="N59" s="2538">
        <f ca="1">M49-N57</f>
        <v>1828</v>
      </c>
      <c r="O59" s="2539"/>
    </row>
    <row r="60" spans="1:35" ht="12" customHeight="1">
      <c r="A60" s="1809"/>
      <c r="B60" s="1747"/>
      <c r="C60" s="1747"/>
      <c r="D60" s="1747"/>
      <c r="E60" s="1578"/>
      <c r="F60" s="1808"/>
      <c r="G60" s="1808"/>
      <c r="H60" s="1810"/>
      <c r="I60" s="129"/>
      <c r="J60" s="3608"/>
      <c r="K60" s="3605"/>
      <c r="L60" s="2530" t="s">
        <v>1370</v>
      </c>
      <c r="M60" s="2534"/>
      <c r="N60" s="2535" t="str">
        <f ca="1">NUMBERSTRING(INT(N59*10000),2)&amp;"元整"</f>
        <v>壹仟捌佰贰拾捌万元整</v>
      </c>
      <c r="O60" s="2536"/>
    </row>
    <row r="61" spans="1:35" ht="13.5" thickBot="1">
      <c r="A61" s="3664" t="s">
        <v>1373</v>
      </c>
      <c r="B61" s="3664"/>
      <c r="C61" s="3664"/>
      <c r="D61" s="3664"/>
      <c r="E61" s="3664"/>
      <c r="F61" s="1808"/>
      <c r="G61" s="1808"/>
      <c r="H61" s="1810"/>
      <c r="I61" s="129"/>
      <c r="J61" s="2523">
        <f>J59+1</f>
        <v>7</v>
      </c>
      <c r="K61" s="3605" t="s">
        <v>1374</v>
      </c>
      <c r="L61" s="3605"/>
      <c r="M61" s="2540"/>
      <c r="N61" s="2541">
        <f ca="1">ROUND(N59*10000/'数据-汇总表'!E3,0)</f>
        <v>4772</v>
      </c>
      <c r="O61" s="2542"/>
    </row>
    <row r="62" spans="1:35" ht="12.75">
      <c r="A62" s="3624" t="s">
        <v>1375</v>
      </c>
      <c r="B62" s="3625"/>
      <c r="C62" s="2021"/>
      <c r="D62" s="2021" t="s">
        <v>1376</v>
      </c>
      <c r="E62" s="166" t="s">
        <v>1377</v>
      </c>
      <c r="F62" s="1808"/>
      <c r="G62" s="1808"/>
      <c r="H62" s="1810"/>
      <c r="I62" s="129"/>
    </row>
    <row r="63" spans="1:35" ht="12.75">
      <c r="A63" s="173" t="s">
        <v>330</v>
      </c>
      <c r="B63" s="167" t="s">
        <v>1378</v>
      </c>
      <c r="C63" s="2564">
        <f ca="1">ROUND((C64+C65)/(1+'数据-取费表'!C42),0)</f>
        <v>4112</v>
      </c>
      <c r="D63" s="167"/>
      <c r="E63" s="168"/>
      <c r="F63" s="1808"/>
      <c r="G63" s="1808"/>
      <c r="H63" s="1810"/>
      <c r="I63" s="129"/>
      <c r="J63" s="3588" t="s">
        <v>1379</v>
      </c>
      <c r="K63" s="1332" t="s">
        <v>1380</v>
      </c>
      <c r="L63" s="1332">
        <f ca="1">IF(M49&gt;10000,M49*0.5%,IF(AND(M49&gt;1000,M49&lt;=10000),M49*1%,IF(AND(M49&gt;100,M49&lt;=1000),M49*3%,IF(AND(M49&gt;10,M49&lt;=100),M49*5%,M49*8%))))</f>
        <v>43.18</v>
      </c>
      <c r="M63" s="302">
        <f ca="1">ROUND(L63,1)</f>
        <v>43.2</v>
      </c>
      <c r="N63" s="2543"/>
      <c r="Z63" s="1752"/>
      <c r="AI63" s="1753"/>
    </row>
    <row r="64" spans="1:35" ht="14.25" customHeight="1">
      <c r="A64" s="169" t="s">
        <v>325</v>
      </c>
      <c r="B64" s="170" t="s">
        <v>1381</v>
      </c>
      <c r="C64" s="2565">
        <f ca="1">D45</f>
        <v>4318</v>
      </c>
      <c r="D64" s="170" t="s">
        <v>26</v>
      </c>
      <c r="E64" s="172"/>
      <c r="F64" s="1808"/>
      <c r="G64" s="1808"/>
      <c r="H64" s="1810"/>
      <c r="I64" s="129"/>
      <c r="J64" s="3588"/>
      <c r="K64" s="1332" t="s">
        <v>1382</v>
      </c>
      <c r="L64" s="1332">
        <f ca="1">IF(M49&gt;2000,M49*0.5%,IF(AND(M49&gt;1000,M49&lt;=2000),M49*0.6%,IF(AND(M49&gt;500,M49&lt;=1000),M49*0.7%,IF(AND(M49&gt;200,M49&lt;=500),M49*0.8%,IF(AND(M49&gt;100,M49&lt;=200),M49*0.9%,IF(AND(M49&gt;50,M49&lt;=100),M49*1%,IF(AND(M49&gt;20,M49&lt;=50),M49*1.5%,IF(AND(M49&gt;10,M49&lt;=20),M49*2%,IF(AND(M49&gt;1,M49&lt;=10),M49*2.5%)))))))))</f>
        <v>21.59</v>
      </c>
      <c r="M64" s="302">
        <f t="shared" ref="M64:M65" ca="1" si="1">ROUND(L64,1)</f>
        <v>21.6</v>
      </c>
      <c r="N64" s="2544" t="s">
        <v>1383</v>
      </c>
      <c r="Z64" s="1752"/>
      <c r="AI64" s="1753"/>
    </row>
    <row r="65" spans="1:35" ht="14.25" customHeight="1">
      <c r="A65" s="169" t="s">
        <v>326</v>
      </c>
      <c r="B65" s="170" t="s">
        <v>1384</v>
      </c>
      <c r="C65" s="2566"/>
      <c r="D65" s="170"/>
      <c r="E65" s="172"/>
      <c r="F65" s="1808"/>
      <c r="G65" s="1808"/>
      <c r="H65" s="1810"/>
      <c r="I65" s="129"/>
      <c r="J65" s="3588"/>
      <c r="K65" s="1332" t="s">
        <v>1385</v>
      </c>
      <c r="L65" s="1332">
        <f ca="1">IF(M49&gt;1000,M49*0.1%,IF(AND(M49&gt;500,M49&lt;=1000),M49*0.5%,IF(AND(M49&gt;50,M49&lt;=500),M49*1%,IF(AND(M49&gt;1,M49&lt;=50),M49*1.5%))))</f>
        <v>4.3180000000000005</v>
      </c>
      <c r="M65" s="302">
        <f t="shared" ca="1" si="1"/>
        <v>4.3</v>
      </c>
      <c r="N65" s="2544" t="s">
        <v>1383</v>
      </c>
      <c r="Z65" s="1752"/>
      <c r="AI65" s="1753"/>
    </row>
    <row r="66" spans="1:35" ht="14.25" customHeight="1">
      <c r="A66" s="173" t="s">
        <v>327</v>
      </c>
      <c r="B66" s="174" t="s">
        <v>1386</v>
      </c>
      <c r="C66" s="2567"/>
      <c r="D66" s="174" t="s">
        <v>26</v>
      </c>
      <c r="E66" s="1338" t="s">
        <v>671</v>
      </c>
      <c r="F66" s="1808"/>
      <c r="G66" s="1808"/>
      <c r="H66" s="1810"/>
      <c r="I66" s="129"/>
      <c r="J66" s="3588"/>
      <c r="K66" s="1332" t="s">
        <v>1387</v>
      </c>
      <c r="L66" s="1332">
        <f ca="1">M49*0.5%</f>
        <v>21.59</v>
      </c>
      <c r="M66" s="302">
        <f ca="1">IF(L66&gt;0.5,0.5,ROUND(L66,0))</f>
        <v>0.5</v>
      </c>
      <c r="N66" s="2544" t="s">
        <v>1388</v>
      </c>
      <c r="Z66" s="1752"/>
      <c r="AI66" s="1753"/>
    </row>
    <row r="67" spans="1:35" ht="14.25" customHeight="1">
      <c r="A67" s="173" t="s">
        <v>328</v>
      </c>
      <c r="B67" s="174" t="s">
        <v>1389</v>
      </c>
      <c r="C67" s="2568">
        <f ca="1">C63-C66</f>
        <v>4112</v>
      </c>
      <c r="D67" s="170" t="s">
        <v>26</v>
      </c>
      <c r="E67" s="172"/>
      <c r="F67" s="1808"/>
      <c r="G67" s="1808"/>
      <c r="H67" s="1810"/>
      <c r="I67" s="129"/>
      <c r="J67" s="3588"/>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226</v>
      </c>
      <c r="D68" s="2570">
        <f>'数据-取费表'!B41</f>
        <v>5.5000000000000007E-2</v>
      </c>
      <c r="E68" s="178"/>
      <c r="F68" s="1808"/>
      <c r="G68" s="1808"/>
      <c r="H68" s="1810"/>
      <c r="I68" s="129"/>
      <c r="J68" s="3588"/>
      <c r="K68" s="1332" t="s">
        <v>1392</v>
      </c>
      <c r="L68" s="1332">
        <f ca="1">IF(M49&gt;10000,M49*0.5%,IF(AND(M49&gt;5000,M49&lt;=10000),M49*1%,IF(AND(M49&gt;1000,M49&lt;=5000),M49*2%,IF(AND(M49&gt;200,M49&lt;=1000),M49*3%,M49*5%))))</f>
        <v>86.36</v>
      </c>
      <c r="M68" s="302">
        <f ca="1">ROUND(L68,1)</f>
        <v>86.4</v>
      </c>
      <c r="N68" s="2543"/>
      <c r="Z68" s="1752"/>
      <c r="AI68" s="1753"/>
    </row>
    <row r="69" spans="1:35" s="1772" customFormat="1" ht="16.5" customHeight="1">
      <c r="A69" s="1811"/>
      <c r="B69" s="1812"/>
      <c r="C69" s="1813"/>
      <c r="D69" s="1814"/>
      <c r="E69" s="1815"/>
      <c r="F69" s="1578"/>
      <c r="G69" s="1578"/>
      <c r="H69" s="1577"/>
      <c r="I69" s="1747"/>
      <c r="J69" s="3588"/>
      <c r="K69" s="1332" t="s">
        <v>1393</v>
      </c>
      <c r="L69" s="1332"/>
      <c r="M69" s="302">
        <f ca="1">ROUND(SUM(M63:M68),0)</f>
        <v>158</v>
      </c>
      <c r="N69" s="2545">
        <f ca="1">M69/M49</f>
        <v>3.6591014358499305E-2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2" t="s">
        <v>1394</v>
      </c>
      <c r="B70" s="3633"/>
      <c r="C70" s="3633"/>
      <c r="D70" s="3633"/>
      <c r="E70" s="3633"/>
      <c r="F70" s="3633"/>
      <c r="G70" s="3633"/>
      <c r="H70" s="363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4" t="s">
        <v>1375</v>
      </c>
      <c r="B71" s="3625"/>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4112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9" t="s">
        <v>1402</v>
      </c>
      <c r="F76" s="3628"/>
      <c r="G76" s="3628"/>
      <c r="H76" s="363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21</v>
      </c>
      <c r="D78" s="2577">
        <f>'数据-取费表'!B43</f>
        <v>5.000000000000001E-3</v>
      </c>
      <c r="E78" s="3621" t="s">
        <v>1406</v>
      </c>
      <c r="F78" s="3622"/>
      <c r="G78" s="3622"/>
      <c r="H78" s="362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4091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194.8095238095238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2447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2" t="s">
        <v>1410</v>
      </c>
      <c r="B83" s="3633"/>
      <c r="C83" s="3633"/>
      <c r="D83" s="3633"/>
      <c r="E83" s="3633"/>
      <c r="F83" s="3633"/>
      <c r="G83" s="3633"/>
      <c r="H83" s="363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4" t="s">
        <v>1375</v>
      </c>
      <c r="B84" s="362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4112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90" t="s">
        <v>2129</v>
      </c>
      <c r="H90" s="3591"/>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21" t="s">
        <v>1419</v>
      </c>
      <c r="F91" s="3622"/>
      <c r="G91" s="362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21" t="s">
        <v>1422</v>
      </c>
      <c r="F92" s="3622"/>
      <c r="G92" s="3622"/>
      <c r="H92" s="3623"/>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21</v>
      </c>
      <c r="D93" s="2577">
        <f>'数据-取费表'!B43</f>
        <v>5.000000000000001E-3</v>
      </c>
      <c r="E93" s="3621" t="s">
        <v>1406</v>
      </c>
      <c r="F93" s="3622"/>
      <c r="G93" s="3622"/>
      <c r="H93" s="362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66" t="s">
        <v>1426</v>
      </c>
      <c r="F94" s="3667"/>
      <c r="G94" s="3667"/>
      <c r="H94" s="36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4091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194.8095238095238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2447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1" t="s">
        <v>1428</v>
      </c>
      <c r="B100" s="3572"/>
      <c r="C100" s="3572"/>
      <c r="D100" s="3606"/>
      <c r="E100" s="3572" t="s">
        <v>1429</v>
      </c>
      <c r="F100" s="3572"/>
      <c r="G100" s="3572"/>
      <c r="H100" s="3606"/>
      <c r="I100" s="129"/>
    </row>
    <row r="101" spans="1:35" ht="18.75" customHeight="1">
      <c r="A101" s="3614" t="s">
        <v>1430</v>
      </c>
      <c r="B101" s="3615"/>
      <c r="C101" s="2585" t="str">
        <f>C4</f>
        <v>比较法-工业</v>
      </c>
      <c r="D101" s="2586" t="str">
        <f>D4</f>
        <v>收益法</v>
      </c>
      <c r="E101" s="3584" t="s">
        <v>1431</v>
      </c>
      <c r="F101" s="3585"/>
      <c r="G101" s="1827" t="s">
        <v>1432</v>
      </c>
      <c r="H101" s="2595">
        <f ca="1">H118</f>
        <v>4318</v>
      </c>
      <c r="I101" s="129"/>
    </row>
    <row r="102" spans="1:35" ht="18.75" customHeight="1">
      <c r="A102" s="3616" t="s">
        <v>1433</v>
      </c>
      <c r="B102" s="2584" t="s">
        <v>1432</v>
      </c>
      <c r="C102" s="2585">
        <f ca="1">IF(D32="楼面单价",ROUND(C19,0),C19)</f>
        <v>5102</v>
      </c>
      <c r="D102" s="2586">
        <f ca="1">IF(D32="楼面单价",ROUND(D19,0),D19)</f>
        <v>3360</v>
      </c>
      <c r="E102" s="3584"/>
      <c r="F102" s="3585"/>
      <c r="G102" s="1827" t="s">
        <v>1434</v>
      </c>
      <c r="H102" s="2555">
        <f ca="1">I118</f>
        <v>11272</v>
      </c>
      <c r="I102" s="129"/>
    </row>
    <row r="103" spans="1:35" ht="42.75" customHeight="1">
      <c r="A103" s="3616"/>
      <c r="B103" s="2584" t="s">
        <v>1434</v>
      </c>
      <c r="C103" s="2587">
        <f ca="1">C20</f>
        <v>13319</v>
      </c>
      <c r="D103" s="2588">
        <f ca="1">D20</f>
        <v>8771</v>
      </c>
      <c r="E103" s="3577" t="s">
        <v>1435</v>
      </c>
      <c r="F103" s="3578"/>
      <c r="G103" s="1828" t="s">
        <v>1436</v>
      </c>
      <c r="H103" s="2595">
        <f>IF(D36="正常操作",H104+H105+H106,H105+H106)</f>
        <v>0</v>
      </c>
      <c r="I103" s="129"/>
    </row>
    <row r="104" spans="1:35" ht="18.75" customHeight="1">
      <c r="A104" s="3616" t="s">
        <v>1437</v>
      </c>
      <c r="B104" s="2589" t="s">
        <v>1432</v>
      </c>
      <c r="C104" s="2590">
        <f ca="1">H118</f>
        <v>4318</v>
      </c>
      <c r="D104" s="2591"/>
      <c r="E104" s="1674" t="s">
        <v>1438</v>
      </c>
      <c r="F104" s="1666"/>
      <c r="G104" s="1828" t="s">
        <v>1436</v>
      </c>
      <c r="H104" s="2596">
        <f>IF(D36="同一抵押权人同一抵押物续贷",C36&amp;"（续贷，未扣减，详见特别提示）",C36)</f>
        <v>0</v>
      </c>
      <c r="I104" s="129"/>
    </row>
    <row r="105" spans="1:35" ht="18.75" customHeight="1" thickBot="1">
      <c r="A105" s="3626"/>
      <c r="B105" s="2592" t="s">
        <v>1434</v>
      </c>
      <c r="C105" s="2593">
        <f ca="1">I118</f>
        <v>11272</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585"/>
      <c r="G107" s="1827" t="s">
        <v>1432</v>
      </c>
      <c r="H107" s="2595">
        <f ca="1">IF(E107="——","——",H101-H103)</f>
        <v>4318</v>
      </c>
      <c r="I107" s="129"/>
    </row>
    <row r="108" spans="1:35" ht="18.75" customHeight="1">
      <c r="A108" s="129"/>
      <c r="B108" s="129"/>
      <c r="C108" s="129"/>
      <c r="D108" s="129"/>
      <c r="E108" s="3617"/>
      <c r="F108" s="3585"/>
      <c r="G108" s="1827" t="s">
        <v>1434</v>
      </c>
      <c r="H108" s="2555">
        <f ca="1">IF(H107=H101,H102,ROUND(H107*10000/'数据-汇总表'!E3,0))</f>
        <v>11272</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585"/>
      <c r="G109" s="1827" t="s">
        <v>1432</v>
      </c>
      <c r="H109" s="2598" t="str">
        <f>IF(E109="——","——",H101-H105-H106)</f>
        <v>——</v>
      </c>
      <c r="I109" s="129"/>
    </row>
    <row r="110" spans="1:35" ht="18.75" customHeight="1">
      <c r="A110" s="129"/>
      <c r="B110" s="129"/>
      <c r="C110" s="129"/>
      <c r="D110" s="129"/>
      <c r="E110" s="3617"/>
      <c r="F110" s="3585"/>
      <c r="G110" s="1827" t="s">
        <v>1434</v>
      </c>
      <c r="H110" s="2555" t="str">
        <f>IF(H109="——","——",ROUND(H109*10000/'数据-汇总表'!E3,0))</f>
        <v>——</v>
      </c>
      <c r="I110" s="129"/>
    </row>
    <row r="111" spans="1:35" ht="18.75" customHeight="1">
      <c r="A111" s="129"/>
      <c r="B111" s="129"/>
      <c r="C111" s="129"/>
      <c r="D111" s="129"/>
      <c r="E111" s="3618" t="str">
        <f>IF(项目基本情况!E9="抵押净值",IF(OR(项目基本情况!E8="已注销",项目基本情况!E8="房地产抵押价值"),"4.抵押净值","5.抵押净值"),"——")</f>
        <v>——</v>
      </c>
      <c r="F111" s="3604"/>
      <c r="G111" s="1827" t="s">
        <v>1432</v>
      </c>
      <c r="H111" s="2595" t="str">
        <f>IF(E111="——","——",N59)</f>
        <v>——</v>
      </c>
      <c r="I111" s="129"/>
    </row>
    <row r="112" spans="1:35" ht="18.75" customHeight="1" thickBot="1">
      <c r="A112" s="129"/>
      <c r="B112" s="129"/>
      <c r="C112" s="129"/>
      <c r="D112" s="129"/>
      <c r="E112" s="3619"/>
      <c r="F112" s="3620"/>
      <c r="G112" s="1830" t="s">
        <v>1434</v>
      </c>
      <c r="H112" s="2599" t="str">
        <f>IF(E111="——","——",N61)</f>
        <v>——</v>
      </c>
      <c r="I112" s="129"/>
    </row>
    <row r="113" spans="1:27" ht="18.75" customHeight="1">
      <c r="A113" s="129"/>
      <c r="B113" s="129"/>
      <c r="C113" s="129"/>
      <c r="D113" s="129"/>
      <c r="E113" s="3627" t="s">
        <v>1440</v>
      </c>
      <c r="F113" s="3627"/>
      <c r="G113" s="3627"/>
      <c r="H113" s="3627"/>
      <c r="I113" s="129"/>
    </row>
    <row r="114" spans="1:27" ht="3.75" customHeight="1">
      <c r="A114" s="1747"/>
      <c r="B114" s="1747"/>
      <c r="C114" s="1747"/>
      <c r="D114" s="1747"/>
      <c r="E114" s="1809"/>
      <c r="F114" s="1809"/>
      <c r="G114" s="1809"/>
      <c r="H114" s="1809"/>
      <c r="I114" s="1747"/>
    </row>
    <row r="115" spans="1:27" ht="18.75" customHeight="1">
      <c r="A115" s="3635" t="s">
        <v>1442</v>
      </c>
      <c r="B115" s="3636"/>
      <c r="C115" s="3636"/>
      <c r="D115" s="3636"/>
      <c r="E115" s="3636"/>
      <c r="F115" s="3636"/>
      <c r="G115" s="3636"/>
      <c r="H115" s="3636"/>
      <c r="I115" s="3637"/>
    </row>
    <row r="116" spans="1:27" ht="27" customHeight="1">
      <c r="A116" s="3592" t="s">
        <v>1443</v>
      </c>
      <c r="B116" s="3596" t="s">
        <v>1444</v>
      </c>
      <c r="C116" s="3596" t="s">
        <v>1445</v>
      </c>
      <c r="D116" s="3602" t="s">
        <v>1446</v>
      </c>
      <c r="E116" s="3603"/>
      <c r="F116" s="3634" t="s">
        <v>1447</v>
      </c>
      <c r="G116" s="3634"/>
      <c r="H116" s="3592" t="s">
        <v>1448</v>
      </c>
      <c r="I116" s="3592"/>
    </row>
    <row r="117" spans="1:27" ht="18.75" customHeight="1">
      <c r="A117" s="3592"/>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北京市通州区经海五路1号院46号楼-1至6层5-101工业用房房地产</v>
      </c>
      <c r="B118" s="2329">
        <f>M18</f>
        <v>3830.64</v>
      </c>
      <c r="C118" s="2329">
        <f>M19</f>
        <v>0</v>
      </c>
      <c r="D118" s="2329">
        <f ca="1">ROUND(IF(D32="总价",C34,E118*B118/10000),0)</f>
        <v>2345</v>
      </c>
      <c r="E118" s="2329">
        <f ca="1">ROUND(IF(C33="自定义",IF(D32="楼面单价",C34,D118*10000/B118),I118-G118),0)</f>
        <v>6121</v>
      </c>
      <c r="F118" s="2329">
        <f ca="1">ROUND(IF(D32="总价",C35,G118*B118/10000),0)</f>
        <v>1973</v>
      </c>
      <c r="G118" s="2329">
        <f ca="1">ROUND(IF(D32="楼面单价",C35,F118*10000/B118),0)</f>
        <v>5151</v>
      </c>
      <c r="H118" s="2329">
        <f ca="1">ROUND(IF(D32="总价",C32,I118*B118/10000),0)</f>
        <v>4318</v>
      </c>
      <c r="I118" s="2329">
        <f ca="1">ROUND(IF(D32="楼面单价",C32,H118*10000/B118),0)</f>
        <v>11272</v>
      </c>
    </row>
    <row r="119" spans="1:27" ht="18.75" customHeight="1">
      <c r="A119" s="3592" t="s">
        <v>1452</v>
      </c>
      <c r="B119" s="3592"/>
      <c r="C119" s="3592"/>
      <c r="D119" s="3598" t="str">
        <f ca="1">NUMBERSTRING(INT(D118*10000),2)&amp;"元整"</f>
        <v>贰仟叁佰肆拾伍万元整</v>
      </c>
      <c r="E119" s="3599"/>
      <c r="F119" s="3598" t="str">
        <f ca="1">NUMBERSTRING(INT(F118*10000),2)&amp;"元整"</f>
        <v>壹仟玖佰柒拾叁万元整</v>
      </c>
      <c r="G119" s="3599"/>
      <c r="H119" s="3598" t="str">
        <f ca="1">NUMBERSTRING(INT(H118*10000),2)&amp;"元整"</f>
        <v>肆仟叁佰壹拾捌万元整</v>
      </c>
      <c r="I119" s="3599"/>
    </row>
    <row r="120" spans="1:27" ht="18.75" customHeight="1">
      <c r="A120" s="3593" t="str">
        <f>IF(项目基本情况!B9="房地产市场价值","",MID(E103,3,LEN(E103)-2))</f>
        <v>估价师知悉的法定优先受偿款</v>
      </c>
      <c r="B120" s="3594"/>
      <c r="C120" s="3595"/>
      <c r="D120" s="3593">
        <f>H103</f>
        <v>0</v>
      </c>
      <c r="E120" s="3594"/>
      <c r="F120" s="3594"/>
      <c r="G120" s="3594"/>
      <c r="H120" s="3594"/>
      <c r="I120" s="359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1452</v>
      </c>
      <c r="B121" s="3600"/>
      <c r="C121" s="3599"/>
      <c r="D121" s="3598" t="str">
        <f>IF(D120=0,"零元整",NUMBERSTRING(INT(D120*10000),2)&amp;"元整")</f>
        <v>零元整</v>
      </c>
      <c r="E121" s="3600"/>
      <c r="F121" s="3600"/>
      <c r="G121" s="3600"/>
      <c r="H121" s="3600"/>
      <c r="I121" s="3599"/>
      <c r="AA121" s="725"/>
    </row>
    <row r="122" spans="1:27" ht="18.75" customHeight="1">
      <c r="A122" s="3604" t="str">
        <f>IF(项目基本情况!B9="房地产市场价值","",MID(E107,3,LEN(E107)-2))</f>
        <v>房地产抵押价值</v>
      </c>
      <c r="B122" s="3604"/>
      <c r="C122" s="3604"/>
      <c r="D122" s="3593">
        <f ca="1">H107</f>
        <v>4318</v>
      </c>
      <c r="E122" s="3594"/>
      <c r="F122" s="3594"/>
      <c r="G122" s="3594"/>
      <c r="H122" s="3594"/>
      <c r="I122" s="3595"/>
      <c r="AA122" s="725"/>
    </row>
    <row r="123" spans="1:27" ht="18.75" customHeight="1">
      <c r="A123" s="3592" t="s">
        <v>1452</v>
      </c>
      <c r="B123" s="3592"/>
      <c r="C123" s="3592"/>
      <c r="D123" s="3598" t="str">
        <f ca="1">NUMBERSTRING(INT(D122*10000),2)&amp;"元整"</f>
        <v>肆仟叁佰壹拾捌万元整</v>
      </c>
      <c r="E123" s="3600"/>
      <c r="F123" s="3600"/>
      <c r="G123" s="3600"/>
      <c r="H123" s="3600"/>
      <c r="I123" s="3599"/>
      <c r="AA123" s="725"/>
    </row>
    <row r="124" spans="1:27" ht="18.75" customHeight="1">
      <c r="A124" s="3604" t="str">
        <f>IF(项目基本情况!B9="房地产市场价值","",MID(E109,3,LEN(E109)-2))</f>
        <v/>
      </c>
      <c r="B124" s="3604"/>
      <c r="C124" s="3604"/>
      <c r="D124" s="3593" t="str">
        <f>H109</f>
        <v>——</v>
      </c>
      <c r="E124" s="3594"/>
      <c r="F124" s="3594"/>
      <c r="G124" s="3594"/>
      <c r="H124" s="3594"/>
      <c r="I124" s="3595"/>
      <c r="AA124" s="725"/>
    </row>
    <row r="125" spans="1:27" ht="18.75" customHeight="1">
      <c r="A125" s="3592" t="s">
        <v>1452</v>
      </c>
      <c r="B125" s="3592"/>
      <c r="C125" s="3592"/>
      <c r="D125" s="3598" t="e">
        <f>NUMBERSTRING(INT(D124*10000),2)&amp;"元整"</f>
        <v>#VALUE!</v>
      </c>
      <c r="E125" s="3600"/>
      <c r="F125" s="3600"/>
      <c r="G125" s="3600"/>
      <c r="H125" s="3600"/>
      <c r="I125" s="3599"/>
      <c r="AA125" s="725"/>
    </row>
    <row r="126" spans="1:27" ht="18.75" customHeight="1">
      <c r="A126" s="3604" t="str">
        <f>IF(项目基本情况!B9="房地产市场价值","",MID(E111,3,LEN(E111)-2))</f>
        <v/>
      </c>
      <c r="B126" s="3604"/>
      <c r="C126" s="3604"/>
      <c r="D126" s="3593" t="str">
        <f>H111</f>
        <v>——</v>
      </c>
      <c r="E126" s="3594"/>
      <c r="F126" s="3594"/>
      <c r="G126" s="3594"/>
      <c r="H126" s="3594"/>
      <c r="I126" s="3595"/>
      <c r="AA126" s="725"/>
    </row>
    <row r="127" spans="1:27" ht="18.75" customHeight="1">
      <c r="A127" s="3592" t="s">
        <v>1452</v>
      </c>
      <c r="B127" s="3592"/>
      <c r="C127" s="3592"/>
      <c r="D127" s="3598" t="e">
        <f>NUMBERSTRING(INT(D126*10000),2)&amp;"元整"</f>
        <v>#VALUE!</v>
      </c>
      <c r="E127" s="3600"/>
      <c r="F127" s="3600"/>
      <c r="G127" s="3600"/>
      <c r="H127" s="3600"/>
      <c r="I127" s="3599"/>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10" sqref="C10"/>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6443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749</v>
      </c>
      <c r="D5" s="211" t="s">
        <v>1469</v>
      </c>
      <c r="E5" s="212" t="s">
        <v>1470</v>
      </c>
      <c r="F5" s="212" t="s">
        <v>1471</v>
      </c>
      <c r="G5" s="213"/>
    </row>
    <row r="6" spans="1:9" s="214" customFormat="1" ht="13.5" customHeight="1">
      <c r="A6" s="778" t="s">
        <v>1472</v>
      </c>
      <c r="B6" s="215" t="s">
        <v>1473</v>
      </c>
      <c r="C6" s="216">
        <f>基准地价修正!B2</f>
        <v>684</v>
      </c>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 ca="1">IF(G8="已包含在土地购买价格中","0",IF(B1="",'数据-取费表'!B29,IF(G9="全部缴纳",C9+C10,H9)))</f>
        <v>65</v>
      </c>
      <c r="D8" s="222"/>
      <c r="E8" s="220"/>
      <c r="F8" s="221"/>
      <c r="G8" s="1856" t="s">
        <v>3479</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140</v>
      </c>
      <c r="F9" s="221"/>
      <c r="G9" s="1857" t="s">
        <v>3480</v>
      </c>
      <c r="H9" s="1137"/>
      <c r="I9" s="1858" t="s">
        <v>1479</v>
      </c>
    </row>
    <row r="10" spans="1:9" s="214" customFormat="1" ht="13.5" customHeight="1">
      <c r="A10" s="779" t="s">
        <v>356</v>
      </c>
      <c r="B10" s="224" t="s">
        <v>1480</v>
      </c>
      <c r="C10" s="225">
        <f ca="1">ROUND(D10*E10/10000,0)</f>
        <v>65</v>
      </c>
      <c r="D10" s="845">
        <f ca="1">IF(B1="",'数据-汇总表'!E6,IF(INDIRECT("'数据-取费表'!c"&amp;$G$1)="住宅",INDIRECT("'数据-取费表'!s"&amp;$G$1),INDIRECT("'数据-取费表'!k"&amp;$G$1)+INDIRECT("'数据-取费表'!s"&amp;$G$1)))</f>
        <v>3830.64</v>
      </c>
      <c r="E10" s="225">
        <f>'数据-取费表'!B28</f>
        <v>170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3830.64</v>
      </c>
      <c r="E19" s="211">
        <f>'数据-取费表'!B31</f>
        <v>200</v>
      </c>
      <c r="F19" s="231"/>
      <c r="G19" s="1856" t="s">
        <v>3481</v>
      </c>
    </row>
    <row r="20" spans="1:7" s="214" customFormat="1" ht="13.5" customHeight="1">
      <c r="A20" s="255" t="s">
        <v>1493</v>
      </c>
      <c r="B20" s="210" t="s">
        <v>1494</v>
      </c>
      <c r="C20" s="232">
        <f ca="1">ROUND((C5+C19)*F20,0)</f>
        <v>15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48</v>
      </c>
      <c r="D22" s="235">
        <f ca="1">C26</f>
        <v>5.9999999999999995E-4</v>
      </c>
      <c r="E22" s="236" t="s">
        <v>1498</v>
      </c>
      <c r="F22" s="237">
        <f ca="1">'数据-取费表'!B40</f>
        <v>3.1300000000000001E-2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48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76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76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960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1341</v>
      </c>
      <c r="D34" s="217"/>
      <c r="E34" s="220"/>
      <c r="F34" s="257">
        <f ca="1">IF('数据-取费表'!B24=0,1,IF(B1="",'数据-取费表'!N16,INDIRECT("'数据-取费表'!n"&amp;$G$1)))</f>
        <v>1</v>
      </c>
      <c r="G34" s="219" t="s">
        <v>1526</v>
      </c>
    </row>
    <row r="35" spans="1:7" ht="13.5" customHeight="1">
      <c r="A35" s="780" t="s">
        <v>351</v>
      </c>
      <c r="B35" s="215" t="s">
        <v>1527</v>
      </c>
      <c r="C35" s="220">
        <f ca="1">ROUND(C34*F35,0)</f>
        <v>67</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77</v>
      </c>
      <c r="D37" s="217">
        <f ca="1">D19</f>
        <v>3830.64</v>
      </c>
      <c r="E37" s="249">
        <f>'数据-取费表'!B35</f>
        <v>200</v>
      </c>
      <c r="F37" s="259"/>
      <c r="G37" s="261" t="s">
        <v>1532</v>
      </c>
    </row>
    <row r="38" spans="1:7" ht="13.5" customHeight="1">
      <c r="A38" s="780" t="s">
        <v>354</v>
      </c>
      <c r="B38" s="215" t="s">
        <v>1533</v>
      </c>
      <c r="C38" s="220">
        <f ca="1">ROUND(C34*F38,0)</f>
        <v>27</v>
      </c>
      <c r="D38" s="220"/>
      <c r="E38" s="220"/>
      <c r="F38" s="259">
        <f>'数据-取费表'!B36</f>
        <v>0.02</v>
      </c>
      <c r="G38" s="219" t="s">
        <v>1528</v>
      </c>
    </row>
    <row r="39" spans="1:7" s="214" customFormat="1" ht="13.5" customHeight="1">
      <c r="A39" s="255" t="s">
        <v>1534</v>
      </c>
      <c r="B39" s="210" t="s">
        <v>1535</v>
      </c>
      <c r="C39" s="232">
        <f ca="1">ROUND(C33*F20,0)</f>
        <v>30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47</v>
      </c>
      <c r="D42" s="238"/>
      <c r="E42" s="238"/>
      <c r="F42" s="239"/>
      <c r="G42" s="3671" t="s">
        <v>1544</v>
      </c>
    </row>
    <row r="43" spans="1:7" ht="13.5" customHeight="1">
      <c r="A43" s="780" t="s">
        <v>347</v>
      </c>
      <c r="B43" s="215" t="s">
        <v>1545</v>
      </c>
      <c r="C43" s="238">
        <f ca="1">ROUND(IF('数据-取费表'!B22&lt;=1,C39*F22*'数据-取费表'!B21/2,C39*(POWER((1+F22),'数据-取费表'!B21/2)-1)),0)</f>
        <v>1</v>
      </c>
      <c r="D43" s="238"/>
      <c r="E43" s="238"/>
      <c r="F43" s="239"/>
      <c r="G43" s="3672"/>
    </row>
    <row r="44" spans="1:7" ht="13.5" customHeight="1">
      <c r="A44" s="780" t="s">
        <v>348</v>
      </c>
      <c r="B44" s="215" t="s">
        <v>1546</v>
      </c>
      <c r="C44" s="238">
        <f ca="1">ROUND(IF('数据-取费表'!B22&lt;=1,C40*F22*'数据-取费表'!B21/2,C40*(POWER((1+F22),'数据-取费表'!B21/2)-1)),4)</f>
        <v>5.9999999999999995E-4</v>
      </c>
      <c r="D44" s="238"/>
      <c r="E44" s="238"/>
      <c r="F44" s="239"/>
      <c r="G44" s="3673"/>
    </row>
    <row r="45" spans="1:7" s="214" customFormat="1" ht="13.5" customHeight="1">
      <c r="A45" s="255" t="s">
        <v>1547</v>
      </c>
      <c r="B45" s="244" t="s">
        <v>1513</v>
      </c>
      <c r="C45" s="245">
        <f ca="1">C46</f>
        <v>154</v>
      </c>
      <c r="D45" s="235">
        <f ca="1">C47</f>
        <v>2E-3</v>
      </c>
      <c r="E45" s="236" t="s">
        <v>1539</v>
      </c>
      <c r="F45" s="246">
        <f ca="1">F27</f>
        <v>0.1</v>
      </c>
      <c r="G45" s="247" t="s">
        <v>1548</v>
      </c>
    </row>
    <row r="46" spans="1:7" s="214" customFormat="1" ht="13.5" customHeight="1">
      <c r="A46" s="780" t="s">
        <v>346</v>
      </c>
      <c r="B46" s="248" t="s">
        <v>1549</v>
      </c>
      <c r="C46" s="249">
        <f ca="1">ROUND((C33+C39)*F27,0)</f>
        <v>154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1885</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1508</v>
      </c>
      <c r="D51" s="232"/>
      <c r="E51" s="232"/>
      <c r="F51" s="264"/>
      <c r="G51" s="234" t="s">
        <v>1560</v>
      </c>
    </row>
    <row r="52" spans="1:7" s="208" customFormat="1" ht="16.5" thickBot="1">
      <c r="A52" s="265" t="s">
        <v>1561</v>
      </c>
      <c r="B52" s="266"/>
      <c r="C52" s="267">
        <f ca="1">C31+C51</f>
        <v>2468</v>
      </c>
      <c r="D52" s="266"/>
      <c r="E52" s="266"/>
      <c r="F52" s="266"/>
      <c r="G52" s="268"/>
    </row>
    <row r="55" spans="1:7" ht="15">
      <c r="B55" s="270" t="s">
        <v>1562</v>
      </c>
      <c r="C55" s="271"/>
    </row>
    <row r="56" spans="1:7">
      <c r="B56" s="273" t="s">
        <v>802</v>
      </c>
      <c r="C56" s="275">
        <f ca="1">1-C57</f>
        <v>0.38900000000000001</v>
      </c>
    </row>
    <row r="57" spans="1:7">
      <c r="B57" s="273" t="s">
        <v>803</v>
      </c>
      <c r="C57" s="274">
        <f ca="1">ROUND(C51/C52,3)</f>
        <v>0.61099999999999999</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8" t="str">
        <f>项目基本情况!B1</f>
        <v>北京市通州区经海五路1号院46号楼-1至6层5-101工业用房房地产抵押价值预评估</v>
      </c>
      <c r="C37" s="3488"/>
      <c r="D37" s="3488"/>
      <c r="E37" s="3488"/>
      <c r="F37" s="3488"/>
      <c r="G37" s="3488"/>
      <c r="H37" s="3488"/>
      <c r="I37" s="348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1689.9073000000001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4412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651209</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651209</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140</v>
      </c>
      <c r="F9" s="221"/>
      <c r="G9" s="226"/>
    </row>
    <row r="10" spans="1:8" s="214" customFormat="1" ht="13.5" customHeight="1">
      <c r="A10" s="779" t="s">
        <v>356</v>
      </c>
      <c r="B10" s="224" t="s">
        <v>1480</v>
      </c>
      <c r="C10" s="225">
        <f ca="1">ROUND(D10*E10,0)</f>
        <v>651209</v>
      </c>
      <c r="D10" s="845">
        <f ca="1">IF(B1="",'数据-汇总表'!E6,IF(INDIRECT("'数据-取费表'!c"&amp;$G$1)="住宅",INDIRECT("'数据-取费表'!s"&amp;$G$1),INDIRECT("'数据-取费表'!k"&amp;$G$1)+INDIRECT("'数据-取费表'!s"&amp;$G$1)))</f>
        <v>3830.64</v>
      </c>
      <c r="E10" s="225">
        <f>'数据-取费表'!B28</f>
        <v>170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766128</v>
      </c>
      <c r="D19" s="849">
        <f ca="1">D9+D10</f>
        <v>3830.64</v>
      </c>
      <c r="E19" s="211">
        <f>'数据-取费表'!B31</f>
        <v>200</v>
      </c>
      <c r="F19" s="231"/>
      <c r="G19" s="1856"/>
    </row>
    <row r="20" spans="1:7" s="214" customFormat="1" ht="13.5" customHeight="1">
      <c r="A20" s="255" t="s">
        <v>1574</v>
      </c>
      <c r="B20" s="210" t="s">
        <v>1575</v>
      </c>
      <c r="C20" s="232">
        <f ca="1">ROUND((C5+C19)*F20,0)</f>
        <v>28347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91001</v>
      </c>
      <c r="D22" s="235">
        <f ca="1">C26</f>
        <v>5.9999999999999995E-4</v>
      </c>
      <c r="E22" s="236" t="s">
        <v>1579</v>
      </c>
      <c r="F22" s="237">
        <f ca="1">'数据-取费表'!B40</f>
        <v>3.1300000000000001E-2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41404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48710</v>
      </c>
      <c r="D24" s="238"/>
      <c r="E24" s="238"/>
      <c r="F24" s="239"/>
      <c r="G24" s="240" t="s">
        <v>1586</v>
      </c>
    </row>
    <row r="25" spans="1:7" s="214" customFormat="1" ht="24">
      <c r="A25" s="780" t="s">
        <v>1476</v>
      </c>
      <c r="B25" s="215" t="s">
        <v>1587</v>
      </c>
      <c r="C25" s="1128">
        <f ca="1">ROUND(IF('数据-取费表'!B22&lt;=1,C20*F22*'数据-取费表'!B22/2,C20*(POWER((1+F22),'数据-取费表'!B22/2)-1)),0)</f>
        <v>887</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144568</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144568</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1817571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15111875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13407240</v>
      </c>
      <c r="D34" s="217"/>
      <c r="E34" s="220"/>
      <c r="F34" s="257"/>
      <c r="G34" s="219"/>
    </row>
    <row r="35" spans="1:7" ht="13.5" customHeight="1">
      <c r="A35" s="780" t="s">
        <v>351</v>
      </c>
      <c r="B35" s="215" t="s">
        <v>1527</v>
      </c>
      <c r="C35" s="220">
        <f ca="1">ROUND(C34*F35,0)</f>
        <v>670362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766128</v>
      </c>
      <c r="D37" s="217">
        <f ca="1">D19</f>
        <v>3830.64</v>
      </c>
      <c r="E37" s="249">
        <f>'数据-取费表'!B35</f>
        <v>200</v>
      </c>
      <c r="F37" s="259"/>
      <c r="G37" s="261"/>
    </row>
    <row r="38" spans="1:7" ht="13.5" customHeight="1">
      <c r="A38" s="780" t="s">
        <v>354</v>
      </c>
      <c r="B38" s="215" t="s">
        <v>1533</v>
      </c>
      <c r="C38" s="220">
        <f ca="1">ROUND(C34*F38,0)</f>
        <v>268145</v>
      </c>
      <c r="D38" s="220"/>
      <c r="E38" s="220"/>
      <c r="F38" s="259">
        <f>'数据-取费表'!B36</f>
        <v>0.02</v>
      </c>
      <c r="G38" s="219" t="s">
        <v>1528</v>
      </c>
    </row>
    <row r="39" spans="1:7" s="214" customFormat="1" ht="13.5" customHeight="1">
      <c r="A39" s="255" t="s">
        <v>1534</v>
      </c>
      <c r="B39" s="210" t="s">
        <v>1535</v>
      </c>
      <c r="C39" s="232">
        <f ca="1">ROUND(C33*F20,0)</f>
        <v>302238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482462</v>
      </c>
      <c r="D41" s="235">
        <f ca="1">C44</f>
        <v>5.9999999999999995E-4</v>
      </c>
      <c r="E41" s="236" t="s">
        <v>1539</v>
      </c>
      <c r="F41" s="237">
        <f ca="1">F22</f>
        <v>3.1300000000000001E-2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473002</v>
      </c>
      <c r="D42" s="238"/>
      <c r="E42" s="238"/>
      <c r="F42" s="239"/>
      <c r="G42" s="3671" t="s">
        <v>1591</v>
      </c>
    </row>
    <row r="43" spans="1:7" ht="13.5" customHeight="1">
      <c r="A43" s="780" t="s">
        <v>347</v>
      </c>
      <c r="B43" s="215" t="s">
        <v>1545</v>
      </c>
      <c r="C43" s="238">
        <f ca="1">ROUND(IF('数据-取费表'!B22&lt;=1,C39*F22*'数据-取费表'!B20/2,C39*(POWER((1+F22),'数据-取费表'!B20/2)-1)),0)</f>
        <v>9460</v>
      </c>
      <c r="D43" s="238"/>
      <c r="E43" s="238"/>
      <c r="F43" s="239"/>
      <c r="G43" s="3672"/>
    </row>
    <row r="44" spans="1:7" ht="13.5" customHeight="1">
      <c r="A44" s="780" t="s">
        <v>348</v>
      </c>
      <c r="B44" s="215" t="s">
        <v>1546</v>
      </c>
      <c r="C44" s="238">
        <f ca="1">ROUND(IF('数据-取费表'!B22&lt;=1,C40*F22*'数据-取费表'!B20/2,C40*(POWER((1+F22),'数据-取费表'!B20/2)-1)),4)</f>
        <v>5.9999999999999995E-4</v>
      </c>
      <c r="D44" s="238"/>
      <c r="E44" s="238"/>
      <c r="F44" s="239"/>
      <c r="G44" s="3673"/>
    </row>
    <row r="45" spans="1:7" s="214" customFormat="1" ht="13.5" customHeight="1">
      <c r="A45" s="255" t="s">
        <v>1547</v>
      </c>
      <c r="B45" s="244" t="s">
        <v>1513</v>
      </c>
      <c r="C45" s="245">
        <f ca="1">C46</f>
        <v>1541411</v>
      </c>
      <c r="D45" s="235">
        <f ca="1">C47</f>
        <v>2E-3</v>
      </c>
      <c r="E45" s="236" t="s">
        <v>1539</v>
      </c>
      <c r="F45" s="246">
        <f ca="1">F27</f>
        <v>0.1</v>
      </c>
      <c r="G45" s="247" t="s">
        <v>1548</v>
      </c>
    </row>
    <row r="46" spans="1:7" s="214" customFormat="1" ht="13.5" customHeight="1">
      <c r="A46" s="780" t="s">
        <v>346</v>
      </c>
      <c r="B46" s="248" t="s">
        <v>1549</v>
      </c>
      <c r="C46" s="249">
        <f ca="1">ROUND((C33+C39)*F27,0)</f>
        <v>1541411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18851877</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15081502</v>
      </c>
      <c r="D51" s="232"/>
      <c r="E51" s="232"/>
      <c r="F51" s="264"/>
      <c r="G51" s="234" t="s">
        <v>1560</v>
      </c>
    </row>
    <row r="52" spans="1:7" s="208" customFormat="1" ht="16.5" thickBot="1">
      <c r="A52" s="265" t="s">
        <v>1561</v>
      </c>
      <c r="B52" s="266"/>
      <c r="C52" s="267">
        <f ca="1">C31+C51</f>
        <v>16899073</v>
      </c>
      <c r="D52" s="266"/>
      <c r="E52" s="266"/>
      <c r="F52" s="266"/>
      <c r="G52" s="268"/>
    </row>
    <row r="55" spans="1:7" ht="15">
      <c r="B55" s="270" t="s">
        <v>1562</v>
      </c>
      <c r="C55" s="271"/>
    </row>
    <row r="56" spans="1:7">
      <c r="B56" s="273" t="s">
        <v>802</v>
      </c>
      <c r="C56" s="275">
        <f ca="1">1-C57</f>
        <v>0.10799999999999998</v>
      </c>
    </row>
    <row r="57" spans="1:7">
      <c r="B57" s="273" t="s">
        <v>803</v>
      </c>
      <c r="C57" s="274">
        <f ca="1">ROUND(C51/C52,3)</f>
        <v>0.89200000000000002</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3830.64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3830.64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140</v>
      </c>
      <c r="F19" s="804"/>
      <c r="G19" s="12"/>
      <c r="H19" s="1189"/>
      <c r="I19" s="809"/>
      <c r="J19" s="809"/>
      <c r="K19" s="810"/>
    </row>
    <row r="20" spans="1:33" s="803" customFormat="1" ht="13.5" customHeight="1">
      <c r="A20" s="800" t="s">
        <v>361</v>
      </c>
      <c r="B20" s="801" t="s">
        <v>1627</v>
      </c>
      <c r="C20" s="21">
        <f ca="1">ROUND(D20*E20/10000,0)</f>
        <v>65</v>
      </c>
      <c r="D20" s="846">
        <f ca="1">IF(C1="",'数据-汇总表'!E6,IF(INDIRECT("'数据-取费表'!c"&amp;$K$1)="住宅",INDIRECT("'数据-取费表'!s"&amp;$K$1),INDIRECT("'数据-取费表'!k"&amp;$K$1)+INDIRECT("'数据-取费表'!s"&amp;$K$1)))</f>
        <v>3830.64</v>
      </c>
      <c r="E20" s="21">
        <f>'数据-取费表'!B28</f>
        <v>170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3.1300000000000001E-2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42" activeCellId="1" sqref="E33 E4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3830.64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684</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Ⅵ-光机电</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3050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1786</v>
      </c>
      <c r="C3" s="1999" t="s">
        <v>1941</v>
      </c>
      <c r="D3" s="2000" t="s">
        <v>1942</v>
      </c>
      <c r="E3" s="3420" t="s">
        <v>2479</v>
      </c>
      <c r="F3" s="2004" t="s">
        <v>3467</v>
      </c>
      <c r="G3" s="752">
        <f>IF(F3="宗地容积率",'数据-汇总表'!I4,IF(F3="估价对象容积率",'数据-汇总表'!I6,'数据-汇总表'!I7))</f>
        <v>1.2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2404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681"/>
      <c r="B4" s="3682"/>
      <c r="C4" s="3682"/>
      <c r="D4" s="3683"/>
      <c r="E4" s="3683"/>
      <c r="F4" s="3683"/>
      <c r="G4" s="3683"/>
      <c r="H4" s="3683"/>
      <c r="I4" s="3683"/>
      <c r="J4" s="368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2032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2045</v>
      </c>
      <c r="D5" s="1339">
        <f>ROUND(C6*C17+C20,0)</f>
        <v>2045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1792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2120</v>
      </c>
      <c r="D6" s="2017"/>
      <c r="E6" s="2018"/>
      <c r="F6" s="2018"/>
      <c r="G6" s="2019"/>
      <c r="H6" s="2019"/>
      <c r="I6" s="2019"/>
      <c r="J6" s="2020"/>
      <c r="K6" s="1384"/>
      <c r="L6" s="2003" t="s">
        <v>1951</v>
      </c>
      <c r="M6" s="864">
        <f>SUMPRODUCT((区片价!B127:B189=I2)*(区片价!C3:G3=E2)*(区片价!C127:G189))</f>
        <v>2120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1722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1.2</v>
      </c>
      <c r="AA7" s="1216"/>
      <c r="AB7" s="1216"/>
      <c r="AC7" s="1217"/>
      <c r="AD7" s="1218"/>
      <c r="AE7" s="1218"/>
      <c r="AF7" s="1218"/>
      <c r="AG7" s="1218"/>
      <c r="AH7" s="1218"/>
      <c r="AI7" s="1218"/>
      <c r="AJ7" s="1219"/>
    </row>
    <row r="8" spans="1:36" ht="25.5">
      <c r="A8" s="3299"/>
      <c r="B8" s="170" t="s">
        <v>1957</v>
      </c>
      <c r="C8" s="2026" t="s">
        <v>3468</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78" t="s">
        <v>1960</v>
      </c>
      <c r="X8" s="367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80"/>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8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85" t="s">
        <v>3254</v>
      </c>
      <c r="B20" s="167" t="s">
        <v>1994</v>
      </c>
      <c r="C20" s="3325">
        <f>ROUND(IF(F21="与级别开发程度一致",0,(G21-E21)/C21),0)</f>
        <v>-75</v>
      </c>
      <c r="D20" s="3341" t="s">
        <v>1998</v>
      </c>
      <c r="E20" s="3342"/>
      <c r="F20" s="3691" t="s">
        <v>1995</v>
      </c>
      <c r="G20" s="3692"/>
      <c r="H20" s="3326" t="s">
        <v>3471</v>
      </c>
      <c r="I20" s="3326" t="s">
        <v>3470</v>
      </c>
      <c r="J20" s="3327" t="s">
        <v>3472</v>
      </c>
      <c r="K20" s="2047" t="s">
        <v>3473</v>
      </c>
      <c r="L20" s="2047" t="s">
        <v>3474</v>
      </c>
      <c r="M20" s="2047" t="s">
        <v>3475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86"/>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3469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1.093</v>
      </c>
      <c r="D23" s="2054" t="s">
        <v>2002</v>
      </c>
      <c r="E23" s="761">
        <v>44197</v>
      </c>
      <c r="F23" s="2054" t="s">
        <v>2003</v>
      </c>
      <c r="G23" s="762">
        <f>'数据-取费表'!B2</f>
        <v>45902</v>
      </c>
      <c r="H23" s="3343" t="s">
        <v>3477</v>
      </c>
      <c r="I23" s="3344" t="str">
        <f>IF(H23="季度增幅（自定义）",SUMIF(N25:N28,E2,O25:O28),"")</f>
        <v/>
      </c>
      <c r="J23" s="3446" t="s">
        <v>3478</v>
      </c>
      <c r="K23" s="1125"/>
      <c r="L23" s="2055" t="s">
        <v>2004</v>
      </c>
      <c r="M23" s="1328">
        <f>ROUND(SUMIF(地价!B2:G2,E2,地价!B16:G16),0)</f>
        <v>318</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0.89390000000000003</v>
      </c>
      <c r="D24" s="2060" t="s">
        <v>2007</v>
      </c>
      <c r="E24" s="1335">
        <f>存贷款利率!E28/100</f>
        <v>4.3499999999999997E-2</v>
      </c>
      <c r="F24" s="2060" t="s">
        <v>1999</v>
      </c>
      <c r="G24" s="768">
        <f>SUMIF(M30:Q30,E2,M33:Q33)</f>
        <v>0.05</v>
      </c>
      <c r="H24" s="2060" t="s">
        <v>2008</v>
      </c>
      <c r="I24" s="769">
        <f>SUMIF('数据-取费表'!C6:C15,E2,'数据-取费表'!F6:F15)/COUNTIF('数据-取费表'!C6:C15,E2)</f>
        <v>34.69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1</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1.0165</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684</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2031</v>
      </c>
      <c r="D33" s="2098">
        <f>'数据-基础表'!I13</f>
        <v>3281.85</v>
      </c>
      <c r="E33" s="773">
        <f>ROUND(C33*D33/10000,0)</f>
        <v>667</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305</v>
      </c>
      <c r="D34" s="2103"/>
      <c r="E34" s="773">
        <f>ROUND(IF(B25="楼层修正",SUM(V2:V16)*M40,C34*D34/10000),0)</f>
        <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f ca="1">'数据-取费表'!B40</f>
        <v>3.1300000000000001E-2</v>
      </c>
      <c r="M36" s="3358">
        <f ca="1">ROUND($L$36*(1+M31),3)</f>
        <v>3.9E-2</v>
      </c>
      <c r="N36" s="3358">
        <f ca="1">ROUND($L$36*(1+N31),3)</f>
        <v>3.7999999999999999E-2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89"/>
      <c r="B37" s="2113" t="s">
        <v>2036</v>
      </c>
      <c r="C37" s="175">
        <f>ROUND(D5*C22*C23*C24*C28*F37,0)</f>
        <v>1219</v>
      </c>
      <c r="D37" s="2098"/>
      <c r="E37" s="171">
        <f>ROUND(C37*D37/10000,0)</f>
        <v>0</v>
      </c>
      <c r="F37" s="171">
        <f>SUMIF(修正!A59:A70,G2,修正!B59:B70)</f>
        <v>0.6</v>
      </c>
      <c r="G37" s="171">
        <f>ROUND(IF(E2="工业",C37*$M$42,C37*$M$41),0)</f>
        <v>183</v>
      </c>
      <c r="H37" s="171">
        <f>D37</f>
        <v>0</v>
      </c>
      <c r="I37" s="171">
        <f>ROUND(G37*H37/10000,0)</f>
        <v>0</v>
      </c>
      <c r="J37" s="3012"/>
      <c r="K37" s="3359" t="s">
        <v>3264</v>
      </c>
      <c r="L37" s="3357">
        <f ca="1">L36+K38</f>
        <v>3.6299999999999999E-2</v>
      </c>
      <c r="M37" s="3358">
        <f ca="1">ROUND($L$37*(1+M31),3)</f>
        <v>4.4999999999999998E-2</v>
      </c>
      <c r="N37" s="3358">
        <f t="shared" ref="N37:Q37" ca="1" si="3">ROUND($L$37*(1+N31),3)</f>
        <v>4.3999999999999997E-2</v>
      </c>
      <c r="O37" s="3358">
        <f t="shared" ca="1" si="3"/>
        <v>4.2000000000000003E-2</v>
      </c>
      <c r="P37" s="3358">
        <f t="shared" ca="1" si="3"/>
        <v>0.04</v>
      </c>
      <c r="Q37" s="3358">
        <f t="shared" ca="1" si="3"/>
        <v>4.2000000000000003E-2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90"/>
      <c r="B38" s="2041" t="s">
        <v>2037</v>
      </c>
      <c r="C38" s="175">
        <f>ROUND(D5*C22*C23*C24*C28*F38,0)</f>
        <v>609</v>
      </c>
      <c r="D38" s="2098"/>
      <c r="E38" s="171">
        <f t="shared" ref="E38:E42" si="4">ROUND(C38*D38/10000,0)</f>
        <v>0</v>
      </c>
      <c r="F38" s="171">
        <f>SUMIF(修正!A59:A70,G2,修正!C59:C70)</f>
        <v>0.3</v>
      </c>
      <c r="G38" s="171">
        <f>ROUND(IF(E2="工业",C38*$M$42,C38*$M$41),0)</f>
        <v>91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90"/>
      <c r="B39" s="2041" t="s">
        <v>3257</v>
      </c>
      <c r="C39" s="175">
        <f>ROUND(D5*C22*C23*C24*C28*F39,0)</f>
        <v>508</v>
      </c>
      <c r="D39" s="2098"/>
      <c r="E39" s="171">
        <f t="shared" si="4"/>
        <v>0</v>
      </c>
      <c r="F39" s="171">
        <f>SUMIF(修正!A59:A70,G2,修正!D59:D70)</f>
        <v>0.25</v>
      </c>
      <c r="G39" s="171">
        <f>ROUND(IF(E2="工业",C39*$M$42,C39*$M$41),0)</f>
        <v>76</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508</v>
      </c>
      <c r="D40" s="2098"/>
      <c r="E40" s="171">
        <f t="shared" si="4"/>
        <v>0</v>
      </c>
      <c r="F40" s="175">
        <f>SUMIF(修正!A59:A70,G2,修正!E59:E70)</f>
        <v>0.25</v>
      </c>
      <c r="G40" s="171">
        <f>ROUND(IF(E2="工业",C40*$M$42,C40*$M$41),0)</f>
        <v>76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508</v>
      </c>
      <c r="D41" s="2098"/>
      <c r="E41" s="171">
        <f t="shared" si="4"/>
        <v>0</v>
      </c>
      <c r="F41" s="175">
        <f>SUMIF(修正!A59:A70,G2,修正!F59:F70)</f>
        <v>0.25</v>
      </c>
      <c r="G41" s="171">
        <f>ROUND(IF(E2="工业",C41*$M$42,C41*$M$41),0)</f>
        <v>76</v>
      </c>
      <c r="H41" s="171">
        <f t="shared" si="5"/>
        <v>0</v>
      </c>
      <c r="I41" s="171">
        <f t="shared" si="6"/>
        <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305</v>
      </c>
      <c r="D42" s="2103">
        <f>'数据-基础表'!K13</f>
        <v>548.79</v>
      </c>
      <c r="E42" s="187">
        <f t="shared" si="4"/>
        <v>17</v>
      </c>
      <c r="F42" s="767">
        <f>SUMIF(修正!A59:A70,G2,修正!G59:G70)</f>
        <v>0.15</v>
      </c>
      <c r="G42" s="187">
        <f>ROUND(IF(E2="工业",C42*$M$42,C42*$M$41),0)</f>
        <v>46</v>
      </c>
      <c r="H42" s="187">
        <f t="shared" si="5"/>
        <v>548.79</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0.89390000000000003</v>
      </c>
      <c r="D44" s="171" t="s">
        <v>1999</v>
      </c>
      <c r="E44" s="2153">
        <f>G24</f>
        <v>0.05</v>
      </c>
      <c r="F44" s="171" t="s">
        <v>2008</v>
      </c>
      <c r="G44" s="183">
        <f>项目基本情况!H15</f>
        <v>34.69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1.0165</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3461</v>
      </c>
      <c r="D83" s="1065">
        <f t="shared" ref="D83:D90" si="22">SUMIF($J$82:$N$82,C83,J83:N83)</f>
        <v>6.4999999999999997E-3</v>
      </c>
      <c r="E83" s="744">
        <f>ROUND(SUM(D83:D90),4)</f>
        <v>1.6500000000000001E-2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3461</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3268</v>
      </c>
      <c r="B85" s="2134">
        <f>估价对象房地状况!G17</f>
        <v>0</v>
      </c>
      <c r="C85" s="2044" t="s">
        <v>3461</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3476</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3461</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3476</v>
      </c>
      <c r="D88" s="1065">
        <f t="shared" si="22"/>
        <v>-3.0000000000000001E-3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3461</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3461</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3271</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3267</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3272</v>
      </c>
      <c r="B96" s="3385" t="s">
        <v>3283</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3273</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3274</v>
      </c>
      <c r="B98" s="3386" t="s">
        <v>3284</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3275</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3276</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3277</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87" t="s">
        <v>3292</v>
      </c>
      <c r="B103" s="3687"/>
      <c r="C103" s="3687"/>
      <c r="D103" s="3687"/>
      <c r="E103" s="3687"/>
      <c r="F103" s="3687"/>
      <c r="G103" s="3687"/>
      <c r="H103" s="3687"/>
      <c r="I103" s="3687"/>
      <c r="J103" s="3687"/>
      <c r="K103" s="3390"/>
      <c r="L103" s="3390"/>
      <c r="M103" s="3390"/>
      <c r="N103" s="3390"/>
    </row>
    <row r="104" spans="1:14">
      <c r="A104" s="3688" t="s">
        <v>3293</v>
      </c>
      <c r="B104" s="3688" t="s">
        <v>3294</v>
      </c>
      <c r="C104" s="3391" t="s">
        <v>3295</v>
      </c>
      <c r="D104" s="3392"/>
      <c r="E104" s="3392"/>
      <c r="F104" s="3392"/>
      <c r="G104" s="3392"/>
      <c r="H104" s="3392"/>
      <c r="I104" s="3392"/>
      <c r="J104" s="3393"/>
      <c r="K104" s="3394"/>
      <c r="L104" s="3394"/>
      <c r="M104" s="3394"/>
      <c r="N104" s="3394"/>
    </row>
    <row r="105" spans="1:14">
      <c r="A105" s="3688"/>
      <c r="B105" s="3688"/>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674"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7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7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7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7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75"/>
      <c r="B111" s="3395" t="s">
        <v>3266</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7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77" t="s">
        <v>3309</v>
      </c>
      <c r="B113" s="3677"/>
      <c r="C113" s="3677"/>
      <c r="D113" s="3677"/>
      <c r="E113" s="3677"/>
      <c r="F113" s="3677"/>
      <c r="G113" s="3677"/>
      <c r="H113" s="3677"/>
      <c r="I113" s="3677"/>
      <c r="J113" s="367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1.2</v>
      </c>
      <c r="C116" s="3400" t="s">
        <v>3311</v>
      </c>
      <c r="D116" s="3401">
        <f>SUMPRODUCT((A118:A122=F116)*(B117:M117=H116)*B118:M122)</f>
        <v>0.63959999999999995</v>
      </c>
      <c r="E116" s="2000" t="s">
        <v>3312</v>
      </c>
      <c r="F116" s="3402" t="str">
        <f>E2</f>
        <v>工业</v>
      </c>
      <c r="G116" s="2000" t="s">
        <v>3313</v>
      </c>
      <c r="H116" s="3402" t="str">
        <f>G2</f>
        <v>六级</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0.98360000000000003</v>
      </c>
      <c r="C118" s="3388">
        <f>B118</f>
        <v>0.98360000000000003</v>
      </c>
      <c r="D118" s="3388">
        <f>ROUND(0.949-0.014*B116,4)</f>
        <v>0.93220000000000003</v>
      </c>
      <c r="E118" s="3388">
        <f>D118</f>
        <v>0.93220000000000003</v>
      </c>
      <c r="F118" s="3388">
        <f>E118</f>
        <v>0.93220000000000003</v>
      </c>
      <c r="G118" s="3388">
        <f>F118</f>
        <v>0.93220000000000003</v>
      </c>
      <c r="H118" s="3388">
        <f>G118</f>
        <v>0.93220000000000003</v>
      </c>
      <c r="I118" s="3388">
        <f>ROUND(0.8486-0.018*B116,4)</f>
        <v>0.82699999999999996</v>
      </c>
      <c r="J118" s="3388">
        <f t="shared" ref="J118:M122" si="36">I118</f>
        <v>0.82699999999999996</v>
      </c>
      <c r="K118" s="3388">
        <f t="shared" si="36"/>
        <v>0.82699999999999996</v>
      </c>
      <c r="L118" s="3388">
        <f t="shared" si="36"/>
        <v>0.82699999999999996</v>
      </c>
      <c r="M118" s="3411">
        <f t="shared" si="36"/>
        <v>0.82699999999999996</v>
      </c>
      <c r="N118" s="3398"/>
    </row>
    <row r="119" spans="1:14">
      <c r="A119" s="3410" t="s">
        <v>3327</v>
      </c>
      <c r="B119" s="3388">
        <f>ROUND(0.993-0.0112*B116,4)</f>
        <v>0.97960000000000003</v>
      </c>
      <c r="C119" s="3388">
        <f>B119</f>
        <v>0.97960000000000003</v>
      </c>
      <c r="D119" s="3388">
        <f>ROUND(0.9415-0.0142*B116,4)</f>
        <v>0.92449999999999999</v>
      </c>
      <c r="E119" s="3388">
        <f t="shared" ref="E119:H120" si="37">D119</f>
        <v>0.92449999999999999</v>
      </c>
      <c r="F119" s="3388">
        <f t="shared" si="37"/>
        <v>0.92449999999999999</v>
      </c>
      <c r="G119" s="3388">
        <f t="shared" si="37"/>
        <v>0.92449999999999999</v>
      </c>
      <c r="H119" s="3388">
        <f t="shared" si="37"/>
        <v>0.92449999999999999</v>
      </c>
      <c r="I119" s="3388">
        <f>ROUND(0.838-0.0182*B116,4)</f>
        <v>0.81620000000000004</v>
      </c>
      <c r="J119" s="3388">
        <f t="shared" si="36"/>
        <v>0.81620000000000004</v>
      </c>
      <c r="K119" s="3388">
        <f t="shared" si="36"/>
        <v>0.81620000000000004</v>
      </c>
      <c r="L119" s="3388">
        <f t="shared" si="36"/>
        <v>0.81620000000000004</v>
      </c>
      <c r="M119" s="3411">
        <f t="shared" si="36"/>
        <v>0.81620000000000004</v>
      </c>
      <c r="N119" s="3398"/>
    </row>
    <row r="120" spans="1:14">
      <c r="A120" s="3410" t="s">
        <v>3328</v>
      </c>
      <c r="B120" s="3388">
        <f>ROUND(0.9448-0.0115*B116,4)</f>
        <v>0.93100000000000005</v>
      </c>
      <c r="C120" s="3388">
        <f>B120</f>
        <v>0.93100000000000005</v>
      </c>
      <c r="D120" s="3388">
        <f>ROUND(0.937-0.0145*B116,4)</f>
        <v>0.91959999999999997</v>
      </c>
      <c r="E120" s="3388">
        <f t="shared" si="37"/>
        <v>0.91959999999999997</v>
      </c>
      <c r="F120" s="3388">
        <f t="shared" si="37"/>
        <v>0.91959999999999997</v>
      </c>
      <c r="G120" s="3388">
        <f t="shared" si="37"/>
        <v>0.91959999999999997</v>
      </c>
      <c r="H120" s="3388">
        <f t="shared" si="37"/>
        <v>0.91959999999999997</v>
      </c>
      <c r="I120" s="3388">
        <f>ROUND(0.7965-0.0185*B116,4)</f>
        <v>0.77429999999999999</v>
      </c>
      <c r="J120" s="3388">
        <f t="shared" si="36"/>
        <v>0.77429999999999999</v>
      </c>
      <c r="K120" s="3388">
        <f t="shared" si="36"/>
        <v>0.77429999999999999</v>
      </c>
      <c r="L120" s="3388">
        <f t="shared" si="36"/>
        <v>0.77429999999999999</v>
      </c>
      <c r="M120" s="3411">
        <f t="shared" si="36"/>
        <v>0.77429999999999999</v>
      </c>
      <c r="N120" s="3398"/>
    </row>
    <row r="121" spans="1:14" ht="13.5" thickBot="1">
      <c r="A121" s="3412" t="s">
        <v>3329</v>
      </c>
      <c r="B121" s="3413">
        <f>ROUND(0.7836-0.012*B116,4)</f>
        <v>0.76919999999999999</v>
      </c>
      <c r="C121" s="3413">
        <f>B121</f>
        <v>0.76919999999999999</v>
      </c>
      <c r="D121" s="3413">
        <f>ROUND(0.753-0.015*B116,4)</f>
        <v>0.73499999999999999</v>
      </c>
      <c r="E121" s="3413">
        <f>D121</f>
        <v>0.73499999999999999</v>
      </c>
      <c r="F121" s="3413">
        <f>E121</f>
        <v>0.73499999999999999</v>
      </c>
      <c r="G121" s="3413">
        <f>ROUND(0.6612-0.018*B116,4)</f>
        <v>0.63959999999999995</v>
      </c>
      <c r="H121" s="3413">
        <f>G121</f>
        <v>0.63959999999999995</v>
      </c>
      <c r="I121" s="3413">
        <f>ROUND(0.5905-0.019*B116,4)</f>
        <v>0.56769999999999998</v>
      </c>
      <c r="J121" s="3413">
        <f t="shared" si="36"/>
        <v>0.56769999999999998</v>
      </c>
      <c r="K121" s="3413">
        <f t="shared" si="36"/>
        <v>0.56769999999999998</v>
      </c>
      <c r="L121" s="3413">
        <f t="shared" si="36"/>
        <v>0.56769999999999998</v>
      </c>
      <c r="M121" s="3414">
        <f t="shared" si="36"/>
        <v>0.56769999999999998</v>
      </c>
      <c r="N121" s="3398"/>
    </row>
    <row r="122" spans="1:14">
      <c r="A122" s="3415" t="s">
        <v>2612</v>
      </c>
      <c r="B122" s="3388">
        <f>ROUND(0.9404-0.0106*B116,4)</f>
        <v>0.92769999999999997</v>
      </c>
      <c r="C122" s="3388">
        <f>B122</f>
        <v>0.92769999999999997</v>
      </c>
      <c r="D122" s="3388">
        <f>ROUND(0.8955-0.0135*B116,4)</f>
        <v>0.87929999999999997</v>
      </c>
      <c r="E122" s="3388">
        <f t="shared" ref="E122:H122" si="38">D122</f>
        <v>0.87929999999999997</v>
      </c>
      <c r="F122" s="3388">
        <f t="shared" si="38"/>
        <v>0.87929999999999997</v>
      </c>
      <c r="G122" s="3388">
        <f t="shared" si="38"/>
        <v>0.87929999999999997</v>
      </c>
      <c r="H122" s="3388">
        <f t="shared" si="38"/>
        <v>0.87929999999999997</v>
      </c>
      <c r="I122" s="3388">
        <f>ROUND(0.7632-0.0166*B116,4)</f>
        <v>0.74329999999999996</v>
      </c>
      <c r="J122" s="3388">
        <f t="shared" si="36"/>
        <v>0.74329999999999996</v>
      </c>
      <c r="K122" s="3388">
        <f t="shared" si="36"/>
        <v>0.74329999999999996</v>
      </c>
      <c r="L122" s="3388">
        <f t="shared" si="36"/>
        <v>0.74329999999999996</v>
      </c>
      <c r="M122" s="3411">
        <f t="shared" si="36"/>
        <v>0.74329999999999996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6" zoomScale="90" zoomScaleNormal="60" zoomScaleSheetLayoutView="90" workbookViewId="0">
      <selection activeCell="G17" sqref="G1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3434</v>
      </c>
      <c r="F1" s="1879" t="s">
        <v>3435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5102.0294000000004</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13319</v>
      </c>
      <c r="C3" s="354" t="s">
        <v>1768</v>
      </c>
      <c r="D3" s="353">
        <f>IF(D1="",'数据-汇总表'!E3,SUMIF('数据-汇总表'!$C19:$C33,D1,'数据-汇总表'!$E19:$E33))</f>
        <v>3830.64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04" t="s">
        <v>3436</v>
      </c>
      <c r="D5" s="3705"/>
      <c r="E5" s="3702" t="s">
        <v>3504</v>
      </c>
      <c r="F5" s="3703"/>
      <c r="G5" s="3704" t="s">
        <v>3506</v>
      </c>
      <c r="H5" s="3705"/>
      <c r="I5" s="3704" t="s">
        <v>3507</v>
      </c>
      <c r="J5" s="3705"/>
      <c r="K5" s="559"/>
      <c r="L5" s="913"/>
      <c r="M5" s="914"/>
      <c r="N5" s="914"/>
      <c r="O5" s="914"/>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913"/>
      <c r="M6" s="914"/>
      <c r="N6" s="914"/>
      <c r="O6" s="914"/>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45902</v>
      </c>
      <c r="D7" s="365">
        <v>100</v>
      </c>
      <c r="E7" s="366">
        <f>C7</f>
        <v>45902</v>
      </c>
      <c r="F7" s="367">
        <f>SUMIF(52:52,YEAR(E7)&amp;"-"&amp;MONTH(E7),53:53)</f>
        <v>100</v>
      </c>
      <c r="G7" s="366">
        <f>C7</f>
        <v>45902</v>
      </c>
      <c r="H7" s="365">
        <f>SUMIF(52:52,YEAR(G7)&amp;"-"&amp;MONTH(G7),53:53)</f>
        <v>100</v>
      </c>
      <c r="I7" s="366">
        <f>C7</f>
        <v>45902</v>
      </c>
      <c r="J7" s="365">
        <f>SUMIF(52:52,YEAR(I7)&amp;"-"&amp;MONTH(I7),53:53)</f>
        <v>100</v>
      </c>
      <c r="K7" s="560"/>
      <c r="L7" s="915"/>
      <c r="M7" s="916"/>
      <c r="N7" s="916"/>
      <c r="O7" s="916"/>
      <c r="P7" s="3696" t="s">
        <v>1680</v>
      </c>
      <c r="Q7" s="3724"/>
      <c r="R7" s="701" t="s">
        <v>14</v>
      </c>
      <c r="S7" s="702">
        <f t="shared" ref="S7:S15" si="0">F7</f>
        <v>100</v>
      </c>
      <c r="T7" s="701" t="s">
        <v>14</v>
      </c>
      <c r="U7" s="702">
        <f t="shared" ref="U7:U15" si="1">H7</f>
        <v>100</v>
      </c>
      <c r="V7" s="701" t="s">
        <v>14</v>
      </c>
      <c r="W7" s="702">
        <f t="shared" ref="W7:W15" si="2">J7</f>
        <v>100</v>
      </c>
      <c r="X7" s="703"/>
      <c r="Y7" s="3696" t="s">
        <v>1680</v>
      </c>
      <c r="Z7" s="3697"/>
      <c r="AA7" s="704">
        <f>D7/F7</f>
        <v>1</v>
      </c>
      <c r="AB7" s="704">
        <f>D7/H7</f>
        <v>1</v>
      </c>
      <c r="AC7" s="704">
        <f>D7/J7</f>
        <v>1</v>
      </c>
    </row>
    <row r="8" spans="1:29" s="108" customFormat="1" ht="15.75" thickBot="1">
      <c r="A8" s="362" t="s">
        <v>1681</v>
      </c>
      <c r="B8" s="363"/>
      <c r="C8" s="368" t="s">
        <v>3437</v>
      </c>
      <c r="D8" s="365">
        <v>100</v>
      </c>
      <c r="E8" s="368" t="s">
        <v>3444</v>
      </c>
      <c r="F8" s="367">
        <f>SUMIF(55:55,E8,56:56)-SUMIF(55:55,C8,56:56)+100</f>
        <v>108</v>
      </c>
      <c r="G8" s="368" t="s">
        <v>3444</v>
      </c>
      <c r="H8" s="365">
        <f>SUMIF(55:55,G8,56:56)-SUMIF(55:55,C8,56:56)+100</f>
        <v>108</v>
      </c>
      <c r="I8" s="368" t="s">
        <v>3444</v>
      </c>
      <c r="J8" s="365">
        <f>SUMIF(55:55,I8,56:56)-SUMIF(55:55,C8,56:56)+100</f>
        <v>108</v>
      </c>
      <c r="K8" s="560"/>
      <c r="L8" s="915"/>
      <c r="M8" s="916"/>
      <c r="N8" s="916"/>
      <c r="O8" s="916"/>
      <c r="P8" s="3696" t="s">
        <v>1683</v>
      </c>
      <c r="Q8" s="3697"/>
      <c r="R8" s="701" t="s">
        <v>14</v>
      </c>
      <c r="S8" s="702">
        <f t="shared" si="0"/>
        <v>108</v>
      </c>
      <c r="T8" s="701" t="s">
        <v>14</v>
      </c>
      <c r="U8" s="702">
        <f t="shared" si="1"/>
        <v>108</v>
      </c>
      <c r="V8" s="701" t="s">
        <v>14</v>
      </c>
      <c r="W8" s="702">
        <f t="shared" si="2"/>
        <v>108</v>
      </c>
      <c r="X8" s="703"/>
      <c r="Y8" s="3696" t="s">
        <v>1683</v>
      </c>
      <c r="Z8" s="3697"/>
      <c r="AA8" s="704">
        <f t="shared" ref="AA8:AA40" si="3">D8/F8</f>
        <v>0.92592592592592593</v>
      </c>
      <c r="AB8" s="704">
        <f t="shared" ref="AB8:AB40" si="4">D8/H8</f>
        <v>0.92592592592592593</v>
      </c>
      <c r="AC8" s="704">
        <f t="shared" ref="AC8:AC40" si="5">D8/J8</f>
        <v>0.92592592592592593</v>
      </c>
    </row>
    <row r="9" spans="1:29" s="108" customFormat="1">
      <c r="A9" s="369" t="s">
        <v>1684</v>
      </c>
      <c r="B9" s="63" t="s">
        <v>1685</v>
      </c>
      <c r="C9" s="3479" t="s">
        <v>3438</v>
      </c>
      <c r="D9" s="126">
        <v>100</v>
      </c>
      <c r="E9" s="373" t="s">
        <v>3</v>
      </c>
      <c r="F9" s="126">
        <f>SUMIF(57:57,E9,58:58)-SUMIF(57:57,C9,58:58)+100</f>
        <v>100</v>
      </c>
      <c r="G9" s="373" t="s">
        <v>3</v>
      </c>
      <c r="H9" s="126">
        <f>SUMIF(57:57,G9,58:58)-SUMIF(57:57,C9,58:58)+100</f>
        <v>100</v>
      </c>
      <c r="I9" s="373" t="s">
        <v>3</v>
      </c>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4" t="str">
        <f>D59</f>
        <v>40（含）-30</v>
      </c>
      <c r="D10" s="127">
        <v>100</v>
      </c>
      <c r="E10" s="3434" t="str">
        <f>D59</f>
        <v>40（含）-30</v>
      </c>
      <c r="F10" s="127">
        <f>SUMIF(59:59,E10,60:60)-SUMIF(59:59,C10,60:60)+100</f>
        <v>100</v>
      </c>
      <c r="G10" s="3435" t="str">
        <f>E59</f>
        <v>30（含）-20</v>
      </c>
      <c r="H10" s="127">
        <f>SUMIF(59:59,G10,60:60)-SUMIF(59:59,C10,60:60)+100</f>
        <v>98</v>
      </c>
      <c r="I10" s="3434" t="str">
        <f>D59</f>
        <v>40（含）-30</v>
      </c>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98</v>
      </c>
      <c r="V10" s="701" t="s">
        <v>14</v>
      </c>
      <c r="W10" s="702">
        <f t="shared" si="2"/>
        <v>100</v>
      </c>
      <c r="X10" s="703"/>
      <c r="Y10" s="3647"/>
      <c r="Z10" s="52" t="str">
        <f t="shared" si="7"/>
        <v>土地使用年限（年）</v>
      </c>
      <c r="AA10" s="704">
        <f t="shared" si="3"/>
        <v>1</v>
      </c>
      <c r="AB10" s="704">
        <f t="shared" si="4"/>
        <v>1.0204081632653061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v>2</v>
      </c>
      <c r="L15" s="923"/>
      <c r="M15" s="914"/>
      <c r="N15" s="914"/>
      <c r="O15" s="922"/>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397"/>
      <c r="C16" s="398" t="s">
        <v>3461</v>
      </c>
      <c r="D16" s="399"/>
      <c r="E16" s="398" t="s">
        <v>3461</v>
      </c>
      <c r="F16" s="400"/>
      <c r="G16" s="398" t="s">
        <v>3461</v>
      </c>
      <c r="H16" s="401"/>
      <c r="I16" s="398" t="s">
        <v>3461</v>
      </c>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98</v>
      </c>
      <c r="G17" s="405"/>
      <c r="H17" s="406">
        <f>SUMIF(72:72,G18,73:73)-SUMIF(72:72,C18,73:73)+100</f>
        <v>100</v>
      </c>
      <c r="I17" s="403"/>
      <c r="J17" s="406">
        <f>SUMIF(72:72,I18,73:73)-SUMIF(72:72,C18,73:73)+100</f>
        <v>100</v>
      </c>
      <c r="K17" s="563">
        <v>2</v>
      </c>
      <c r="L17" s="923"/>
      <c r="M17" s="914"/>
      <c r="N17" s="914"/>
      <c r="O17" s="922"/>
      <c r="P17" s="3726"/>
      <c r="Q17" s="1352" t="str">
        <f>B17</f>
        <v>交通便捷度</v>
      </c>
      <c r="R17" s="705" t="s">
        <v>14</v>
      </c>
      <c r="S17" s="706">
        <f>F17</f>
        <v>98</v>
      </c>
      <c r="T17" s="705" t="s">
        <v>14</v>
      </c>
      <c r="U17" s="706">
        <f>H17</f>
        <v>100</v>
      </c>
      <c r="V17" s="705" t="s">
        <v>14</v>
      </c>
      <c r="W17" s="706">
        <f>J17</f>
        <v>100</v>
      </c>
      <c r="X17" s="1355"/>
      <c r="Y17" s="3726"/>
      <c r="Z17" s="1356" t="str">
        <f>Q17</f>
        <v>交通便捷度</v>
      </c>
      <c r="AA17" s="1353">
        <f t="shared" si="3"/>
        <v>1.0204081632653061</v>
      </c>
      <c r="AB17" s="1353">
        <f t="shared" si="4"/>
        <v>1</v>
      </c>
      <c r="AC17" s="1353">
        <f t="shared" si="5"/>
        <v>1</v>
      </c>
    </row>
    <row r="18" spans="1:29" ht="15">
      <c r="A18" s="379"/>
      <c r="B18" s="407"/>
      <c r="C18" s="1901" t="s">
        <v>3461</v>
      </c>
      <c r="D18" s="401"/>
      <c r="E18" s="1901" t="s">
        <v>3512</v>
      </c>
      <c r="F18" s="404"/>
      <c r="G18" s="1901" t="s">
        <v>3461</v>
      </c>
      <c r="H18" s="399"/>
      <c r="I18" s="1901" t="s">
        <v>3461</v>
      </c>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v>2</v>
      </c>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t="s">
        <v>3461</v>
      </c>
      <c r="D20" s="399"/>
      <c r="E20" s="398" t="s">
        <v>3461</v>
      </c>
      <c r="F20" s="400"/>
      <c r="G20" s="398" t="s">
        <v>3461</v>
      </c>
      <c r="H20" s="399"/>
      <c r="I20" s="398" t="s">
        <v>3461</v>
      </c>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v>1</v>
      </c>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t="s">
        <v>3453</v>
      </c>
      <c r="D22" s="399"/>
      <c r="E22" s="1901" t="s">
        <v>3453</v>
      </c>
      <c r="F22" s="400"/>
      <c r="G22" s="1901" t="s">
        <v>3453</v>
      </c>
      <c r="H22" s="399"/>
      <c r="I22" s="1901" t="s">
        <v>3453</v>
      </c>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v>2</v>
      </c>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t="s">
        <v>3461</v>
      </c>
      <c r="D24" s="399"/>
      <c r="E24" s="398" t="s">
        <v>3461</v>
      </c>
      <c r="F24" s="400"/>
      <c r="G24" s="398" t="s">
        <v>3461</v>
      </c>
      <c r="H24" s="399"/>
      <c r="I24" s="398" t="s">
        <v>3461</v>
      </c>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28.5">
      <c r="A29" s="417" t="s">
        <v>1694</v>
      </c>
      <c r="B29" s="63" t="s">
        <v>1817</v>
      </c>
      <c r="C29" s="1967" t="s">
        <v>3446</v>
      </c>
      <c r="D29" s="418">
        <v>100</v>
      </c>
      <c r="E29" s="1967" t="s">
        <v>3446</v>
      </c>
      <c r="F29" s="412">
        <f>SUMIF(88:88,E29,89:89)-SUMIF(88:88,C29,89:89)+100</f>
        <v>100</v>
      </c>
      <c r="G29" s="1967" t="s">
        <v>3446</v>
      </c>
      <c r="H29" s="386">
        <f>SUMIF(88:88,G29,89:89)-SUMIF(88:88,C29,89:89)+100</f>
        <v>100</v>
      </c>
      <c r="I29" s="1967" t="s">
        <v>3446</v>
      </c>
      <c r="J29" s="418">
        <f>SUMIF(88:88,I29,89:89)-SUMIF(88:88,C29,89:89)+100</f>
        <v>100</v>
      </c>
      <c r="K29" s="561">
        <v>2</v>
      </c>
      <c r="L29" s="923"/>
      <c r="M29" s="914"/>
      <c r="N29" s="914"/>
      <c r="O29" s="922"/>
      <c r="P29" s="3727" t="s">
        <v>1696</v>
      </c>
      <c r="Q29" s="1352" t="str">
        <f t="shared" si="11"/>
        <v>建筑类型</v>
      </c>
      <c r="R29" s="705" t="s">
        <v>14</v>
      </c>
      <c r="S29" s="706">
        <f t="shared" si="12"/>
        <v>100</v>
      </c>
      <c r="T29" s="705" t="s">
        <v>14</v>
      </c>
      <c r="U29" s="706">
        <f t="shared" si="13"/>
        <v>100</v>
      </c>
      <c r="V29" s="705" t="s">
        <v>14</v>
      </c>
      <c r="W29" s="706">
        <f t="shared" si="14"/>
        <v>100</v>
      </c>
      <c r="X29" s="1355"/>
      <c r="Y29" s="3728" t="s">
        <v>1696</v>
      </c>
      <c r="Z29" s="1356" t="str">
        <f t="shared" si="15"/>
        <v>建筑类型</v>
      </c>
      <c r="AA29" s="1353">
        <f t="shared" si="3"/>
        <v>1</v>
      </c>
      <c r="AB29" s="1353">
        <f t="shared" si="4"/>
        <v>1</v>
      </c>
      <c r="AC29" s="1353">
        <f t="shared" si="5"/>
        <v>1</v>
      </c>
    </row>
    <row r="30" spans="1:29" s="422" customFormat="1" ht="15">
      <c r="A30" s="419"/>
      <c r="B30" s="375" t="s">
        <v>1697</v>
      </c>
      <c r="C30" s="420">
        <f>'数据-汇总表'!E3</f>
        <v>3830.64</v>
      </c>
      <c r="D30" s="127">
        <v>100</v>
      </c>
      <c r="E30" s="420">
        <v>2000</v>
      </c>
      <c r="F30" s="376">
        <f>LOOKUP(E30,91:91,92:92)-LOOKUP(C30,91:91,92:92)+100</f>
        <v>100</v>
      </c>
      <c r="G30" s="420">
        <v>3620.52</v>
      </c>
      <c r="H30" s="127">
        <f>LOOKUP(G30,91:91,92:92)-LOOKUP(C30,91:91,92:92)+100</f>
        <v>100</v>
      </c>
      <c r="I30" s="420">
        <v>2220</v>
      </c>
      <c r="J30" s="127">
        <f>LOOKUP(I30,91:91,92:92)-LOOKUP(C30,91:91,92:92)+100</f>
        <v>100</v>
      </c>
      <c r="K30" s="562"/>
      <c r="L30" s="921"/>
      <c r="M30" s="924"/>
      <c r="N30" s="924"/>
      <c r="O30" s="925"/>
      <c r="P30" s="3728"/>
      <c r="Q30" s="707" t="str">
        <f t="shared" si="11"/>
        <v>项目建筑规模</v>
      </c>
      <c r="R30" s="708" t="s">
        <v>14</v>
      </c>
      <c r="S30" s="709">
        <f t="shared" si="12"/>
        <v>100</v>
      </c>
      <c r="T30" s="708" t="s">
        <v>14</v>
      </c>
      <c r="U30" s="709">
        <f t="shared" si="13"/>
        <v>100</v>
      </c>
      <c r="V30" s="708" t="s">
        <v>14</v>
      </c>
      <c r="W30" s="709">
        <f t="shared" si="14"/>
        <v>100</v>
      </c>
      <c r="X30" s="710"/>
      <c r="Y30" s="3728"/>
      <c r="Z30" s="711" t="str">
        <f t="shared" si="15"/>
        <v>项目建筑规模</v>
      </c>
      <c r="AA30" s="1353">
        <f t="shared" si="3"/>
        <v>1</v>
      </c>
      <c r="AB30" s="1353">
        <f t="shared" si="4"/>
        <v>1</v>
      </c>
      <c r="AC30" s="1353">
        <f t="shared" si="5"/>
        <v>1</v>
      </c>
    </row>
    <row r="31" spans="1:29" ht="15">
      <c r="A31" s="423"/>
      <c r="B31" s="375" t="s">
        <v>1698</v>
      </c>
      <c r="C31" s="411" t="s">
        <v>3432</v>
      </c>
      <c r="D31" s="386">
        <v>100</v>
      </c>
      <c r="E31" s="411" t="s">
        <v>3432</v>
      </c>
      <c r="F31" s="412">
        <f>SUMIF(93:93,E31,94:94)-SUMIF(93:93,C31,94:94)+100</f>
        <v>100</v>
      </c>
      <c r="G31" s="411" t="s">
        <v>3432</v>
      </c>
      <c r="H31" s="386">
        <f>SUMIF(93:93,G31,94:94)-SUMIF(93:93,C31,94:94)+100</f>
        <v>100</v>
      </c>
      <c r="I31" s="411" t="s">
        <v>3432</v>
      </c>
      <c r="J31" s="386">
        <f>SUMIF(93:93,I31,94:94)-SUMIF(93:93,C31,94:94)+100</f>
        <v>100</v>
      </c>
      <c r="K31" s="561">
        <v>1</v>
      </c>
      <c r="L31" s="923"/>
      <c r="M31" s="914"/>
      <c r="N31" s="914"/>
      <c r="O31" s="922"/>
      <c r="P31" s="3728"/>
      <c r="Q31" s="1352" t="str">
        <f t="shared" si="11"/>
        <v>建筑结构</v>
      </c>
      <c r="R31" s="705" t="s">
        <v>14</v>
      </c>
      <c r="S31" s="706">
        <f t="shared" si="12"/>
        <v>100</v>
      </c>
      <c r="T31" s="705" t="s">
        <v>14</v>
      </c>
      <c r="U31" s="706">
        <f t="shared" si="13"/>
        <v>100</v>
      </c>
      <c r="V31" s="705" t="s">
        <v>14</v>
      </c>
      <c r="W31" s="706">
        <f t="shared" si="14"/>
        <v>100</v>
      </c>
      <c r="X31" s="1355"/>
      <c r="Y31" s="3728"/>
      <c r="Z31" s="1356" t="str">
        <f t="shared" si="15"/>
        <v>建筑结构</v>
      </c>
      <c r="AA31" s="1353">
        <f t="shared" si="3"/>
        <v>1</v>
      </c>
      <c r="AB31" s="1353">
        <f t="shared" si="4"/>
        <v>1</v>
      </c>
      <c r="AC31" s="1353">
        <f t="shared" si="5"/>
        <v>1</v>
      </c>
    </row>
    <row r="32" spans="1:29" ht="15">
      <c r="A32" s="423"/>
      <c r="B32" s="375" t="s">
        <v>1785</v>
      </c>
      <c r="C32" s="411" t="s">
        <v>3449</v>
      </c>
      <c r="D32" s="386">
        <v>100</v>
      </c>
      <c r="E32" s="411" t="s">
        <v>3449</v>
      </c>
      <c r="F32" s="412">
        <f>SUMIF(95:95,E32,96:96)-SUMIF(95:95,C32,96:96)+100</f>
        <v>100</v>
      </c>
      <c r="G32" s="411" t="s">
        <v>3449</v>
      </c>
      <c r="H32" s="386">
        <f>SUMIF(95:95,G32,96:96)-SUMIF(95:95,C32,96:96)+100</f>
        <v>100</v>
      </c>
      <c r="I32" s="411" t="s">
        <v>3449</v>
      </c>
      <c r="J32" s="386">
        <f>SUMIF(95:95,I32,96:96)-SUMIF(95:95,C32,96:96)+100</f>
        <v>100</v>
      </c>
      <c r="K32" s="561">
        <v>2</v>
      </c>
      <c r="L32" s="923"/>
      <c r="M32" s="914"/>
      <c r="N32" s="914"/>
      <c r="O32" s="922"/>
      <c r="P32" s="3728"/>
      <c r="Q32" s="1352" t="str">
        <f t="shared" si="11"/>
        <v>公共部分装修</v>
      </c>
      <c r="R32" s="705" t="s">
        <v>14</v>
      </c>
      <c r="S32" s="706">
        <f t="shared" si="12"/>
        <v>100</v>
      </c>
      <c r="T32" s="705" t="s">
        <v>14</v>
      </c>
      <c r="U32" s="706">
        <f t="shared" si="13"/>
        <v>100</v>
      </c>
      <c r="V32" s="705" t="s">
        <v>14</v>
      </c>
      <c r="W32" s="706">
        <f t="shared" si="14"/>
        <v>100</v>
      </c>
      <c r="X32" s="1355"/>
      <c r="Y32" s="3728"/>
      <c r="Z32" s="1356" t="str">
        <f t="shared" si="15"/>
        <v>公共部分装修</v>
      </c>
      <c r="AA32" s="1353">
        <f t="shared" si="3"/>
        <v>1</v>
      </c>
      <c r="AB32" s="1353">
        <f t="shared" si="4"/>
        <v>1</v>
      </c>
      <c r="AC32" s="1353">
        <f t="shared" si="5"/>
        <v>1</v>
      </c>
    </row>
    <row r="33" spans="1:29" ht="15">
      <c r="A33" s="423"/>
      <c r="B33" s="375" t="s">
        <v>1786</v>
      </c>
      <c r="C33" s="3483">
        <f>'数据-取费表'!N6</f>
        <v>0.8</v>
      </c>
      <c r="D33" s="386">
        <v>100</v>
      </c>
      <c r="E33" s="3483">
        <v>0.85</v>
      </c>
      <c r="F33" s="412">
        <f>LOOKUP(E33,98:98,99:99)-LOOKUP(C33,98:98,99:99)+100</f>
        <v>100</v>
      </c>
      <c r="G33" s="3483">
        <v>0.63</v>
      </c>
      <c r="H33" s="412">
        <f>LOOKUP(G33,98:98,99:99)-LOOKUP(C33,98:98,99:99)+100</f>
        <v>98</v>
      </c>
      <c r="I33" s="3483">
        <v>0.8</v>
      </c>
      <c r="J33" s="386">
        <f>LOOKUP(I33,98:98,99:99)-LOOKUP(C33,98:98,99:99)+100</f>
        <v>100</v>
      </c>
      <c r="K33" s="561">
        <v>1</v>
      </c>
      <c r="L33" s="923"/>
      <c r="M33" s="914"/>
      <c r="N33" s="914"/>
      <c r="O33" s="922"/>
      <c r="P33" s="3728"/>
      <c r="Q33" s="1352" t="str">
        <f t="shared" si="11"/>
        <v>成新度</v>
      </c>
      <c r="R33" s="705" t="s">
        <v>14</v>
      </c>
      <c r="S33" s="706">
        <f t="shared" si="12"/>
        <v>100</v>
      </c>
      <c r="T33" s="705" t="s">
        <v>14</v>
      </c>
      <c r="U33" s="706">
        <f t="shared" si="13"/>
        <v>98</v>
      </c>
      <c r="V33" s="705" t="s">
        <v>14</v>
      </c>
      <c r="W33" s="706">
        <f t="shared" si="14"/>
        <v>100</v>
      </c>
      <c r="X33" s="1355"/>
      <c r="Y33" s="3728"/>
      <c r="Z33" s="1356" t="str">
        <f t="shared" si="15"/>
        <v>成新度</v>
      </c>
      <c r="AA33" s="1353">
        <f t="shared" si="3"/>
        <v>1</v>
      </c>
      <c r="AB33" s="1353">
        <f t="shared" si="4"/>
        <v>1.0204081632653061</v>
      </c>
      <c r="AC33" s="1353">
        <f t="shared" si="5"/>
        <v>1</v>
      </c>
    </row>
    <row r="34" spans="1:29" s="108" customFormat="1" ht="15">
      <c r="A34" s="424"/>
      <c r="B34" s="375" t="s">
        <v>1819</v>
      </c>
      <c r="C34" s="411" t="s">
        <v>3451</v>
      </c>
      <c r="D34" s="127">
        <v>100</v>
      </c>
      <c r="E34" s="411" t="s">
        <v>3451</v>
      </c>
      <c r="F34" s="412">
        <f>SUMIF(100:100,E34,101:101)-SUMIF(100:100,C34,101:101)+100</f>
        <v>100</v>
      </c>
      <c r="G34" s="411" t="s">
        <v>3451</v>
      </c>
      <c r="H34" s="386">
        <f>SUMIF(100:100,G34,101:101)-SUMIF(100:100,C34,101:101)+100</f>
        <v>100</v>
      </c>
      <c r="I34" s="411" t="s">
        <v>3451</v>
      </c>
      <c r="J34" s="386">
        <f>SUMIF(100:100,I34,101:101)-SUMIF(100:100,C34,101:101)+100</f>
        <v>100</v>
      </c>
      <c r="K34" s="561">
        <v>1</v>
      </c>
      <c r="L34" s="915"/>
      <c r="M34" s="916"/>
      <c r="N34" s="916"/>
      <c r="O34" s="917"/>
      <c r="P34" s="3728"/>
      <c r="Q34" s="1343" t="str">
        <f t="shared" si="11"/>
        <v>物业管理</v>
      </c>
      <c r="R34" s="701" t="s">
        <v>14</v>
      </c>
      <c r="S34" s="702">
        <f t="shared" si="12"/>
        <v>100</v>
      </c>
      <c r="T34" s="701" t="s">
        <v>14</v>
      </c>
      <c r="U34" s="702">
        <f t="shared" si="13"/>
        <v>100</v>
      </c>
      <c r="V34" s="701" t="s">
        <v>14</v>
      </c>
      <c r="W34" s="702">
        <f t="shared" si="14"/>
        <v>100</v>
      </c>
      <c r="X34" s="703"/>
      <c r="Y34" s="3728"/>
      <c r="Z34" s="52" t="str">
        <f t="shared" si="15"/>
        <v>物业管理</v>
      </c>
      <c r="AA34" s="704">
        <f t="shared" si="3"/>
        <v>1</v>
      </c>
      <c r="AB34" s="704">
        <f t="shared" si="4"/>
        <v>1</v>
      </c>
      <c r="AC34" s="704">
        <f t="shared" si="5"/>
        <v>1</v>
      </c>
    </row>
    <row r="35" spans="1:29" ht="15">
      <c r="A35" s="423"/>
      <c r="B35" s="375" t="s">
        <v>1787</v>
      </c>
      <c r="C35" s="411" t="s">
        <v>3456</v>
      </c>
      <c r="D35" s="386">
        <v>100</v>
      </c>
      <c r="E35" s="411" t="s">
        <v>3456</v>
      </c>
      <c r="F35" s="412">
        <f>SUMIF(102:102,E35,103:103)-SUMIF(102:102,C35,103:103)+100</f>
        <v>100</v>
      </c>
      <c r="G35" s="411" t="s">
        <v>3456</v>
      </c>
      <c r="H35" s="386">
        <f>SUMIF(102:102,G35,103:103)-SUMIF(102:102,C35,103:103)+100</f>
        <v>100</v>
      </c>
      <c r="I35" s="411" t="s">
        <v>3456</v>
      </c>
      <c r="J35" s="386">
        <f>SUMIF(102:102,I35,103:103)-SUMIF(102:102,C35,103:103)+100</f>
        <v>100</v>
      </c>
      <c r="K35" s="561">
        <v>1</v>
      </c>
      <c r="L35" s="923"/>
      <c r="M35" s="914"/>
      <c r="N35" s="914"/>
      <c r="O35" s="922"/>
      <c r="P35" s="3728" t="s">
        <v>1696</v>
      </c>
      <c r="Q35" s="1352" t="str">
        <f t="shared" si="11"/>
        <v>市政基础设施</v>
      </c>
      <c r="R35" s="705" t="s">
        <v>14</v>
      </c>
      <c r="S35" s="706">
        <f t="shared" si="12"/>
        <v>100</v>
      </c>
      <c r="T35" s="705" t="s">
        <v>14</v>
      </c>
      <c r="U35" s="706">
        <f t="shared" si="13"/>
        <v>100</v>
      </c>
      <c r="V35" s="705" t="s">
        <v>14</v>
      </c>
      <c r="W35" s="706">
        <f t="shared" si="14"/>
        <v>100</v>
      </c>
      <c r="X35" s="1355"/>
      <c r="Y35" s="3728" t="s">
        <v>1696</v>
      </c>
      <c r="Z35" s="1356" t="str">
        <f t="shared" si="15"/>
        <v>市政基础设施</v>
      </c>
      <c r="AA35" s="1353">
        <f t="shared" si="3"/>
        <v>1</v>
      </c>
      <c r="AB35" s="1353">
        <f t="shared" si="4"/>
        <v>1</v>
      </c>
      <c r="AC35" s="1353">
        <f t="shared" si="5"/>
        <v>1</v>
      </c>
    </row>
    <row r="36" spans="1:29" ht="15">
      <c r="A36" s="423"/>
      <c r="B36" s="375" t="s">
        <v>1792</v>
      </c>
      <c r="C36" s="411" t="s">
        <v>3449</v>
      </c>
      <c r="D36" s="386">
        <v>100</v>
      </c>
      <c r="E36" s="411" t="s">
        <v>3449</v>
      </c>
      <c r="F36" s="412">
        <f>SUMIF(104:104,E36,105:105)-SUMIF(104:104,C36,105:105)+100</f>
        <v>100</v>
      </c>
      <c r="G36" s="411" t="s">
        <v>3449</v>
      </c>
      <c r="H36" s="386">
        <f>SUMIF(104:104,G36,105:105)-SUMIF(104:104,C36,105:105)+100</f>
        <v>100</v>
      </c>
      <c r="I36" s="411" t="s">
        <v>3449</v>
      </c>
      <c r="J36" s="386">
        <f>SUMIF(104:104,I36,105:105)-SUMIF(104:104,C36,105:105)+100</f>
        <v>100</v>
      </c>
      <c r="K36" s="561">
        <v>2</v>
      </c>
      <c r="L36" s="923"/>
      <c r="M36" s="914"/>
      <c r="N36" s="914"/>
      <c r="O36" s="922"/>
      <c r="P36" s="3728"/>
      <c r="Q36" s="1352" t="str">
        <f t="shared" si="11"/>
        <v>内部装修</v>
      </c>
      <c r="R36" s="705" t="s">
        <v>14</v>
      </c>
      <c r="S36" s="706">
        <f t="shared" si="12"/>
        <v>100</v>
      </c>
      <c r="T36" s="705" t="s">
        <v>14</v>
      </c>
      <c r="U36" s="706">
        <f t="shared" si="13"/>
        <v>100</v>
      </c>
      <c r="V36" s="705" t="s">
        <v>14</v>
      </c>
      <c r="W36" s="706">
        <f t="shared" si="14"/>
        <v>100</v>
      </c>
      <c r="X36" s="1355"/>
      <c r="Y36" s="3728"/>
      <c r="Z36" s="1356" t="str">
        <f t="shared" si="15"/>
        <v>内部装修</v>
      </c>
      <c r="AA36" s="1353">
        <f t="shared" si="3"/>
        <v>1</v>
      </c>
      <c r="AB36" s="1353">
        <f t="shared" si="4"/>
        <v>1</v>
      </c>
      <c r="AC36" s="1353">
        <f t="shared" si="5"/>
        <v>1</v>
      </c>
    </row>
    <row r="37" spans="1:29" ht="15">
      <c r="A37" s="423"/>
      <c r="B37" s="375" t="s">
        <v>1828</v>
      </c>
      <c r="C37" s="565" t="s">
        <v>3461</v>
      </c>
      <c r="D37" s="386">
        <v>100</v>
      </c>
      <c r="E37" s="565" t="s">
        <v>3461</v>
      </c>
      <c r="F37" s="412">
        <f>SUMIF(106:106,E37,107:107)-SUMIF(106:106,C37,107:107)+100</f>
        <v>100</v>
      </c>
      <c r="G37" s="565" t="s">
        <v>3461</v>
      </c>
      <c r="H37" s="386">
        <f>SUMIF(106:106,G37,107:107)-SUMIF(106:106,C37,107:107)+100</f>
        <v>100</v>
      </c>
      <c r="I37" s="565" t="s">
        <v>3461</v>
      </c>
      <c r="J37" s="386">
        <f>SUMIF(106:106,I37,107:107)-SUMIF(106:106,C37,107:107)+100</f>
        <v>100</v>
      </c>
      <c r="K37" s="561">
        <v>1</v>
      </c>
      <c r="L37" s="923"/>
      <c r="M37" s="914"/>
      <c r="N37" s="914"/>
      <c r="O37" s="922"/>
      <c r="P37" s="3728"/>
      <c r="Q37" s="1352" t="str">
        <f t="shared" si="11"/>
        <v>内部装修状况</v>
      </c>
      <c r="R37" s="705" t="s">
        <v>14</v>
      </c>
      <c r="S37" s="706">
        <f t="shared" si="12"/>
        <v>100</v>
      </c>
      <c r="T37" s="705" t="s">
        <v>14</v>
      </c>
      <c r="U37" s="706">
        <f t="shared" si="13"/>
        <v>100</v>
      </c>
      <c r="V37" s="705" t="s">
        <v>14</v>
      </c>
      <c r="W37" s="706">
        <f t="shared" si="14"/>
        <v>100</v>
      </c>
      <c r="X37" s="1355"/>
      <c r="Y37" s="3728"/>
      <c r="Z37" s="1356" t="str">
        <f t="shared" si="15"/>
        <v>内部装修状况</v>
      </c>
      <c r="AA37" s="1353">
        <f t="shared" si="3"/>
        <v>1</v>
      </c>
      <c r="AB37" s="1353">
        <f t="shared" si="4"/>
        <v>1</v>
      </c>
      <c r="AC37" s="1353">
        <f t="shared" si="5"/>
        <v>1</v>
      </c>
    </row>
    <row r="38" spans="1:29" s="422" customFormat="1" ht="15">
      <c r="A38" s="419"/>
      <c r="B38" s="3485" t="s">
        <v>3495</v>
      </c>
      <c r="C38" s="3834" t="s">
        <v>3496</v>
      </c>
      <c r="D38" s="386">
        <v>100</v>
      </c>
      <c r="E38" s="3835" t="s">
        <v>3496</v>
      </c>
      <c r="F38" s="412">
        <f>SUMIF(108:108,E38,109:109)-SUMIF(108:108,C38,109:109)+100</f>
        <v>100</v>
      </c>
      <c r="G38" s="3835" t="s">
        <v>3496</v>
      </c>
      <c r="H38" s="386">
        <f>SUMIF(108:108,G38,109:109)-SUMIF(108:108,C38,109:109)+100</f>
        <v>100</v>
      </c>
      <c r="I38" s="3835" t="s">
        <v>3505</v>
      </c>
      <c r="J38" s="386">
        <f>SUMIF(108:108,I38,109:1038)-SUMIF(108:108,C38,109:109)+100</f>
        <v>105</v>
      </c>
      <c r="K38" s="562"/>
      <c r="L38" s="921"/>
      <c r="M38" s="924"/>
      <c r="N38" s="924"/>
      <c r="O38" s="925"/>
      <c r="P38" s="3728"/>
      <c r="Q38" s="707" t="str">
        <f t="shared" si="11"/>
        <v>是否有地下</v>
      </c>
      <c r="R38" s="708" t="s">
        <v>14</v>
      </c>
      <c r="S38" s="709">
        <f t="shared" si="12"/>
        <v>100</v>
      </c>
      <c r="T38" s="708" t="s">
        <v>14</v>
      </c>
      <c r="U38" s="709">
        <f t="shared" si="13"/>
        <v>100</v>
      </c>
      <c r="V38" s="708" t="s">
        <v>14</v>
      </c>
      <c r="W38" s="709">
        <f t="shared" si="14"/>
        <v>105</v>
      </c>
      <c r="X38" s="710"/>
      <c r="Y38" s="3728"/>
      <c r="Z38" s="711" t="str">
        <f t="shared" si="15"/>
        <v>是否有地下</v>
      </c>
      <c r="AA38" s="1353">
        <f t="shared" si="3"/>
        <v>1</v>
      </c>
      <c r="AB38" s="1353">
        <f t="shared" si="4"/>
        <v>1</v>
      </c>
      <c r="AC38" s="1353">
        <f t="shared" si="5"/>
        <v>0.95238095238095233</v>
      </c>
    </row>
    <row r="39" spans="1:29" ht="15">
      <c r="A39" s="423"/>
      <c r="B39" s="3485"/>
      <c r="C39" s="420">
        <f>'数据-取费表'!N18</f>
        <v>2013</v>
      </c>
      <c r="D39" s="386">
        <v>100</v>
      </c>
      <c r="E39" s="385">
        <v>2016</v>
      </c>
      <c r="F39" s="412">
        <f>SUMIF(110:110,E39,111:111)-SUMIF(110:110,C39,111:111)+100</f>
        <v>100</v>
      </c>
      <c r="G39" s="420"/>
      <c r="H39" s="386">
        <f>SUMIF(110:110,G39,111:111)-SUMIF(110:110,C39,111:111)+100</f>
        <v>100</v>
      </c>
      <c r="I39" s="420" t="s">
        <v>3508</v>
      </c>
      <c r="J39" s="386">
        <f>SUMIF(110:110,I39,111:111)-SUMIF(110:110,C39,111:111)+100</f>
        <v>100</v>
      </c>
      <c r="K39" s="562"/>
      <c r="L39" s="923"/>
      <c r="M39" s="914"/>
      <c r="N39" s="914"/>
      <c r="O39" s="922"/>
      <c r="P39" s="3728"/>
      <c r="Q39" s="1352">
        <f t="shared" si="11"/>
        <v>0</v>
      </c>
      <c r="R39" s="705" t="s">
        <v>14</v>
      </c>
      <c r="S39" s="706">
        <f t="shared" si="12"/>
        <v>100</v>
      </c>
      <c r="T39" s="705" t="s">
        <v>14</v>
      </c>
      <c r="U39" s="706">
        <f t="shared" si="13"/>
        <v>100</v>
      </c>
      <c r="V39" s="705" t="s">
        <v>14</v>
      </c>
      <c r="W39" s="706">
        <f t="shared" si="14"/>
        <v>100</v>
      </c>
      <c r="X39" s="1355"/>
      <c r="Y39" s="3728"/>
      <c r="Z39" s="1356">
        <f t="shared" si="15"/>
        <v>0</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9"/>
      <c r="Q40" s="1352">
        <f t="shared" si="11"/>
        <v>111</v>
      </c>
      <c r="R40" s="705" t="s">
        <v>14</v>
      </c>
      <c r="S40" s="706">
        <f t="shared" si="12"/>
        <v>100</v>
      </c>
      <c r="T40" s="705" t="s">
        <v>14</v>
      </c>
      <c r="U40" s="706">
        <f t="shared" si="13"/>
        <v>100</v>
      </c>
      <c r="V40" s="705" t="s">
        <v>14</v>
      </c>
      <c r="W40" s="706">
        <f t="shared" si="14"/>
        <v>100</v>
      </c>
      <c r="X40" s="1355"/>
      <c r="Y40" s="3729"/>
      <c r="Z40" s="1356">
        <f t="shared" si="15"/>
        <v>111</v>
      </c>
      <c r="AA40" s="1353">
        <f t="shared" si="3"/>
        <v>1</v>
      </c>
      <c r="AB40" s="1353">
        <f t="shared" si="4"/>
        <v>1</v>
      </c>
      <c r="AC40" s="1353">
        <f t="shared" si="5"/>
        <v>1</v>
      </c>
    </row>
    <row r="41" spans="1:29" ht="15">
      <c r="A41" s="430" t="s">
        <v>1708</v>
      </c>
      <c r="B41" s="431"/>
      <c r="C41" s="1154" t="s">
        <v>0</v>
      </c>
      <c r="D41" s="1155"/>
      <c r="E41" s="1156">
        <v>14000</v>
      </c>
      <c r="F41" s="1157"/>
      <c r="G41" s="1158">
        <v>14004</v>
      </c>
      <c r="H41" s="1159"/>
      <c r="I41" s="1156">
        <v>15000</v>
      </c>
      <c r="J41" s="1159"/>
      <c r="K41" s="714"/>
      <c r="L41" s="926"/>
      <c r="M41" s="927"/>
      <c r="N41" s="914"/>
      <c r="O41" s="927"/>
      <c r="P41" s="3710" t="str">
        <f>A41</f>
        <v>成交单价（元/平方米）</v>
      </c>
      <c r="Q41" s="3710"/>
      <c r="R41" s="3730">
        <f>E41</f>
        <v>14000</v>
      </c>
      <c r="S41" s="3730"/>
      <c r="T41" s="3730">
        <f>G41</f>
        <v>14004</v>
      </c>
      <c r="U41" s="3730"/>
      <c r="V41" s="3730">
        <f>I41</f>
        <v>15000</v>
      </c>
      <c r="W41" s="3730"/>
      <c r="X41" s="690"/>
      <c r="Y41" s="712"/>
      <c r="Z41" s="690"/>
      <c r="AA41" s="690"/>
      <c r="AB41" s="690"/>
      <c r="AC41" s="690"/>
    </row>
    <row r="42" spans="1:29" ht="15.75" thickBot="1">
      <c r="A42" s="437" t="s">
        <v>1793</v>
      </c>
      <c r="B42" s="438"/>
      <c r="C42" s="1160">
        <f>R43</f>
        <v>13319</v>
      </c>
      <c r="D42" s="2317" t="s">
        <v>2138</v>
      </c>
      <c r="E42" s="1161">
        <f>R42</f>
        <v>13228</v>
      </c>
      <c r="F42" s="2318"/>
      <c r="G42" s="1160">
        <f>T42</f>
        <v>13501</v>
      </c>
      <c r="H42" s="2318"/>
      <c r="I42" s="1161">
        <f>V42</f>
        <v>13228</v>
      </c>
      <c r="J42" s="2318"/>
      <c r="K42" s="2320">
        <f>F42+H42+J42</f>
        <v>0</v>
      </c>
      <c r="L42" s="926"/>
      <c r="M42" s="927"/>
      <c r="N42" s="914"/>
      <c r="O42" s="927"/>
      <c r="P42" s="3710" t="str">
        <f>A42</f>
        <v>比较价值（元/平方米）</v>
      </c>
      <c r="Q42" s="3710"/>
      <c r="R42" s="3730">
        <f>IF(F1="售价",ROUND(PRODUCT(R41,AA7:AA40),0),ROUND(PRODUCT(R41,AA7:AA40),1))</f>
        <v>13228</v>
      </c>
      <c r="S42" s="3730"/>
      <c r="T42" s="3730">
        <f>IF(F1="售价",ROUND(PRODUCT(T41,AB7:AB40),0),ROUND(PRODUCT(T41,AB7:AB40),1))</f>
        <v>13501</v>
      </c>
      <c r="U42" s="3730"/>
      <c r="V42" s="3730">
        <f>IF(F1="售价",ROUND(PRODUCT(V41,AC7:AC40),0),ROUND(PRODUCT(V41,AC7:AC40),1))</f>
        <v>13228</v>
      </c>
      <c r="W42" s="3730"/>
      <c r="X42" s="690"/>
      <c r="Y42" s="690"/>
      <c r="Z42" s="690"/>
      <c r="AA42" s="690"/>
      <c r="AB42" s="690"/>
      <c r="AC42" s="690"/>
    </row>
    <row r="43" spans="1:29" ht="15.75" thickBot="1">
      <c r="A43" s="441" t="s">
        <v>1794</v>
      </c>
      <c r="B43" s="442"/>
      <c r="C43" s="1163">
        <f>R43</f>
        <v>13319</v>
      </c>
      <c r="D43" s="1163"/>
      <c r="E43" s="1163"/>
      <c r="F43" s="1163"/>
      <c r="G43" s="1163"/>
      <c r="H43" s="1163"/>
      <c r="I43" s="1163"/>
      <c r="J43" s="1163"/>
      <c r="K43" s="715"/>
      <c r="L43" s="926"/>
      <c r="M43" s="927"/>
      <c r="N43" s="927"/>
      <c r="O43" s="927"/>
      <c r="P43" s="3731" t="str">
        <f>A43</f>
        <v>估价对象XX用房的比较价值（楼面单价，元/平方米）</v>
      </c>
      <c r="Q43" s="3732"/>
      <c r="R43" s="3733">
        <f>IF(F1="售价",ROUND(IF(D42="简单平均",AVERAGE(R42:V42),R42*F42+T42*H42+V42*J42),0),ROUND(IF(D42="简单平均",AVERAGE(R42:V42),R42*F42+T42*H42+V42*J42),1))</f>
        <v>13319</v>
      </c>
      <c r="S43" s="3733"/>
      <c r="T43" s="3733"/>
      <c r="U43" s="3733"/>
      <c r="V43" s="3733"/>
      <c r="W43" s="373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5.836105231327493E-2</v>
      </c>
      <c r="F46" s="449" t="str">
        <f>IF(OR(E46&gt;=0.3,E46&lt;=-0.3),"超过30%","")</f>
        <v/>
      </c>
      <c r="G46" s="448">
        <f>IF(G41&lt;G42,G42/G41-1,G41/G42-1)</f>
        <v>3.7256499518554254E-2</v>
      </c>
      <c r="H46" s="449" t="str">
        <f>IF(OR(G46&gt;=0.3,G46&lt;=-0.3),"超过30%","")</f>
        <v/>
      </c>
      <c r="I46" s="448">
        <f>IF(I41&lt;I42,I42/I41-1,I41/I42-1)</f>
        <v>0.13395827033565166</v>
      </c>
      <c r="J46" s="449" t="str">
        <f>IF(OR(I46&gt;=0.3,I46&lt;=-0.3),"超过30%","")</f>
        <v/>
      </c>
      <c r="K46" s="2730"/>
      <c r="L46" s="889"/>
      <c r="M46" s="927"/>
      <c r="N46" s="927"/>
      <c r="O46" s="927"/>
    </row>
    <row r="47" spans="1:29" ht="13.5" customHeight="1">
      <c r="A47" s="2725"/>
      <c r="B47" s="2725"/>
      <c r="C47" s="446" t="s">
        <v>1796</v>
      </c>
      <c r="D47" s="450"/>
      <c r="E47" s="448">
        <f>IF(E42&lt;G42,G42/E42-1,E42/G42-1)</f>
        <v>2.0638040520108758E-2</v>
      </c>
      <c r="F47" s="449" t="str">
        <f>IF(OR(E47&gt;=0.2,E47&lt;=-0.2),"超过20%","")</f>
        <v/>
      </c>
      <c r="G47" s="448">
        <f>IF(G42&lt;I42,I42/G42-1,G42/I42-1)</f>
        <v>2.0638040520108758E-2</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2.8571428571422253E-4</v>
      </c>
      <c r="F48" s="449" t="str">
        <f>IF(OR(E48&gt;=0.3,E48&lt;=-0.3),"超过30%","")</f>
        <v/>
      </c>
      <c r="G48" s="448">
        <f>IF(G41&lt;I41,I41/G41-1,G41/I41-1)</f>
        <v>7.1122536418166238E-2</v>
      </c>
      <c r="H48" s="449" t="str">
        <f>IF(OR(G48&gt;=0.3,G48&lt;=-0.3),"超过30%","")</f>
        <v/>
      </c>
      <c r="I48" s="448">
        <f>IF(I41&lt;E41,E41/I41-1,I41/E41-1)</f>
        <v>7.1428571428571397E-2</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80" t="s">
        <v>3445</v>
      </c>
      <c r="E55" s="472"/>
      <c r="F55" s="472"/>
      <c r="G55" s="472"/>
      <c r="H55" s="472"/>
      <c r="I55" s="472"/>
      <c r="J55" s="472"/>
      <c r="K55" s="472"/>
      <c r="L55" s="473"/>
      <c r="M55" s="474"/>
      <c r="N55" s="932"/>
      <c r="O55" s="932"/>
      <c r="P55" s="475"/>
      <c r="Q55" s="453"/>
    </row>
    <row r="56" spans="1:17" s="108" customFormat="1" ht="15.75" thickBot="1">
      <c r="A56" s="470"/>
      <c r="B56" s="459"/>
      <c r="C56" s="587">
        <v>100</v>
      </c>
      <c r="D56" s="461">
        <v>108</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t="s">
        <v>3439</v>
      </c>
      <c r="D59" s="532" t="s">
        <v>3440</v>
      </c>
      <c r="E59" s="532" t="s">
        <v>3441</v>
      </c>
      <c r="F59" s="532" t="s">
        <v>3442</v>
      </c>
      <c r="G59" s="532" t="s">
        <v>3443</v>
      </c>
      <c r="H59" s="532"/>
      <c r="I59" s="532"/>
      <c r="J59" s="532"/>
      <c r="K59" s="533"/>
      <c r="L59" s="534"/>
      <c r="M59" s="535"/>
      <c r="N59" s="933"/>
      <c r="O59" s="933"/>
      <c r="P59" s="42"/>
      <c r="Q59" s="453"/>
    </row>
    <row r="60" spans="1:17" ht="15.75" thickBot="1">
      <c r="A60" s="483"/>
      <c r="B60" s="492"/>
      <c r="C60" s="485">
        <v>100</v>
      </c>
      <c r="D60" s="485">
        <f>C60-2</f>
        <v>98</v>
      </c>
      <c r="E60" s="485">
        <f t="shared" ref="E60:G60" si="17">D60-2</f>
        <v>96</v>
      </c>
      <c r="F60" s="485">
        <f t="shared" si="17"/>
        <v>94</v>
      </c>
      <c r="G60" s="485">
        <f t="shared" si="17"/>
        <v>92</v>
      </c>
      <c r="H60" s="485"/>
      <c r="I60" s="485"/>
      <c r="J60" s="485"/>
      <c r="K60" s="485"/>
      <c r="L60" s="485"/>
      <c r="M60" s="486"/>
      <c r="N60" s="934"/>
      <c r="O60" s="934"/>
      <c r="P60" s="42"/>
      <c r="Q60" s="453"/>
    </row>
    <row r="61" spans="1:17" ht="15.75" thickTop="1">
      <c r="A61" s="483"/>
      <c r="B61" s="495" t="s">
        <v>1689</v>
      </c>
      <c r="C61" s="496" t="str">
        <f>C62&amp;"（含）"&amp;"-"&amp;D62</f>
        <v>0（含）-1</v>
      </c>
      <c r="D61" s="496" t="str">
        <f t="shared" ref="D61:L61" si="18">D62&amp;"（含）"&amp;"-"&amp;E62</f>
        <v>1（含）-2</v>
      </c>
      <c r="E61" s="496" t="str">
        <f t="shared" si="18"/>
        <v>2（含）-</v>
      </c>
      <c r="F61" s="496" t="str">
        <f t="shared" si="18"/>
        <v>（含）-</v>
      </c>
      <c r="G61" s="496" t="str">
        <f t="shared" si="18"/>
        <v>（含）-</v>
      </c>
      <c r="H61" s="496" t="str">
        <f t="shared" si="18"/>
        <v>（含）-</v>
      </c>
      <c r="I61" s="496" t="str">
        <f t="shared" si="18"/>
        <v>（含）-</v>
      </c>
      <c r="J61" s="496" t="str">
        <f t="shared" si="18"/>
        <v>（含）-</v>
      </c>
      <c r="K61" s="496" t="str">
        <f t="shared" si="18"/>
        <v>（含）-</v>
      </c>
      <c r="L61" s="496" t="str">
        <f t="shared" si="18"/>
        <v>（含）-</v>
      </c>
      <c r="M61" s="399" t="str">
        <f>M62&amp;"（含）"&amp;"-"&amp;P62</f>
        <v>（含）-</v>
      </c>
      <c r="N61" s="934"/>
      <c r="O61" s="934"/>
      <c r="P61" s="42"/>
      <c r="Q61" s="453"/>
    </row>
    <row r="62" spans="1:17" ht="15">
      <c r="A62" s="483"/>
      <c r="B62" s="497"/>
      <c r="C62" s="498">
        <v>0</v>
      </c>
      <c r="D62" s="498">
        <v>1</v>
      </c>
      <c r="E62" s="498">
        <v>2</v>
      </c>
      <c r="F62" s="498"/>
      <c r="G62" s="498"/>
      <c r="H62" s="498"/>
      <c r="I62" s="498"/>
      <c r="J62" s="498"/>
      <c r="K62" s="499"/>
      <c r="L62" s="500"/>
      <c r="M62" s="501"/>
      <c r="N62" s="933"/>
      <c r="O62" s="933"/>
      <c r="P62" s="42"/>
      <c r="Q62" s="453"/>
    </row>
    <row r="63" spans="1:17" ht="15.75" thickBot="1">
      <c r="A63" s="483"/>
      <c r="B63" s="484"/>
      <c r="C63" s="493">
        <v>100</v>
      </c>
      <c r="D63" s="493">
        <f t="shared" ref="D63:M63" si="19">C63-$K11</f>
        <v>100</v>
      </c>
      <c r="E63" s="493">
        <f t="shared" si="19"/>
        <v>100</v>
      </c>
      <c r="F63" s="493">
        <f t="shared" si="19"/>
        <v>100</v>
      </c>
      <c r="G63" s="493">
        <f t="shared" si="19"/>
        <v>100</v>
      </c>
      <c r="H63" s="493">
        <f t="shared" si="19"/>
        <v>100</v>
      </c>
      <c r="I63" s="493">
        <f t="shared" si="19"/>
        <v>100</v>
      </c>
      <c r="J63" s="493">
        <f t="shared" si="19"/>
        <v>100</v>
      </c>
      <c r="K63" s="493">
        <f t="shared" si="19"/>
        <v>100</v>
      </c>
      <c r="L63" s="493">
        <f t="shared" si="19"/>
        <v>100</v>
      </c>
      <c r="M63" s="494">
        <f t="shared" si="19"/>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98</v>
      </c>
      <c r="E71" s="493">
        <f>D71-$K15</f>
        <v>96</v>
      </c>
      <c r="F71" s="493">
        <f>E71-$K15</f>
        <v>94</v>
      </c>
      <c r="G71" s="493">
        <f>F71-$K15</f>
        <v>92</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98</v>
      </c>
      <c r="E73" s="493">
        <f>D73-$K17</f>
        <v>96</v>
      </c>
      <c r="F73" s="493">
        <f>E73-$K17</f>
        <v>94</v>
      </c>
      <c r="G73" s="493">
        <f>F73-$K17</f>
        <v>92</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98</v>
      </c>
      <c r="E75" s="493">
        <f>D75-$K19</f>
        <v>96</v>
      </c>
      <c r="F75" s="493">
        <f>E75-$K19</f>
        <v>94</v>
      </c>
      <c r="G75" s="493">
        <f>F75-$K19</f>
        <v>92</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99</v>
      </c>
      <c r="E77" s="493">
        <f>D77-$K21</f>
        <v>98</v>
      </c>
      <c r="F77" s="493">
        <f>E77-$K21</f>
        <v>97</v>
      </c>
      <c r="G77" s="493">
        <f>F77-$K21</f>
        <v>96</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98</v>
      </c>
      <c r="E79" s="493">
        <f>D79-$K23</f>
        <v>96</v>
      </c>
      <c r="F79" s="493">
        <f>E79-$K23</f>
        <v>94</v>
      </c>
      <c r="G79" s="493">
        <f>F79-$K23</f>
        <v>92</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81" t="s">
        <v>3447</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20">C89-$K29</f>
        <v>98</v>
      </c>
      <c r="E89" s="493">
        <f t="shared" si="20"/>
        <v>96</v>
      </c>
      <c r="F89" s="493">
        <f t="shared" si="20"/>
        <v>94</v>
      </c>
      <c r="G89" s="493">
        <f t="shared" si="20"/>
        <v>92</v>
      </c>
      <c r="H89" s="493">
        <f t="shared" si="20"/>
        <v>90</v>
      </c>
      <c r="I89" s="493">
        <f t="shared" si="20"/>
        <v>88</v>
      </c>
      <c r="J89" s="493">
        <f t="shared" si="20"/>
        <v>86</v>
      </c>
      <c r="K89" s="493">
        <f t="shared" si="20"/>
        <v>84</v>
      </c>
      <c r="L89" s="493">
        <f t="shared" si="20"/>
        <v>82</v>
      </c>
      <c r="M89" s="494">
        <f t="shared" si="20"/>
        <v>80</v>
      </c>
      <c r="N89" s="934"/>
      <c r="O89" s="934"/>
      <c r="P89" s="42"/>
      <c r="Q89" s="453"/>
    </row>
    <row r="90" spans="1:17" ht="29.25" thickTop="1">
      <c r="A90" s="483"/>
      <c r="B90" s="487" t="s">
        <v>1737</v>
      </c>
      <c r="C90" s="527" t="str">
        <f>C91&amp;"(含)"&amp;"-"&amp;D91</f>
        <v>0(含)-2000</v>
      </c>
      <c r="D90" s="527" t="str">
        <f t="shared" ref="D90:L90" si="21">D91&amp;"(含)"&amp;"-"&amp;E91</f>
        <v>2000(含)-4000</v>
      </c>
      <c r="E90" s="527" t="str">
        <f t="shared" si="21"/>
        <v>4000(含)-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932"/>
      <c r="O90" s="932"/>
      <c r="P90" s="42"/>
      <c r="Q90" s="453"/>
    </row>
    <row r="91" spans="1:17" s="422" customFormat="1">
      <c r="A91" s="542"/>
      <c r="B91" s="543"/>
      <c r="C91" s="544">
        <v>0</v>
      </c>
      <c r="D91" s="544">
        <v>2000</v>
      </c>
      <c r="E91" s="544">
        <v>4000</v>
      </c>
      <c r="F91" s="544"/>
      <c r="G91" s="544"/>
      <c r="H91" s="544"/>
      <c r="I91" s="544"/>
      <c r="J91" s="545"/>
      <c r="K91" s="545"/>
      <c r="L91" s="546"/>
      <c r="M91" s="547"/>
      <c r="N91" s="935"/>
      <c r="O91" s="935"/>
      <c r="P91" s="507"/>
      <c r="Q91" s="508"/>
    </row>
    <row r="92" spans="1:17" s="422" customFormat="1" ht="15.75" thickBot="1">
      <c r="A92" s="502"/>
      <c r="B92" s="492"/>
      <c r="C92" s="509">
        <v>100</v>
      </c>
      <c r="D92" s="485">
        <v>101</v>
      </c>
      <c r="E92" s="485">
        <v>102</v>
      </c>
      <c r="F92" s="485"/>
      <c r="G92" s="485"/>
      <c r="H92" s="485"/>
      <c r="I92" s="485"/>
      <c r="J92" s="485"/>
      <c r="K92" s="485"/>
      <c r="L92" s="485"/>
      <c r="M92" s="486"/>
      <c r="N92" s="934"/>
      <c r="O92" s="934"/>
      <c r="P92" s="507"/>
      <c r="Q92" s="508"/>
    </row>
    <row r="93" spans="1:17" ht="15" thickTop="1">
      <c r="A93" s="548"/>
      <c r="B93" s="487" t="s">
        <v>1738</v>
      </c>
      <c r="C93" s="3482" t="s">
        <v>3448</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99</v>
      </c>
      <c r="E94" s="493">
        <f t="shared" si="22"/>
        <v>98</v>
      </c>
      <c r="F94" s="493">
        <f t="shared" si="22"/>
        <v>97</v>
      </c>
      <c r="G94" s="493">
        <f t="shared" si="22"/>
        <v>96</v>
      </c>
      <c r="H94" s="493">
        <f t="shared" si="22"/>
        <v>95</v>
      </c>
      <c r="I94" s="493">
        <f t="shared" si="22"/>
        <v>94</v>
      </c>
      <c r="J94" s="493">
        <f t="shared" si="22"/>
        <v>93</v>
      </c>
      <c r="K94" s="493">
        <f t="shared" si="22"/>
        <v>92</v>
      </c>
      <c r="L94" s="493">
        <f t="shared" si="22"/>
        <v>91</v>
      </c>
      <c r="M94" s="494">
        <f t="shared" si="22"/>
        <v>90</v>
      </c>
      <c r="N94" s="934"/>
      <c r="O94" s="934"/>
      <c r="P94" s="42"/>
      <c r="Q94" s="453"/>
    </row>
    <row r="95" spans="1:17" ht="15" thickTop="1">
      <c r="A95" s="548"/>
      <c r="B95" s="487" t="s">
        <v>1740</v>
      </c>
      <c r="C95" s="3482" t="s">
        <v>3450</v>
      </c>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4">
        <f t="shared" si="23"/>
        <v>80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4">D99+$K33</f>
        <v>102</v>
      </c>
      <c r="F99" s="493">
        <f t="shared" si="24"/>
        <v>103</v>
      </c>
      <c r="G99" s="493">
        <f t="shared" si="24"/>
        <v>104</v>
      </c>
      <c r="H99" s="493">
        <f t="shared" si="24"/>
        <v>105</v>
      </c>
      <c r="I99" s="493">
        <f t="shared" si="24"/>
        <v>106</v>
      </c>
      <c r="J99" s="493">
        <f t="shared" si="24"/>
        <v>107</v>
      </c>
      <c r="K99" s="493">
        <f t="shared" si="24"/>
        <v>108</v>
      </c>
      <c r="L99" s="493">
        <f t="shared" si="24"/>
        <v>109</v>
      </c>
      <c r="M99" s="493">
        <f t="shared" si="24"/>
        <v>110</v>
      </c>
      <c r="N99" s="934"/>
      <c r="O99" s="934"/>
      <c r="P99" s="42"/>
      <c r="Q99" s="453"/>
    </row>
    <row r="100" spans="1:17" s="422" customFormat="1" ht="15" thickTop="1">
      <c r="A100" s="542"/>
      <c r="B100" s="487" t="s">
        <v>1741</v>
      </c>
      <c r="C100" s="3482" t="s">
        <v>3452</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5">D101-$K34</f>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5"/>
      <c r="O101" s="935"/>
      <c r="P101" s="507"/>
      <c r="Q101" s="508"/>
    </row>
    <row r="102" spans="1:17" ht="15" thickTop="1">
      <c r="A102" s="548"/>
      <c r="B102" s="487" t="s">
        <v>1742</v>
      </c>
      <c r="C102" s="3482" t="s">
        <v>3454</v>
      </c>
      <c r="D102" s="3482" t="s">
        <v>3455</v>
      </c>
      <c r="E102" s="3482" t="s">
        <v>3457</v>
      </c>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6">C103-$K35</f>
        <v>99</v>
      </c>
      <c r="E103" s="493">
        <f t="shared" si="26"/>
        <v>98</v>
      </c>
      <c r="F103" s="493">
        <f t="shared" si="26"/>
        <v>97</v>
      </c>
      <c r="G103" s="493">
        <f t="shared" si="26"/>
        <v>96</v>
      </c>
      <c r="H103" s="493">
        <f t="shared" si="26"/>
        <v>95</v>
      </c>
      <c r="I103" s="493">
        <f t="shared" si="26"/>
        <v>94</v>
      </c>
      <c r="J103" s="493">
        <f t="shared" si="26"/>
        <v>93</v>
      </c>
      <c r="K103" s="493">
        <f t="shared" si="26"/>
        <v>92</v>
      </c>
      <c r="L103" s="493">
        <f t="shared" si="26"/>
        <v>91</v>
      </c>
      <c r="M103" s="494">
        <f t="shared" si="26"/>
        <v>90</v>
      </c>
      <c r="N103" s="934"/>
      <c r="O103" s="934"/>
      <c r="P103" s="42"/>
      <c r="Q103" s="453"/>
    </row>
    <row r="104" spans="1:17" ht="15" thickTop="1">
      <c r="A104" s="548"/>
      <c r="B104" s="487" t="s">
        <v>1744</v>
      </c>
      <c r="C104" s="3482" t="s">
        <v>3450</v>
      </c>
      <c r="D104" s="3482" t="s">
        <v>3458</v>
      </c>
      <c r="E104" s="3482" t="s">
        <v>3459</v>
      </c>
      <c r="F104" s="3482" t="s">
        <v>3460</v>
      </c>
      <c r="G104" s="503"/>
      <c r="H104" s="532"/>
      <c r="I104" s="532"/>
      <c r="J104" s="532"/>
      <c r="K104" s="533"/>
      <c r="L104" s="534"/>
      <c r="M104" s="535"/>
      <c r="N104" s="933"/>
      <c r="O104" s="933"/>
      <c r="P104" s="42"/>
      <c r="Q104" s="453"/>
    </row>
    <row r="105" spans="1:17" ht="15.75" thickBot="1">
      <c r="A105" s="483"/>
      <c r="B105" s="492"/>
      <c r="C105" s="493">
        <v>100</v>
      </c>
      <c r="D105" s="493">
        <f>C105-$K36</f>
        <v>98</v>
      </c>
      <c r="E105" s="493">
        <f>D105-$K36</f>
        <v>96</v>
      </c>
      <c r="F105" s="493">
        <f>E105-$K36</f>
        <v>94</v>
      </c>
      <c r="G105" s="493">
        <f>F105-$K36</f>
        <v>92</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99</v>
      </c>
      <c r="E107" s="493">
        <f t="shared" si="27"/>
        <v>98</v>
      </c>
      <c r="F107" s="493">
        <f t="shared" si="27"/>
        <v>97</v>
      </c>
      <c r="G107" s="493">
        <f t="shared" si="27"/>
        <v>96</v>
      </c>
      <c r="H107" s="493">
        <f t="shared" si="27"/>
        <v>95</v>
      </c>
      <c r="I107" s="493">
        <f t="shared" si="27"/>
        <v>94</v>
      </c>
      <c r="J107" s="493">
        <f t="shared" si="27"/>
        <v>93</v>
      </c>
      <c r="K107" s="493">
        <f t="shared" si="27"/>
        <v>92</v>
      </c>
      <c r="L107" s="493">
        <f t="shared" si="27"/>
        <v>91</v>
      </c>
      <c r="M107" s="493">
        <f t="shared" si="27"/>
        <v>90</v>
      </c>
      <c r="N107" s="934"/>
      <c r="O107" s="934"/>
      <c r="P107" s="42"/>
      <c r="Q107" s="453"/>
    </row>
    <row r="108" spans="1:17" s="422" customFormat="1" ht="15" thickTop="1">
      <c r="A108" s="542"/>
      <c r="B108" s="487" t="str">
        <f>B38</f>
        <v>是否有地下</v>
      </c>
      <c r="C108" s="3836" t="s">
        <v>3505</v>
      </c>
      <c r="D108" s="3836" t="s">
        <v>3496</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95</v>
      </c>
      <c r="E109" s="485"/>
      <c r="F109" s="485"/>
      <c r="G109" s="509"/>
      <c r="H109" s="511"/>
      <c r="I109" s="511"/>
      <c r="J109" s="511"/>
      <c r="K109" s="511"/>
      <c r="L109" s="511"/>
      <c r="M109" s="512"/>
      <c r="N109" s="935"/>
      <c r="O109" s="935"/>
      <c r="P109" s="507"/>
      <c r="Q109" s="508"/>
    </row>
    <row r="110" spans="1:17" ht="15" thickTop="1">
      <c r="A110" s="548"/>
      <c r="B110" s="487">
        <f>B39</f>
        <v>0</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60" priority="20" stopIfTrue="1" operator="containsText" text="超过">
      <formula>NOT(ISERROR(SEARCH("超过",F46)))</formula>
    </cfRule>
  </conditionalFormatting>
  <conditionalFormatting sqref="H48">
    <cfRule type="containsText" dxfId="159" priority="19" stopIfTrue="1" operator="containsText" text="超过">
      <formula>NOT(ISERROR(SEARCH("超过",H48)))</formula>
    </cfRule>
  </conditionalFormatting>
  <conditionalFormatting sqref="F48">
    <cfRule type="containsText" dxfId="158" priority="18" stopIfTrue="1" operator="containsText" text="超过">
      <formula>NOT(ISERROR(SEARCH("超过",F48)))</formula>
    </cfRule>
  </conditionalFormatting>
  <conditionalFormatting sqref="F47 H47">
    <cfRule type="containsText" dxfId="157" priority="17" stopIfTrue="1" operator="containsText" text="超过">
      <formula>NOT(ISERROR(SEARCH("超过",F47)))</formula>
    </cfRule>
  </conditionalFormatting>
  <conditionalFormatting sqref="E46">
    <cfRule type="expression" dxfId="156" priority="16" stopIfTrue="1">
      <formula>$F$46="超过30%"</formula>
    </cfRule>
  </conditionalFormatting>
  <conditionalFormatting sqref="E47">
    <cfRule type="expression" dxfId="155" priority="15" stopIfTrue="1">
      <formula>$F$47="超过20%"</formula>
    </cfRule>
  </conditionalFormatting>
  <conditionalFormatting sqref="E48">
    <cfRule type="expression" dxfId="154" priority="14" stopIfTrue="1">
      <formula>$F$48="超过30%"</formula>
    </cfRule>
  </conditionalFormatting>
  <conditionalFormatting sqref="G48">
    <cfRule type="expression" dxfId="153" priority="13" stopIfTrue="1">
      <formula>$H$48="超过30%"</formula>
    </cfRule>
  </conditionalFormatting>
  <conditionalFormatting sqref="G46">
    <cfRule type="expression" dxfId="152" priority="12" stopIfTrue="1">
      <formula>$H$46="超过30%"</formula>
    </cfRule>
  </conditionalFormatting>
  <conditionalFormatting sqref="G47">
    <cfRule type="expression" dxfId="151" priority="11" stopIfTrue="1">
      <formula>$H$47="超过20%"</formula>
    </cfRule>
  </conditionalFormatting>
  <conditionalFormatting sqref="J46">
    <cfRule type="containsText" dxfId="150" priority="10" stopIfTrue="1" operator="containsText" text="超过">
      <formula>NOT(ISERROR(SEARCH("超过",J46)))</formula>
    </cfRule>
  </conditionalFormatting>
  <conditionalFormatting sqref="J48">
    <cfRule type="containsText" dxfId="149" priority="9" stopIfTrue="1" operator="containsText" text="超过">
      <formula>NOT(ISERROR(SEARCH("超过",J48)))</formula>
    </cfRule>
  </conditionalFormatting>
  <conditionalFormatting sqref="J47">
    <cfRule type="containsText" dxfId="148" priority="8" stopIfTrue="1" operator="containsText" text="超过">
      <formula>NOT(ISERROR(SEARCH("超过",J47)))</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F42">
    <cfRule type="expression" dxfId="144" priority="4">
      <formula>$D$42="简单平均"</formula>
    </cfRule>
  </conditionalFormatting>
  <conditionalFormatting sqref="H42">
    <cfRule type="expression" dxfId="143" priority="3">
      <formula>$D$42="简单平均"</formula>
    </cfRule>
  </conditionalFormatting>
  <conditionalFormatting sqref="J42">
    <cfRule type="expression" dxfId="142" priority="2">
      <formula>$D$42="简单平均"</formula>
    </cfRule>
  </conditionalFormatting>
  <conditionalFormatting sqref="F7:F40 H7:H40 J7:J40">
    <cfRule type="cellIs" dxfId="14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80" zoomScaleNormal="70" zoomScaleSheetLayoutView="8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3360</v>
      </c>
      <c r="C2" s="1387" t="s">
        <v>805</v>
      </c>
      <c r="D2" s="1387"/>
      <c r="E2" s="1388"/>
      <c r="F2" s="1389"/>
      <c r="G2" s="2706"/>
      <c r="H2" s="2695"/>
      <c r="I2" s="2695"/>
      <c r="J2" s="2695"/>
      <c r="K2" s="2696"/>
      <c r="L2" s="2695"/>
      <c r="M2" s="2695"/>
    </row>
    <row r="3" spans="1:37" ht="18" customHeight="1" thickBot="1">
      <c r="A3" s="1390" t="s">
        <v>806</v>
      </c>
      <c r="B3" s="1391">
        <f ca="1">IF(ISERROR(B2*10000/F43),0,ROUND(B2*10000/F43,0))</f>
        <v>8771</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214</v>
      </c>
      <c r="D5" s="1364" t="s">
        <v>693</v>
      </c>
      <c r="E5" s="1071"/>
      <c r="F5" s="1072"/>
      <c r="G5" s="1384"/>
      <c r="H5" s="299">
        <v>1</v>
      </c>
      <c r="I5" s="300" t="s">
        <v>692</v>
      </c>
      <c r="J5" s="1070">
        <f ca="1">J6+J10+J12</f>
        <v>0</v>
      </c>
      <c r="K5" s="1364" t="s">
        <v>693</v>
      </c>
      <c r="L5" s="1071"/>
      <c r="M5" s="1072"/>
    </row>
    <row r="6" spans="1:37" ht="18" customHeight="1">
      <c r="A6" s="1069" t="s">
        <v>398</v>
      </c>
      <c r="B6" s="3736" t="s">
        <v>694</v>
      </c>
      <c r="C6" s="1074">
        <f ca="1">ROUND(F6*F8*F7*(1-F9)/10000,0)</f>
        <v>214</v>
      </c>
      <c r="D6" s="155" t="s">
        <v>2109</v>
      </c>
      <c r="E6" s="302" t="s">
        <v>696</v>
      </c>
      <c r="F6" s="303">
        <f ca="1">INDIRECT("'数据-取费表'!u"&amp;$G$1)</f>
        <v>1.7</v>
      </c>
      <c r="G6" s="1384"/>
      <c r="H6" s="1069" t="s">
        <v>398</v>
      </c>
      <c r="I6" s="3736" t="s">
        <v>694</v>
      </c>
      <c r="J6" s="301">
        <f ca="1">ROUND(M6*M8*M7*(1-M9)/10000,0)</f>
        <v>0</v>
      </c>
      <c r="K6" s="155" t="s">
        <v>2108</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3830.64</v>
      </c>
      <c r="G7" s="1384"/>
      <c r="H7" s="304"/>
      <c r="I7" s="3737"/>
      <c r="J7" s="306"/>
      <c r="K7" s="307"/>
      <c r="L7" s="302" t="s">
        <v>697</v>
      </c>
      <c r="M7" s="303">
        <f ca="1">F7</f>
        <v>3830.64</v>
      </c>
    </row>
    <row r="8" spans="1:37" ht="18" customHeight="1">
      <c r="A8" s="304"/>
      <c r="B8" s="3737"/>
      <c r="C8" s="306"/>
      <c r="D8" s="307"/>
      <c r="E8" s="302" t="s">
        <v>698</v>
      </c>
      <c r="F8" s="303">
        <f ca="1">INDIRECT("'数据-取费表'!ai"&amp;$G$1)</f>
        <v>365</v>
      </c>
      <c r="G8" s="1384"/>
      <c r="H8" s="304"/>
      <c r="I8" s="3737"/>
      <c r="J8" s="306"/>
      <c r="K8" s="307"/>
      <c r="L8" s="302" t="s">
        <v>698</v>
      </c>
      <c r="M8" s="303">
        <f ca="1">INDIRECT("'数据-取费表'!ai"&amp;$G$1)</f>
        <v>365</v>
      </c>
    </row>
    <row r="9" spans="1:37" ht="18" customHeight="1">
      <c r="A9" s="304"/>
      <c r="B9" s="3738"/>
      <c r="C9" s="306"/>
      <c r="D9" s="307"/>
      <c r="E9" s="302" t="s">
        <v>699</v>
      </c>
      <c r="F9" s="312">
        <f ca="1">INDIRECT("'数据-取费表'!w"&amp;$G$1)</f>
        <v>0.1</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3431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1508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1341</v>
      </c>
      <c r="D14" s="1345" t="s">
        <v>708</v>
      </c>
      <c r="E14" s="1342"/>
      <c r="F14" s="319"/>
      <c r="G14" s="1384"/>
      <c r="H14" s="982" t="s">
        <v>398</v>
      </c>
      <c r="I14" s="302" t="s">
        <v>709</v>
      </c>
      <c r="J14" s="21">
        <f ca="1">C29</f>
        <v>1885</v>
      </c>
      <c r="K14" s="12"/>
      <c r="L14" s="807"/>
      <c r="M14" s="808"/>
    </row>
    <row r="15" spans="1:37" s="1397" customFormat="1" ht="18" customHeight="1" thickBot="1">
      <c r="A15" s="982" t="s">
        <v>399</v>
      </c>
      <c r="B15" s="302" t="s">
        <v>710</v>
      </c>
      <c r="C15" s="21">
        <f ca="1">ROUND(C14*F15,0)</f>
        <v>67</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77</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1512</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30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5.66</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48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154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1885</v>
      </c>
      <c r="D29" s="1092"/>
      <c r="E29" s="1090"/>
      <c r="F29" s="1093"/>
      <c r="G29" s="1396"/>
      <c r="H29" s="334" t="s">
        <v>396</v>
      </c>
      <c r="I29" s="335" t="s">
        <v>768</v>
      </c>
      <c r="J29" s="336">
        <f ca="1">ROUND(J26/(1+F40)^F41,0)</f>
        <v>0</v>
      </c>
      <c r="K29" s="337" t="s">
        <v>769</v>
      </c>
      <c r="L29" s="338"/>
      <c r="M29" s="339">
        <f ca="1">INDIRECT("'数据-取费表'!k"&amp;$G$1)</f>
        <v>3830.64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35.67</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11.21</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24.46</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5.66</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ROUND(C13*F37,2)</f>
        <v>1.51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4.28</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167</v>
      </c>
      <c r="D39" s="1095" t="s">
        <v>773</v>
      </c>
      <c r="E39" s="1096"/>
      <c r="F39" s="1097"/>
      <c r="G39" s="1384"/>
      <c r="H39" s="2700"/>
      <c r="I39" s="1398"/>
      <c r="J39" s="1399"/>
      <c r="K39" s="2704"/>
      <c r="L39" s="2700"/>
      <c r="M39" s="2700"/>
    </row>
    <row r="40" spans="1:18" ht="18" customHeight="1">
      <c r="A40" s="299" t="s">
        <v>395</v>
      </c>
      <c r="B40" s="300" t="s">
        <v>774</v>
      </c>
      <c r="C40" s="301">
        <f ca="1">ROUND(C39*(1-((1+F42)/(1+F40))^F41)/(F40-F42),0)</f>
        <v>3299</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34.69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8612</v>
      </c>
      <c r="D43" s="337" t="s">
        <v>777</v>
      </c>
      <c r="E43" s="338" t="s">
        <v>778</v>
      </c>
      <c r="F43" s="339">
        <f ca="1">INDIRECT("'数据-取费表'!k"&amp;$G$1)</f>
        <v>3830.64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-3413</v>
      </c>
      <c r="D46" s="1406" t="str">
        <f>C2</f>
        <v>万元</v>
      </c>
      <c r="E46" s="1400"/>
      <c r="F46" s="1400"/>
      <c r="I46" s="1407" t="s">
        <v>810</v>
      </c>
      <c r="J46" s="1408"/>
      <c r="K46" s="1409"/>
      <c r="L46" s="1410">
        <f ca="1">IF(M47="住宅",0,IF(L48&gt;J51,L60,J60))</f>
        <v>61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3299</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34.69</v>
      </c>
      <c r="O48" s="1418" t="s">
        <v>404</v>
      </c>
      <c r="P48" s="1419" t="s">
        <v>821</v>
      </c>
      <c r="Q48" s="1420">
        <f ca="1">J60</f>
        <v>61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'数据-取费表'!N18</f>
        <v>2013</v>
      </c>
      <c r="K49" s="1423" t="s">
        <v>824</v>
      </c>
      <c r="L49" s="1427"/>
      <c r="O49" s="1428" t="s">
        <v>405</v>
      </c>
      <c r="P49" s="1419" t="s">
        <v>825</v>
      </c>
      <c r="Q49" s="1420">
        <f ca="1">C29</f>
        <v>1885</v>
      </c>
      <c r="R49" s="1420" t="s">
        <v>818</v>
      </c>
    </row>
    <row r="50" spans="1:18" s="1384" customFormat="1" ht="13.5" thickBot="1">
      <c r="A50" s="976"/>
      <c r="B50" s="979"/>
      <c r="C50" s="1118"/>
      <c r="D50" s="953"/>
      <c r="E50" s="1056" t="s">
        <v>697</v>
      </c>
      <c r="F50" s="1057">
        <f ca="1">F7</f>
        <v>3830.64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1200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34.69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34.69</v>
      </c>
      <c r="K53" s="3734" t="s">
        <v>837</v>
      </c>
      <c r="L53" s="3735"/>
      <c r="O53" s="1418" t="s">
        <v>409</v>
      </c>
      <c r="P53" s="1419" t="s">
        <v>838</v>
      </c>
      <c r="Q53" s="1420">
        <f ca="1">Q47+Q48</f>
        <v>3360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0.222</v>
      </c>
      <c r="K55" s="1445" t="s">
        <v>841</v>
      </c>
      <c r="L55" s="1446"/>
      <c r="O55" s="1411" t="s">
        <v>811</v>
      </c>
      <c r="P55" s="1412" t="s">
        <v>812</v>
      </c>
      <c r="Q55" s="1413" t="s">
        <v>813</v>
      </c>
      <c r="R55" s="1413" t="s">
        <v>814</v>
      </c>
    </row>
    <row r="56" spans="1:18" s="1384" customFormat="1" ht="25.5" thickTop="1" thickBot="1">
      <c r="A56" s="957">
        <v>2</v>
      </c>
      <c r="B56" s="958" t="s">
        <v>704</v>
      </c>
      <c r="C56" s="232">
        <f ca="1">C13</f>
        <v>1508</v>
      </c>
      <c r="D56" s="1447"/>
      <c r="E56" s="1448"/>
      <c r="F56" s="1440"/>
      <c r="I56" s="1449" t="s">
        <v>842</v>
      </c>
      <c r="J56" s="1450" t="s">
        <v>3423</v>
      </c>
      <c r="K56" s="1421" t="s">
        <v>843</v>
      </c>
      <c r="L56" s="1424" t="str">
        <f ca="1">IF(L48&lt;J51,"——",L48-J53)</f>
        <v>——</v>
      </c>
      <c r="O56" s="1418" t="s">
        <v>403</v>
      </c>
      <c r="P56" s="1419" t="s">
        <v>817</v>
      </c>
      <c r="Q56" s="1420">
        <f ca="1">C40+J29</f>
        <v>3299</v>
      </c>
      <c r="R56" s="1420" t="s">
        <v>818</v>
      </c>
    </row>
    <row r="57" spans="1:18" s="1384" customFormat="1" ht="24.75" thickBot="1">
      <c r="A57" s="1451"/>
      <c r="B57" s="950" t="s">
        <v>767</v>
      </c>
      <c r="C57" s="238">
        <f ca="1">C29</f>
        <v>1885</v>
      </c>
      <c r="D57" s="1452"/>
      <c r="E57" s="1453"/>
      <c r="F57" s="1454"/>
      <c r="I57" s="1455" t="s">
        <v>844</v>
      </c>
      <c r="J57" s="1456">
        <f ca="1">IF(OR(M47="住宅",J51&lt;L48,J56="是"),"——",J51-L48)</f>
        <v>13.310000000000002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754</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61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3299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5.66</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1.51</v>
      </c>
      <c r="D65" s="964" t="s">
        <v>743</v>
      </c>
      <c r="E65" s="950" t="s">
        <v>744</v>
      </c>
      <c r="F65" s="330">
        <f t="shared" ca="1" si="0"/>
        <v>1E-3</v>
      </c>
      <c r="I65" s="1462" t="s">
        <v>867</v>
      </c>
      <c r="J65" s="1463">
        <v>40</v>
      </c>
      <c r="K65" s="1463">
        <v>30</v>
      </c>
      <c r="L65" s="1463">
        <v>50</v>
      </c>
      <c r="M65" s="1465">
        <v>0.02</v>
      </c>
      <c r="O65" s="1418" t="s">
        <v>403</v>
      </c>
      <c r="P65" s="1419" t="s">
        <v>868</v>
      </c>
      <c r="Q65" s="1420">
        <f ca="1">C40+J29</f>
        <v>3299</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1200</v>
      </c>
      <c r="R67" s="1420" t="s">
        <v>870</v>
      </c>
    </row>
    <row r="68" spans="1:18" s="1384" customFormat="1" ht="16.5" thickBot="1">
      <c r="A68" s="947" t="s">
        <v>395</v>
      </c>
      <c r="B68" s="948" t="s">
        <v>774</v>
      </c>
      <c r="C68" s="301">
        <f ca="1">ROUND(C67*(1-((1+F70)/(1+F68))^F69)/(F68-F70),0)</f>
        <v>-114</v>
      </c>
      <c r="D68" s="965" t="s">
        <v>758</v>
      </c>
      <c r="E68" s="950" t="s">
        <v>759</v>
      </c>
      <c r="F68" s="312">
        <f ca="1">F40</f>
        <v>0.05</v>
      </c>
      <c r="O68" s="1428" t="s">
        <v>406</v>
      </c>
      <c r="P68" s="1467" t="s">
        <v>871</v>
      </c>
      <c r="Q68" s="1420">
        <f ca="1">ROUND(Q69-Q70*Q71,0)</f>
        <v>61</v>
      </c>
      <c r="R68" s="1420" t="s">
        <v>414</v>
      </c>
    </row>
    <row r="69" spans="1:18" s="1384" customFormat="1" ht="13.5" thickBot="1">
      <c r="A69" s="951"/>
      <c r="B69" s="952"/>
      <c r="C69" s="306"/>
      <c r="D69" s="970" t="s">
        <v>762</v>
      </c>
      <c r="E69" s="950" t="s">
        <v>763</v>
      </c>
      <c r="F69" s="333">
        <f ca="1">F41</f>
        <v>34.69</v>
      </c>
      <c r="O69" s="1428" t="s">
        <v>411</v>
      </c>
      <c r="P69" s="1467" t="s">
        <v>872</v>
      </c>
      <c r="Q69" s="1420">
        <f ca="1">C39</f>
        <v>167</v>
      </c>
      <c r="R69" s="1420" t="s">
        <v>818</v>
      </c>
    </row>
    <row r="70" spans="1:18" s="1384" customFormat="1" ht="13.5" thickBot="1">
      <c r="A70" s="954"/>
      <c r="B70" s="955"/>
      <c r="C70" s="310"/>
      <c r="D70" s="966"/>
      <c r="E70" s="950" t="s">
        <v>766</v>
      </c>
      <c r="F70" s="1054"/>
      <c r="O70" s="1428" t="s">
        <v>412</v>
      </c>
      <c r="P70" s="1467" t="s">
        <v>873</v>
      </c>
      <c r="Q70" s="1420">
        <f ca="1">C13</f>
        <v>1508</v>
      </c>
      <c r="R70" s="1420" t="s">
        <v>818</v>
      </c>
    </row>
    <row r="71" spans="1:18" s="1384" customFormat="1" ht="13.5" thickBot="1">
      <c r="A71" s="971" t="s">
        <v>396</v>
      </c>
      <c r="B71" s="972" t="s">
        <v>776</v>
      </c>
      <c r="C71" s="336">
        <f ca="1">ROUND(C68*10000/F71,0)</f>
        <v>-298</v>
      </c>
      <c r="D71" s="973" t="s">
        <v>777</v>
      </c>
      <c r="E71" s="974" t="s">
        <v>778</v>
      </c>
      <c r="F71" s="339">
        <f ca="1">F43</f>
        <v>3830.64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106</v>
      </c>
      <c r="D75" s="1384"/>
      <c r="E75" s="1384"/>
      <c r="F75" s="1384"/>
      <c r="K75" s="1402"/>
      <c r="L75" s="1384"/>
      <c r="O75" s="1418" t="s">
        <v>409</v>
      </c>
      <c r="P75" s="1419" t="s">
        <v>838</v>
      </c>
      <c r="Q75" s="1420">
        <f ca="1">Q65+Q66</f>
        <v>3299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0.36499999999999999</v>
      </c>
    </row>
    <row r="80" spans="1:18">
      <c r="B80" s="340" t="s">
        <v>800</v>
      </c>
      <c r="C80" s="274">
        <f ca="1">ROUND(C75/C39,3)</f>
        <v>0.63500000000000001</v>
      </c>
    </row>
    <row r="81" spans="2:3">
      <c r="B81" s="270" t="s">
        <v>801</v>
      </c>
      <c r="C81" s="238"/>
    </row>
    <row r="82" spans="2:3">
      <c r="B82" s="273" t="s">
        <v>802</v>
      </c>
      <c r="C82" s="275">
        <f ca="1">1-C83</f>
        <v>0.54299999999999993</v>
      </c>
    </row>
    <row r="83" spans="2:3">
      <c r="B83" s="273" t="s">
        <v>803</v>
      </c>
      <c r="C83" s="274">
        <f ca="1">ROUND(C13/C40,3)</f>
        <v>0.45700000000000002</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I37" sqref="I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34.69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3362.5599000000002</v>
      </c>
      <c r="C2" s="1387" t="s">
        <v>879</v>
      </c>
      <c r="D2" s="1471">
        <f ca="1">C40+J29+L46</f>
        <v>33625599</v>
      </c>
      <c r="E2" s="1388" t="s">
        <v>880</v>
      </c>
      <c r="F2" s="1389"/>
      <c r="G2" s="2706"/>
      <c r="H2" s="2695"/>
      <c r="I2" s="2695"/>
      <c r="J2" s="2695"/>
      <c r="K2" s="2696"/>
      <c r="L2" s="2695"/>
      <c r="M2" s="2695"/>
    </row>
    <row r="3" spans="1:37" ht="18" customHeight="1" thickBot="1">
      <c r="A3" s="1390" t="s">
        <v>881</v>
      </c>
      <c r="B3" s="1391">
        <f ca="1">IF(ISERROR(D2/F43),0,ROUND(D2/F43,0))</f>
        <v>8778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2141895</v>
      </c>
      <c r="D5" s="1364" t="s">
        <v>889</v>
      </c>
      <c r="E5" s="1071"/>
      <c r="F5" s="1072"/>
      <c r="G5" s="1384"/>
      <c r="H5" s="299">
        <v>1</v>
      </c>
      <c r="I5" s="300" t="s">
        <v>888</v>
      </c>
      <c r="J5" s="1070">
        <f ca="1">J6+J10+J12</f>
        <v>0</v>
      </c>
      <c r="K5" s="1364" t="s">
        <v>889</v>
      </c>
      <c r="L5" s="1071"/>
      <c r="M5" s="1072"/>
    </row>
    <row r="6" spans="1:37" ht="18" customHeight="1">
      <c r="A6" s="1069" t="s">
        <v>398</v>
      </c>
      <c r="B6" s="3736" t="s">
        <v>694</v>
      </c>
      <c r="C6" s="1074">
        <f ca="1">ROUND(F6*F8*F7*(1-F9),0)</f>
        <v>2139221</v>
      </c>
      <c r="D6" s="155" t="s">
        <v>2106</v>
      </c>
      <c r="E6" s="302" t="s">
        <v>696</v>
      </c>
      <c r="F6" s="303">
        <f ca="1">INDIRECT("'数据-取费表'!u"&amp;$G$1)</f>
        <v>1.7</v>
      </c>
      <c r="G6" s="1384"/>
      <c r="H6" s="1069" t="s">
        <v>398</v>
      </c>
      <c r="I6" s="3736" t="s">
        <v>694</v>
      </c>
      <c r="J6" s="301">
        <f ca="1">ROUND(M6*M8*M7*(1-M9),0)</f>
        <v>0</v>
      </c>
      <c r="K6" s="1376" t="s">
        <v>2107</v>
      </c>
      <c r="L6" s="302" t="s">
        <v>696</v>
      </c>
      <c r="M6" s="303">
        <f ca="1">INDIRECT("'数据-取费表'!z"&amp;$G$1)</f>
        <v>0</v>
      </c>
    </row>
    <row r="7" spans="1:37" ht="18" customHeight="1">
      <c r="A7" s="1073"/>
      <c r="B7" s="3737"/>
      <c r="C7" s="1075"/>
      <c r="D7" s="307"/>
      <c r="E7" s="1076" t="s">
        <v>697</v>
      </c>
      <c r="F7" s="303">
        <f ca="1">IF(INDIRECT("'数据-取费表'!ah"&amp;$G$1)="",INDIRECT("'数据-取费表'!k"&amp;$G$1),INDIRECT("'数据-取费表'!ah"&amp;$G$1))</f>
        <v>3830.64</v>
      </c>
      <c r="G7" s="1384"/>
      <c r="H7" s="304"/>
      <c r="I7" s="3737"/>
      <c r="J7" s="306"/>
      <c r="K7" s="307"/>
      <c r="L7" s="302" t="s">
        <v>697</v>
      </c>
      <c r="M7" s="303">
        <f ca="1">F7</f>
        <v>3830.64</v>
      </c>
    </row>
    <row r="8" spans="1:37" ht="18" customHeight="1">
      <c r="A8" s="304"/>
      <c r="B8" s="3737"/>
      <c r="C8" s="306"/>
      <c r="D8" s="307"/>
      <c r="E8" s="302" t="s">
        <v>698</v>
      </c>
      <c r="F8" s="303">
        <f ca="1">INDIRECT("'数据-取费表'!ai"&amp;$G$1)</f>
        <v>365</v>
      </c>
      <c r="G8" s="1384"/>
      <c r="H8" s="304"/>
      <c r="I8" s="3737"/>
      <c r="J8" s="306"/>
      <c r="K8" s="307"/>
      <c r="L8" s="302" t="s">
        <v>698</v>
      </c>
      <c r="M8" s="303">
        <f ca="1">INDIRECT("'数据-取费表'!ai"&amp;$G$1)</f>
        <v>365</v>
      </c>
    </row>
    <row r="9" spans="1:37" ht="18" customHeight="1">
      <c r="A9" s="304"/>
      <c r="B9" s="3738"/>
      <c r="C9" s="306"/>
      <c r="D9" s="307"/>
      <c r="E9" s="302" t="s">
        <v>699</v>
      </c>
      <c r="F9" s="312">
        <f ca="1">INDIRECT("'数据-取费表'!w"&amp;$G$1)</f>
        <v>0.1</v>
      </c>
      <c r="G9" s="1384"/>
      <c r="H9" s="304"/>
      <c r="I9" s="3738"/>
      <c r="J9" s="306"/>
      <c r="K9" s="307"/>
      <c r="L9" s="313" t="s">
        <v>699</v>
      </c>
      <c r="M9" s="314">
        <f ca="1">INDIRECT("'数据-取费表'!ab"&amp;$G$1)</f>
        <v>0</v>
      </c>
    </row>
    <row r="10" spans="1:37" ht="18" customHeight="1">
      <c r="A10" s="1069" t="s">
        <v>402</v>
      </c>
      <c r="B10" s="1365" t="s">
        <v>700</v>
      </c>
      <c r="C10" s="316">
        <f ca="1">ROUND(IF(F10="押一",C6/12*F11,IF(F10="押二",C6/12*2*F11,IF(F10="押三",C6/12*3*F11,C11*F11))),0)</f>
        <v>2674</v>
      </c>
      <c r="D10" s="1366" t="s">
        <v>2116</v>
      </c>
      <c r="E10" s="313" t="s">
        <v>701</v>
      </c>
      <c r="F10" s="1116" t="s">
        <v>3431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15081502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13407240</v>
      </c>
      <c r="D14" s="1345" t="s">
        <v>708</v>
      </c>
      <c r="E14" s="1342"/>
      <c r="F14" s="319"/>
      <c r="G14" s="1384"/>
      <c r="H14" s="982" t="s">
        <v>398</v>
      </c>
      <c r="I14" s="302" t="s">
        <v>709</v>
      </c>
      <c r="J14" s="21">
        <f ca="1">C29</f>
        <v>18851877</v>
      </c>
      <c r="K14" s="12"/>
      <c r="L14" s="807"/>
      <c r="M14" s="808"/>
    </row>
    <row r="15" spans="1:37" s="1397" customFormat="1" ht="18" customHeight="1" thickBot="1">
      <c r="A15" s="982" t="s">
        <v>399</v>
      </c>
      <c r="B15" s="302" t="s">
        <v>710</v>
      </c>
      <c r="C15" s="21">
        <f ca="1">ROUND(C14*F15,0)</f>
        <v>670362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56556</v>
      </c>
      <c r="K16" s="1087" t="s">
        <v>715</v>
      </c>
      <c r="L16" s="1088"/>
      <c r="M16" s="1072"/>
    </row>
    <row r="17" spans="1:37" s="1397" customFormat="1" ht="18" customHeight="1">
      <c r="A17" s="982" t="s">
        <v>681</v>
      </c>
      <c r="B17" s="302" t="s">
        <v>716</v>
      </c>
      <c r="C17" s="21">
        <f ca="1">ROUND(F17*(F43+INDIRECT("'数据-取费表'!S"&amp;$G$1)),0)</f>
        <v>766128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268145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15111875</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302238</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56556</v>
      </c>
      <c r="K22" s="1344" t="s">
        <v>739</v>
      </c>
      <c r="L22" s="302" t="s">
        <v>712</v>
      </c>
      <c r="M22" s="328">
        <f ca="1">INDIRECT("'数据-取费表'!Ak"&amp;$G$1)</f>
        <v>3.0000000000000001E-3</v>
      </c>
    </row>
    <row r="23" spans="1:37" s="1397" customFormat="1" ht="18" customHeight="1">
      <c r="A23" s="982" t="s">
        <v>397</v>
      </c>
      <c r="B23" s="302" t="s">
        <v>740</v>
      </c>
      <c r="C23" s="21">
        <f ca="1">IF('数据-取费表'!B22&lt;=1,ROUND(C19*F24*F23/2,0)+ROUND(C20*F24*F23/2,0),ROUND(C19*(POWER((1+F24),F23/2)-1),0)+ROUND(C20*(POWER((1+F24),F23/2)-1),0))</f>
        <v>482462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3.1300000000000001E-2</v>
      </c>
      <c r="G24" s="1396"/>
      <c r="H24" s="1089" t="s">
        <v>684</v>
      </c>
      <c r="I24" s="1090" t="s">
        <v>728</v>
      </c>
      <c r="J24" s="1091">
        <f ca="1">ROUND(J5*M24,0)</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-56556</v>
      </c>
      <c r="K25" s="1095" t="s">
        <v>753</v>
      </c>
      <c r="L25" s="1096"/>
      <c r="M25" s="1097"/>
    </row>
    <row r="26" spans="1:37" ht="18" customHeight="1">
      <c r="A26" s="982" t="s">
        <v>397</v>
      </c>
      <c r="B26" s="302" t="s">
        <v>754</v>
      </c>
      <c r="C26" s="21">
        <f ca="1">ROUND((C19+C20)*F26,0)</f>
        <v>1541411</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18851877</v>
      </c>
      <c r="D29" s="1092"/>
      <c r="E29" s="1090"/>
      <c r="F29" s="1093"/>
      <c r="G29" s="1396"/>
      <c r="H29" s="334" t="s">
        <v>396</v>
      </c>
      <c r="I29" s="335" t="s">
        <v>768</v>
      </c>
      <c r="J29" s="336">
        <f ca="1">ROUND(J26/(1+F40)^F41,0)</f>
        <v>0</v>
      </c>
      <c r="K29" s="337" t="s">
        <v>769</v>
      </c>
      <c r="L29" s="338"/>
      <c r="M29" s="339">
        <f ca="1">INDIRECT("'数据-取费表'!k"&amp;$G$1)</f>
        <v>3830.64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471012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356536</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112054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244482</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56556</v>
      </c>
      <c r="D36" s="1344" t="s">
        <v>771</v>
      </c>
      <c r="E36" s="302" t="s">
        <v>712</v>
      </c>
      <c r="F36" s="328">
        <f ca="1">INDIRECT("'数据-取费表'!Ak"&amp;$G$1)</f>
        <v>3.0000000000000001E-3</v>
      </c>
      <c r="G36" s="1384"/>
      <c r="H36" s="2700"/>
      <c r="I36" s="1398"/>
      <c r="J36" s="1399"/>
      <c r="K36" s="2544"/>
      <c r="L36" s="2700"/>
      <c r="M36" s="2700"/>
    </row>
    <row r="37" spans="1:18" ht="18" customHeight="1">
      <c r="A37" s="982" t="s">
        <v>437</v>
      </c>
      <c r="B37" s="302" t="s">
        <v>742</v>
      </c>
      <c r="C37" s="21">
        <f ca="1">ROUND(C13*F37,0)</f>
        <v>15082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42838</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1670883</v>
      </c>
      <c r="D39" s="1095" t="s">
        <v>773</v>
      </c>
      <c r="E39" s="1096"/>
      <c r="F39" s="1097"/>
      <c r="G39" s="1384"/>
      <c r="H39" s="2700"/>
      <c r="I39" s="1398"/>
      <c r="J39" s="1399"/>
      <c r="K39" s="2704"/>
      <c r="L39" s="2700"/>
      <c r="M39" s="2700"/>
    </row>
    <row r="40" spans="1:18" ht="18" customHeight="1">
      <c r="A40" s="299" t="s">
        <v>395</v>
      </c>
      <c r="B40" s="300" t="s">
        <v>774</v>
      </c>
      <c r="C40" s="301">
        <f ca="1">ROUND(C39*(1-((1+F42)/(1+F40))^F41)/(F40-F42),0)</f>
        <v>33012042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34.69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ROUND(C40/F43,0)</f>
        <v>8618</v>
      </c>
      <c r="D43" s="337" t="s">
        <v>777</v>
      </c>
      <c r="E43" s="338" t="s">
        <v>778</v>
      </c>
      <c r="F43" s="339">
        <f ca="1">INDIRECT("'数据-取费表'!k"&amp;$G$1)</f>
        <v>3830.64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f ca="1">ROUND((C68-C40)/10000,4)</f>
        <v>-3418.1098000000002</v>
      </c>
      <c r="D45" s="3432" t="s">
        <v>3351</v>
      </c>
      <c r="E45" s="1400"/>
      <c r="F45" s="1400"/>
      <c r="O45" s="1403" t="s">
        <v>808</v>
      </c>
      <c r="P45" s="1461"/>
      <c r="Q45" s="1461"/>
      <c r="R45" s="1461"/>
    </row>
    <row r="46" spans="1:18" s="1384" customFormat="1" ht="13.5" thickBot="1">
      <c r="A46" s="1404" t="s">
        <v>809</v>
      </c>
      <c r="C46" s="1405">
        <f ca="1">ROUND(C45,0)</f>
        <v>-3418</v>
      </c>
      <c r="D46" s="1406" t="str">
        <f>C2</f>
        <v>万元</v>
      </c>
      <c r="I46" s="1407" t="s">
        <v>810</v>
      </c>
      <c r="J46" s="1408"/>
      <c r="K46" s="1409"/>
      <c r="L46" s="1410">
        <f ca="1">IF(M47="住宅",0,IF(L48&gt;J51,L60,J60))</f>
        <v>613557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3432</v>
      </c>
      <c r="K47" s="1416" t="s">
        <v>816</v>
      </c>
      <c r="L47" s="1417">
        <f ca="1">INDIRECT("'数据-取费表'!d"&amp;$G$1)</f>
        <v>50</v>
      </c>
      <c r="M47" s="1380" t="str">
        <f>IF(ISNUMBER(FIND("住宅",C1)),"住宅","非住宅")</f>
        <v>非住宅</v>
      </c>
      <c r="O47" s="1418" t="s">
        <v>403</v>
      </c>
      <c r="P47" s="1419" t="s">
        <v>817</v>
      </c>
      <c r="Q47" s="1420">
        <f ca="1">C40+J29</f>
        <v>33012042</v>
      </c>
      <c r="R47" s="1420" t="s">
        <v>818</v>
      </c>
    </row>
    <row r="48" spans="1:18" s="1384" customFormat="1" ht="28.5" thickBot="1">
      <c r="A48" s="1110" t="s">
        <v>438</v>
      </c>
      <c r="B48" s="300" t="s">
        <v>692</v>
      </c>
      <c r="C48" s="1359">
        <f ca="1">C49+C53+C55</f>
        <v>0</v>
      </c>
      <c r="D48" s="1112"/>
      <c r="E48" s="1113"/>
      <c r="F48" s="962"/>
      <c r="G48" s="722"/>
      <c r="H48" s="723"/>
      <c r="I48" s="1421" t="s">
        <v>819</v>
      </c>
      <c r="J48" s="1422" t="s">
        <v>3433</v>
      </c>
      <c r="K48" s="1423" t="s">
        <v>820</v>
      </c>
      <c r="L48" s="1424">
        <f ca="1">INDIRECT("'数据-取费表'!f"&amp;$G$1)</f>
        <v>34.69</v>
      </c>
      <c r="O48" s="1418" t="s">
        <v>404</v>
      </c>
      <c r="P48" s="1419" t="s">
        <v>821</v>
      </c>
      <c r="Q48" s="1420">
        <f ca="1">J60</f>
        <v>613557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'数据-取费表'!N18</f>
        <v>2013</v>
      </c>
      <c r="K49" s="1423" t="s">
        <v>824</v>
      </c>
      <c r="L49" s="1427"/>
      <c r="O49" s="1428" t="s">
        <v>405</v>
      </c>
      <c r="P49" s="1419" t="s">
        <v>825</v>
      </c>
      <c r="Q49" s="1420">
        <f ca="1">C29</f>
        <v>18851877</v>
      </c>
      <c r="R49" s="1420" t="s">
        <v>818</v>
      </c>
    </row>
    <row r="50" spans="1:18" s="1384" customFormat="1" ht="13.5" thickBot="1">
      <c r="A50" s="976"/>
      <c r="B50" s="979"/>
      <c r="C50" s="980"/>
      <c r="D50" s="953"/>
      <c r="E50" s="1056" t="s">
        <v>697</v>
      </c>
      <c r="F50" s="1057">
        <f ca="1">F7</f>
        <v>3830.64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12017873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34.69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34.69</v>
      </c>
      <c r="K53" s="3734" t="s">
        <v>837</v>
      </c>
      <c r="L53" s="3735"/>
      <c r="O53" s="1418" t="s">
        <v>409</v>
      </c>
      <c r="P53" s="1419" t="s">
        <v>838</v>
      </c>
      <c r="Q53" s="1420">
        <f ca="1">Q47+Q48</f>
        <v>33625599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0.222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15081502</v>
      </c>
      <c r="D56" s="1447"/>
      <c r="E56" s="1448"/>
      <c r="F56" s="1440"/>
      <c r="I56" s="1449" t="s">
        <v>842</v>
      </c>
      <c r="J56" s="1450" t="s">
        <v>3423</v>
      </c>
      <c r="K56" s="1421" t="s">
        <v>843</v>
      </c>
      <c r="L56" s="1424" t="str">
        <f ca="1">IF(L48&lt;J51,"——",L48-J51)</f>
        <v>——</v>
      </c>
      <c r="O56" s="1418" t="s">
        <v>403</v>
      </c>
      <c r="P56" s="1419" t="s">
        <v>817</v>
      </c>
      <c r="Q56" s="1420">
        <f ca="1">C40+J29</f>
        <v>33012042</v>
      </c>
      <c r="R56" s="1420" t="s">
        <v>818</v>
      </c>
    </row>
    <row r="57" spans="1:18" s="1384" customFormat="1" ht="24.75" thickBot="1">
      <c r="A57" s="1451"/>
      <c r="B57" s="950" t="s">
        <v>767</v>
      </c>
      <c r="C57" s="238">
        <f ca="1">C29</f>
        <v>18851877</v>
      </c>
      <c r="D57" s="1452"/>
      <c r="E57" s="1453"/>
      <c r="F57" s="1454"/>
      <c r="I57" s="1455" t="s">
        <v>844</v>
      </c>
      <c r="J57" s="1456">
        <f ca="1">IF(OR(M47="住宅",J51&lt;L48,J56="是"),"——",J51-L48)</f>
        <v>13.310000000000002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71638</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7540751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613557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33012042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56556</v>
      </c>
      <c r="D64" s="964" t="s">
        <v>791</v>
      </c>
      <c r="E64" s="950" t="s">
        <v>783</v>
      </c>
      <c r="F64" s="328">
        <f t="shared" ca="1" si="0"/>
        <v>3.0000000000000001E-3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15082</v>
      </c>
      <c r="D65" s="964" t="s">
        <v>743</v>
      </c>
      <c r="E65" s="950" t="s">
        <v>744</v>
      </c>
      <c r="F65" s="330">
        <f t="shared" ca="1" si="0"/>
        <v>1E-3</v>
      </c>
      <c r="I65" s="1462" t="s">
        <v>867</v>
      </c>
      <c r="J65" s="1463">
        <v>40</v>
      </c>
      <c r="K65" s="1463">
        <v>30</v>
      </c>
      <c r="L65" s="1463">
        <v>50</v>
      </c>
      <c r="M65" s="1465">
        <v>0.02</v>
      </c>
      <c r="O65" s="1418" t="s">
        <v>403</v>
      </c>
      <c r="P65" s="1419" t="s">
        <v>868</v>
      </c>
      <c r="Q65" s="1420">
        <f ca="1">C40+J29</f>
        <v>33012042</v>
      </c>
      <c r="R65" s="1420" t="s">
        <v>818</v>
      </c>
    </row>
    <row r="66" spans="1:18" s="1384" customFormat="1" ht="16.5" thickBot="1">
      <c r="A66" s="982" t="s">
        <v>793</v>
      </c>
      <c r="B66" s="950" t="s">
        <v>728</v>
      </c>
      <c r="C66" s="21">
        <f ca="1">ROUND(C48*F66,0)</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-71638</v>
      </c>
      <c r="D67" s="963" t="s">
        <v>753</v>
      </c>
      <c r="E67" s="968"/>
      <c r="F67" s="969"/>
      <c r="O67" s="1428" t="s">
        <v>405</v>
      </c>
      <c r="P67" s="1419" t="s">
        <v>850</v>
      </c>
      <c r="Q67" s="1466">
        <f ca="1">L51</f>
        <v>12017873</v>
      </c>
      <c r="R67" s="1420" t="s">
        <v>870</v>
      </c>
    </row>
    <row r="68" spans="1:18" s="1384" customFormat="1" ht="16.5" thickBot="1">
      <c r="A68" s="947" t="s">
        <v>395</v>
      </c>
      <c r="B68" s="948" t="s">
        <v>774</v>
      </c>
      <c r="C68" s="301">
        <f ca="1">ROUND(C67*(1-((1+F70)/(1+F68))^F69)/(F68-F70),0)</f>
        <v>-1169056</v>
      </c>
      <c r="D68" s="965" t="s">
        <v>758</v>
      </c>
      <c r="E68" s="950" t="s">
        <v>759</v>
      </c>
      <c r="F68" s="312">
        <f ca="1">F40</f>
        <v>0.05</v>
      </c>
      <c r="O68" s="1428" t="s">
        <v>406</v>
      </c>
      <c r="P68" s="1467" t="s">
        <v>871</v>
      </c>
      <c r="Q68" s="1420">
        <f ca="1">ROUND(Q69-Q70*Q71,0)</f>
        <v>615178</v>
      </c>
      <c r="R68" s="1420" t="s">
        <v>414</v>
      </c>
    </row>
    <row r="69" spans="1:18" s="1384" customFormat="1" ht="13.5" thickBot="1">
      <c r="A69" s="951"/>
      <c r="B69" s="952"/>
      <c r="C69" s="306"/>
      <c r="D69" s="970" t="s">
        <v>762</v>
      </c>
      <c r="E69" s="950" t="s">
        <v>763</v>
      </c>
      <c r="F69" s="333">
        <f ca="1">F41</f>
        <v>34.69</v>
      </c>
      <c r="O69" s="1428" t="s">
        <v>411</v>
      </c>
      <c r="P69" s="1467" t="s">
        <v>872</v>
      </c>
      <c r="Q69" s="1420">
        <f ca="1">C39</f>
        <v>1670883</v>
      </c>
      <c r="R69" s="1420" t="s">
        <v>818</v>
      </c>
    </row>
    <row r="70" spans="1:18" s="1384" customFormat="1" ht="13.5" thickBot="1">
      <c r="A70" s="954"/>
      <c r="B70" s="955"/>
      <c r="C70" s="310"/>
      <c r="D70" s="966"/>
      <c r="E70" s="950" t="s">
        <v>766</v>
      </c>
      <c r="F70" s="1054"/>
      <c r="O70" s="1428" t="s">
        <v>412</v>
      </c>
      <c r="P70" s="1467" t="s">
        <v>873</v>
      </c>
      <c r="Q70" s="1420">
        <f ca="1">C13</f>
        <v>15081502</v>
      </c>
      <c r="R70" s="1420" t="s">
        <v>818</v>
      </c>
    </row>
    <row r="71" spans="1:18" s="1384" customFormat="1" ht="13.5" thickBot="1">
      <c r="A71" s="971" t="s">
        <v>396</v>
      </c>
      <c r="B71" s="972" t="s">
        <v>776</v>
      </c>
      <c r="C71" s="336">
        <f ca="1">ROUND(C68/F71,0)</f>
        <v>-305</v>
      </c>
      <c r="D71" s="973" t="s">
        <v>777</v>
      </c>
      <c r="E71" s="974" t="s">
        <v>778</v>
      </c>
      <c r="F71" s="339">
        <f ca="1">F43</f>
        <v>3830.64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1055705</v>
      </c>
      <c r="D75" s="1384"/>
      <c r="E75" s="1384"/>
      <c r="F75" s="1384"/>
      <c r="K75" s="1402"/>
      <c r="L75" s="1384"/>
      <c r="O75" s="1418" t="s">
        <v>409</v>
      </c>
      <c r="P75" s="1419" t="s">
        <v>838</v>
      </c>
      <c r="Q75" s="1420">
        <f ca="1">Q65+Q66</f>
        <v>33012042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0.36799999999999999</v>
      </c>
    </row>
    <row r="80" spans="1:18">
      <c r="B80" s="340" t="s">
        <v>800</v>
      </c>
      <c r="C80" s="274">
        <f ca="1">ROUND(C75/C39,3)</f>
        <v>0.63200000000000001</v>
      </c>
    </row>
    <row r="81" spans="2:3">
      <c r="B81" s="270" t="s">
        <v>801</v>
      </c>
      <c r="C81" s="238"/>
    </row>
    <row r="82" spans="2:3">
      <c r="B82" s="273" t="s">
        <v>802</v>
      </c>
      <c r="C82" s="275">
        <f ca="1">1-C83</f>
        <v>0.54299999999999993</v>
      </c>
    </row>
    <row r="83" spans="2:3">
      <c r="B83" s="273" t="s">
        <v>803</v>
      </c>
      <c r="C83" s="274">
        <f ca="1">ROUND(C13/C40,3)</f>
        <v>0.45700000000000002</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35" priority="4">
      <formula>$L$48&gt;$J$51</formula>
    </cfRule>
  </conditionalFormatting>
  <conditionalFormatting sqref="I55 I60">
    <cfRule type="expression" dxfId="134" priority="5">
      <formula>$J$51&gt;$L$48</formula>
    </cfRule>
  </conditionalFormatting>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739" t="s">
        <v>2317</v>
      </c>
      <c r="K2" s="3740"/>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741" t="s">
        <v>2327</v>
      </c>
      <c r="K3" s="3742"/>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741" t="s">
        <v>2329</v>
      </c>
      <c r="K4" s="3742"/>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43" t="s">
        <v>2333</v>
      </c>
      <c r="B6" s="3744"/>
      <c r="C6" s="3745"/>
      <c r="D6" s="2870"/>
      <c r="E6" s="2871"/>
      <c r="F6" s="2872"/>
      <c r="G6" s="2873"/>
      <c r="H6" s="2848"/>
      <c r="I6" s="2849"/>
      <c r="J6" s="3746">
        <v>1</v>
      </c>
      <c r="K6" s="374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746"/>
      <c r="K7" s="374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50" t="s">
        <v>2347</v>
      </c>
      <c r="C8" s="3751"/>
      <c r="D8" s="2889" t="s">
        <v>2348</v>
      </c>
      <c r="E8" s="2890" t="s">
        <v>2349</v>
      </c>
      <c r="F8" s="2891" t="s">
        <v>2350</v>
      </c>
      <c r="G8" s="2892"/>
      <c r="H8" s="2848"/>
      <c r="I8" s="2849"/>
      <c r="J8" s="3746"/>
      <c r="K8" s="374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50" t="s">
        <v>2353</v>
      </c>
      <c r="C9" s="3751"/>
      <c r="D9" s="2889">
        <f>ROUND(D6*E9,0)</f>
        <v>0</v>
      </c>
      <c r="E9" s="2893"/>
      <c r="F9" s="2894" t="s">
        <v>2354</v>
      </c>
      <c r="G9" s="2873"/>
      <c r="H9" s="2848"/>
      <c r="I9" s="2849"/>
      <c r="J9" s="3746"/>
      <c r="K9" s="3748"/>
      <c r="L9" s="2883" t="s">
        <v>2355</v>
      </c>
      <c r="M9" s="2884"/>
      <c r="N9" s="2860"/>
      <c r="O9" s="2885"/>
      <c r="P9" s="2885"/>
      <c r="Q9" s="2886">
        <v>365</v>
      </c>
      <c r="R9" s="2887">
        <f t="shared" si="0"/>
        <v>0</v>
      </c>
      <c r="S9" s="2841"/>
      <c r="T9" s="2841"/>
      <c r="U9" s="2841"/>
      <c r="V9" s="2849"/>
    </row>
    <row r="10" spans="1:22" s="2853" customFormat="1" ht="13.15" customHeight="1">
      <c r="A10" s="2888">
        <v>2</v>
      </c>
      <c r="B10" s="3750" t="s">
        <v>2356</v>
      </c>
      <c r="C10" s="3751"/>
      <c r="D10" s="2889">
        <f>ROUND(D6*E10,0)</f>
        <v>0</v>
      </c>
      <c r="E10" s="2893"/>
      <c r="F10" s="2894" t="s">
        <v>2357</v>
      </c>
      <c r="G10" s="2873"/>
      <c r="H10" s="2848"/>
      <c r="I10" s="2849"/>
      <c r="J10" s="3746"/>
      <c r="K10" s="3748"/>
      <c r="L10" s="2883" t="s">
        <v>2358</v>
      </c>
      <c r="M10" s="2884"/>
      <c r="N10" s="2860"/>
      <c r="O10" s="2885"/>
      <c r="P10" s="2885"/>
      <c r="Q10" s="2886">
        <v>365</v>
      </c>
      <c r="R10" s="2887">
        <f t="shared" si="0"/>
        <v>0</v>
      </c>
      <c r="S10" s="2841"/>
      <c r="T10" s="2841"/>
      <c r="U10" s="2841"/>
      <c r="V10" s="2849"/>
    </row>
    <row r="11" spans="1:22" s="2853" customFormat="1" ht="13.15" customHeight="1">
      <c r="A11" s="2888">
        <v>3</v>
      </c>
      <c r="B11" s="3750" t="s">
        <v>2359</v>
      </c>
      <c r="C11" s="3751"/>
      <c r="D11" s="2889">
        <f>D12+D14+D15+D16</f>
        <v>0</v>
      </c>
      <c r="E11" s="2895" t="e">
        <f>D11/D6</f>
        <v>#DIV/0!</v>
      </c>
      <c r="F11" s="2891"/>
      <c r="G11" s="2892"/>
      <c r="H11" s="2848"/>
      <c r="I11" s="2849"/>
      <c r="J11" s="3746"/>
      <c r="K11" s="374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752" t="s">
        <v>2362</v>
      </c>
      <c r="C12" s="3753"/>
      <c r="D12" s="2897">
        <f>ROUND(D13*1.2%*(1-30%),0)</f>
        <v>0</v>
      </c>
      <c r="E12" s="2898">
        <v>1.2E-2</v>
      </c>
      <c r="F12" s="2891" t="s">
        <v>2363</v>
      </c>
      <c r="G12" s="2892"/>
      <c r="H12" s="2848"/>
      <c r="I12" s="2849"/>
      <c r="J12" s="3746"/>
      <c r="K12" s="374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746"/>
      <c r="K13" s="374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752" t="s">
        <v>2368</v>
      </c>
      <c r="C14" s="3753"/>
      <c r="D14" s="2897">
        <f>ROUND(E14*B5/10000,0)</f>
        <v>0</v>
      </c>
      <c r="E14" s="2886"/>
      <c r="F14" s="2891" t="s">
        <v>2369</v>
      </c>
      <c r="G14" s="2892"/>
      <c r="H14" s="2848"/>
      <c r="I14" s="2849"/>
      <c r="J14" s="3746"/>
      <c r="K14" s="374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752" t="s">
        <v>2372</v>
      </c>
      <c r="C15" s="3753"/>
      <c r="D15" s="2897">
        <f>ROUND(D6*E15,0)</f>
        <v>0</v>
      </c>
      <c r="E15" s="2898">
        <v>5.5E-2</v>
      </c>
      <c r="F15" s="2891" t="s">
        <v>2373</v>
      </c>
      <c r="G15" s="2873"/>
      <c r="H15" s="2848"/>
      <c r="I15" s="2849"/>
      <c r="J15" s="3746">
        <v>2</v>
      </c>
      <c r="K15" s="374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752" t="s">
        <v>2381</v>
      </c>
      <c r="C16" s="3753"/>
      <c r="D16" s="2908">
        <f>D6*E16</f>
        <v>0</v>
      </c>
      <c r="E16" s="2909"/>
      <c r="F16" s="2894" t="s">
        <v>2382</v>
      </c>
      <c r="G16" s="2873"/>
      <c r="H16" s="2848"/>
      <c r="I16" s="2849"/>
      <c r="J16" s="3746"/>
      <c r="K16" s="374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754" t="s">
        <v>2384</v>
      </c>
      <c r="C17" s="3755"/>
      <c r="D17" s="2911">
        <f>ROUND(D6*E17,0)</f>
        <v>0</v>
      </c>
      <c r="E17" s="2912"/>
      <c r="F17" s="2913" t="s">
        <v>2385</v>
      </c>
      <c r="G17" s="2873"/>
      <c r="H17" s="2848"/>
      <c r="I17" s="2849"/>
      <c r="J17" s="3746"/>
      <c r="K17" s="374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746"/>
      <c r="K18" s="374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746"/>
      <c r="K19" s="374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46">
        <v>3</v>
      </c>
      <c r="K20" s="374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746"/>
      <c r="K21" s="374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746"/>
      <c r="K22" s="374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746"/>
      <c r="K23" s="374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746"/>
      <c r="K24" s="374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756">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757"/>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739" t="s">
        <v>2317</v>
      </c>
      <c r="K32" s="3740"/>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741" t="s">
        <v>2327</v>
      </c>
      <c r="K33" s="3742"/>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741" t="s">
        <v>2329</v>
      </c>
      <c r="K34" s="3742"/>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746">
        <v>1</v>
      </c>
      <c r="K36" s="374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746"/>
      <c r="K37" s="374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46"/>
      <c r="K38" s="374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746"/>
      <c r="K39" s="374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746"/>
      <c r="K40" s="374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756">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757"/>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3360</v>
      </c>
      <c r="C2" s="1872" t="s">
        <v>1651</v>
      </c>
      <c r="D2" s="1873" t="s">
        <v>1652</v>
      </c>
      <c r="E2" s="2607">
        <f>SUM(E6:E13)</f>
        <v>3830.64</v>
      </c>
      <c r="F2" s="2707"/>
      <c r="G2" s="1489"/>
      <c r="H2" s="1489"/>
      <c r="I2" s="1489"/>
      <c r="J2" s="1489"/>
      <c r="K2" s="1489"/>
      <c r="L2" s="1489"/>
      <c r="M2" s="1489"/>
      <c r="N2" s="1489"/>
      <c r="O2" s="1489"/>
      <c r="P2" s="1489"/>
      <c r="Q2" s="1489"/>
      <c r="R2" s="1489"/>
      <c r="S2" s="1489"/>
    </row>
    <row r="3" spans="1:22" ht="15.75">
      <c r="A3" s="1870" t="s">
        <v>686</v>
      </c>
      <c r="B3" s="2601">
        <f ca="1">ROUND(B2*10000/E2,0)</f>
        <v>8771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58" t="s">
        <v>1654</v>
      </c>
      <c r="C5" s="375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3360</v>
      </c>
      <c r="C6" s="1872" t="s">
        <v>1651</v>
      </c>
      <c r="D6" s="2709"/>
      <c r="E6" s="2606">
        <f>IF(OR(A6=0,F6="否"),0,'数据-取费表'!K6+'数据-取费表'!S6)</f>
        <v>3830.64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3830.64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698" t="s">
        <v>1668</v>
      </c>
      <c r="S4" s="3699"/>
      <c r="T4" s="3698" t="s">
        <v>1669</v>
      </c>
      <c r="U4" s="3699"/>
      <c r="V4" s="3723" t="s">
        <v>1670</v>
      </c>
      <c r="W4" s="3723"/>
      <c r="X4" s="1355"/>
      <c r="Y4" s="3698" t="s">
        <v>1672</v>
      </c>
      <c r="Z4" s="3699"/>
      <c r="AA4" s="3693" t="s">
        <v>1668</v>
      </c>
      <c r="AB4" s="3693" t="s">
        <v>1669</v>
      </c>
      <c r="AC4" s="3693" t="s">
        <v>1670</v>
      </c>
    </row>
    <row r="5" spans="1:29" ht="15">
      <c r="A5" s="358"/>
      <c r="B5" s="359"/>
      <c r="C5" s="3761" t="s">
        <v>1673</v>
      </c>
      <c r="D5" s="3705"/>
      <c r="E5" s="3760" t="s">
        <v>1674</v>
      </c>
      <c r="F5" s="3703"/>
      <c r="G5" s="3761" t="s">
        <v>1675</v>
      </c>
      <c r="H5" s="3705"/>
      <c r="I5" s="3761" t="s">
        <v>1676</v>
      </c>
      <c r="J5" s="3705"/>
      <c r="K5" s="1890"/>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1890"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45902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6" t="s">
        <v>1680</v>
      </c>
      <c r="Q7" s="3724"/>
      <c r="R7" s="701" t="s">
        <v>20</v>
      </c>
      <c r="S7" s="702">
        <f t="shared" ref="S7:S15" si="0">F7</f>
        <v>0</v>
      </c>
      <c r="T7" s="701" t="s">
        <v>20</v>
      </c>
      <c r="U7" s="702">
        <f t="shared" ref="U7:U15" si="1">H7</f>
        <v>0</v>
      </c>
      <c r="V7" s="701" t="s">
        <v>20</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6" t="s">
        <v>1683</v>
      </c>
      <c r="Q8" s="3697"/>
      <c r="R8" s="701" t="s">
        <v>20</v>
      </c>
      <c r="S8" s="702">
        <f t="shared" si="0"/>
        <v>100</v>
      </c>
      <c r="T8" s="701" t="s">
        <v>20</v>
      </c>
      <c r="U8" s="702">
        <f t="shared" si="1"/>
        <v>100</v>
      </c>
      <c r="V8" s="701" t="s">
        <v>20</v>
      </c>
      <c r="W8" s="702">
        <f t="shared" si="2"/>
        <v>100</v>
      </c>
      <c r="X8" s="703"/>
      <c r="Y8" s="3696" t="s">
        <v>1683</v>
      </c>
      <c r="Z8" s="369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62"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62"/>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62"/>
      <c r="Q11" s="1343" t="str">
        <f t="shared" si="6"/>
        <v>容积率</v>
      </c>
      <c r="R11" s="701" t="s">
        <v>18</v>
      </c>
      <c r="S11" s="702" t="e">
        <f t="shared" si="0"/>
        <v>#N/A</v>
      </c>
      <c r="T11" s="701" t="s">
        <v>18</v>
      </c>
      <c r="U11" s="702" t="e">
        <f t="shared" si="1"/>
        <v>#N/A</v>
      </c>
      <c r="V11" s="701" t="s">
        <v>18</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62"/>
      <c r="Q12" s="1343">
        <f t="shared" si="6"/>
        <v>111</v>
      </c>
      <c r="R12" s="701" t="s">
        <v>18</v>
      </c>
      <c r="S12" s="702">
        <f t="shared" si="0"/>
        <v>100</v>
      </c>
      <c r="T12" s="701" t="s">
        <v>18</v>
      </c>
      <c r="U12" s="702">
        <f t="shared" si="1"/>
        <v>100</v>
      </c>
      <c r="V12" s="701" t="s">
        <v>18</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62"/>
      <c r="Q13" s="1343">
        <f t="shared" si="6"/>
        <v>111</v>
      </c>
      <c r="R13" s="701" t="s">
        <v>18</v>
      </c>
      <c r="S13" s="702">
        <f t="shared" si="0"/>
        <v>100</v>
      </c>
      <c r="T13" s="701" t="s">
        <v>18</v>
      </c>
      <c r="U13" s="702">
        <f t="shared" si="1"/>
        <v>100</v>
      </c>
      <c r="V13" s="701" t="s">
        <v>18</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62"/>
      <c r="Q14" s="1343">
        <f t="shared" si="6"/>
        <v>111</v>
      </c>
      <c r="R14" s="701" t="s">
        <v>18</v>
      </c>
      <c r="S14" s="702">
        <f t="shared" si="0"/>
        <v>100</v>
      </c>
      <c r="T14" s="701" t="s">
        <v>18</v>
      </c>
      <c r="U14" s="702">
        <f t="shared" si="1"/>
        <v>100</v>
      </c>
      <c r="V14" s="701" t="s">
        <v>18</v>
      </c>
      <c r="W14" s="702">
        <f t="shared" si="2"/>
        <v>100</v>
      </c>
      <c r="X14" s="703"/>
      <c r="Y14" s="36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66" t="s">
        <v>1691</v>
      </c>
      <c r="Q15" s="1352" t="str">
        <f t="shared" si="6"/>
        <v>居住社区成熟度</v>
      </c>
      <c r="R15" s="705" t="s">
        <v>18</v>
      </c>
      <c r="S15" s="706">
        <f t="shared" si="0"/>
        <v>100</v>
      </c>
      <c r="T15" s="705" t="s">
        <v>18</v>
      </c>
      <c r="U15" s="706">
        <f t="shared" si="1"/>
        <v>100</v>
      </c>
      <c r="V15" s="705" t="s">
        <v>18</v>
      </c>
      <c r="W15" s="706">
        <f t="shared" si="2"/>
        <v>100</v>
      </c>
      <c r="X15" s="1355"/>
      <c r="Y15" s="372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67"/>
      <c r="Q16" s="1352"/>
      <c r="R16" s="705"/>
      <c r="S16" s="706"/>
      <c r="T16" s="705"/>
      <c r="U16" s="706"/>
      <c r="V16" s="705"/>
      <c r="W16" s="706"/>
      <c r="X16" s="1355"/>
      <c r="Y16" s="372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67"/>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67"/>
      <c r="Q18" s="1352"/>
      <c r="R18" s="705"/>
      <c r="S18" s="706"/>
      <c r="T18" s="705"/>
      <c r="U18" s="706"/>
      <c r="V18" s="705"/>
      <c r="W18" s="706"/>
      <c r="X18" s="1355"/>
      <c r="Y18" s="372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67"/>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67"/>
      <c r="Q20" s="1352"/>
      <c r="R20" s="705"/>
      <c r="S20" s="706"/>
      <c r="T20" s="705"/>
      <c r="U20" s="706"/>
      <c r="V20" s="705"/>
      <c r="W20" s="706"/>
      <c r="X20" s="1355"/>
      <c r="Y20" s="372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67"/>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67"/>
      <c r="Q22" s="1352"/>
      <c r="R22" s="705"/>
      <c r="S22" s="706"/>
      <c r="T22" s="705"/>
      <c r="U22" s="706"/>
      <c r="V22" s="705"/>
      <c r="W22" s="706"/>
      <c r="X22" s="1355"/>
      <c r="Y22" s="372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67"/>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67"/>
      <c r="Q24" s="1352"/>
      <c r="R24" s="705"/>
      <c r="S24" s="706"/>
      <c r="T24" s="705"/>
      <c r="U24" s="706"/>
      <c r="V24" s="705"/>
      <c r="W24" s="706"/>
      <c r="X24" s="1355"/>
      <c r="Y24" s="372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6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67"/>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67"/>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67"/>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67"/>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67"/>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67"/>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63" t="s">
        <v>1696</v>
      </c>
      <c r="Q32" s="1352" t="str">
        <f t="shared" si="11"/>
        <v>建筑类型</v>
      </c>
      <c r="R32" s="705" t="s">
        <v>18</v>
      </c>
      <c r="S32" s="706">
        <f t="shared" si="12"/>
        <v>100</v>
      </c>
      <c r="T32" s="705" t="s">
        <v>18</v>
      </c>
      <c r="U32" s="706">
        <f t="shared" si="13"/>
        <v>100</v>
      </c>
      <c r="V32" s="705" t="s">
        <v>18</v>
      </c>
      <c r="W32" s="706">
        <f t="shared" si="14"/>
        <v>100</v>
      </c>
      <c r="X32" s="1355"/>
      <c r="Y32" s="372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64"/>
      <c r="Q33" s="707" t="str">
        <f t="shared" si="11"/>
        <v>项目建筑规模</v>
      </c>
      <c r="R33" s="708" t="s">
        <v>18</v>
      </c>
      <c r="S33" s="709" t="e">
        <f t="shared" si="12"/>
        <v>#N/A</v>
      </c>
      <c r="T33" s="708" t="s">
        <v>18</v>
      </c>
      <c r="U33" s="709" t="e">
        <f t="shared" si="13"/>
        <v>#N/A</v>
      </c>
      <c r="V33" s="708" t="s">
        <v>18</v>
      </c>
      <c r="W33" s="709" t="e">
        <f t="shared" si="14"/>
        <v>#N/A</v>
      </c>
      <c r="X33" s="710"/>
      <c r="Y33" s="372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64"/>
      <c r="Q34" s="1352" t="str">
        <f t="shared" si="11"/>
        <v>建筑结构</v>
      </c>
      <c r="R34" s="705" t="s">
        <v>18</v>
      </c>
      <c r="S34" s="706">
        <f t="shared" si="12"/>
        <v>100</v>
      </c>
      <c r="T34" s="705" t="s">
        <v>18</v>
      </c>
      <c r="U34" s="706">
        <f t="shared" si="13"/>
        <v>100</v>
      </c>
      <c r="V34" s="705" t="s">
        <v>18</v>
      </c>
      <c r="W34" s="706">
        <f t="shared" si="14"/>
        <v>100</v>
      </c>
      <c r="X34" s="1355"/>
      <c r="Y34" s="372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64"/>
      <c r="Q35" s="1352" t="str">
        <f t="shared" si="11"/>
        <v>建筑品质</v>
      </c>
      <c r="R35" s="705" t="s">
        <v>18</v>
      </c>
      <c r="S35" s="706">
        <f t="shared" si="12"/>
        <v>100</v>
      </c>
      <c r="T35" s="705" t="s">
        <v>18</v>
      </c>
      <c r="U35" s="706">
        <f t="shared" si="13"/>
        <v>100</v>
      </c>
      <c r="V35" s="705" t="s">
        <v>18</v>
      </c>
      <c r="W35" s="706">
        <f t="shared" si="14"/>
        <v>100</v>
      </c>
      <c r="X35" s="1355"/>
      <c r="Y35" s="372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64"/>
      <c r="Q36" s="1352" t="str">
        <f t="shared" si="11"/>
        <v>公共部分装修</v>
      </c>
      <c r="R36" s="705" t="s">
        <v>18</v>
      </c>
      <c r="S36" s="706">
        <f t="shared" si="12"/>
        <v>100</v>
      </c>
      <c r="T36" s="705" t="s">
        <v>18</v>
      </c>
      <c r="U36" s="706">
        <f t="shared" si="13"/>
        <v>100</v>
      </c>
      <c r="V36" s="705" t="s">
        <v>18</v>
      </c>
      <c r="W36" s="706">
        <f t="shared" si="14"/>
        <v>100</v>
      </c>
      <c r="X36" s="1355"/>
      <c r="Y36" s="372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64"/>
      <c r="Q37" s="1343" t="str">
        <f t="shared" si="11"/>
        <v>成新度</v>
      </c>
      <c r="R37" s="701" t="s">
        <v>18</v>
      </c>
      <c r="S37" s="702" t="e">
        <f t="shared" si="12"/>
        <v>#N/A</v>
      </c>
      <c r="T37" s="701" t="s">
        <v>18</v>
      </c>
      <c r="U37" s="702" t="e">
        <f t="shared" si="13"/>
        <v>#N/A</v>
      </c>
      <c r="V37" s="701" t="s">
        <v>18</v>
      </c>
      <c r="W37" s="702" t="e">
        <f t="shared" si="14"/>
        <v>#N/A</v>
      </c>
      <c r="X37" s="703"/>
      <c r="Y37" s="372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64" t="s">
        <v>1696</v>
      </c>
      <c r="Q38" s="1352" t="str">
        <f t="shared" si="11"/>
        <v>物业管理</v>
      </c>
      <c r="R38" s="705" t="s">
        <v>18</v>
      </c>
      <c r="S38" s="706">
        <f t="shared" si="12"/>
        <v>100</v>
      </c>
      <c r="T38" s="705" t="s">
        <v>18</v>
      </c>
      <c r="U38" s="706">
        <f t="shared" si="13"/>
        <v>100</v>
      </c>
      <c r="V38" s="705" t="s">
        <v>18</v>
      </c>
      <c r="W38" s="706">
        <f t="shared" si="14"/>
        <v>100</v>
      </c>
      <c r="X38" s="1355"/>
      <c r="Y38" s="372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64"/>
      <c r="Q39" s="1352" t="str">
        <f t="shared" si="11"/>
        <v>市政基础设施</v>
      </c>
      <c r="R39" s="705" t="s">
        <v>18</v>
      </c>
      <c r="S39" s="706">
        <f t="shared" si="12"/>
        <v>100</v>
      </c>
      <c r="T39" s="705" t="s">
        <v>18</v>
      </c>
      <c r="U39" s="706">
        <f t="shared" si="13"/>
        <v>100</v>
      </c>
      <c r="V39" s="705" t="s">
        <v>18</v>
      </c>
      <c r="W39" s="706">
        <f t="shared" si="14"/>
        <v>100</v>
      </c>
      <c r="X39" s="1355"/>
      <c r="Y39" s="372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64"/>
      <c r="Q40" s="1352" t="str">
        <f t="shared" si="11"/>
        <v>房型</v>
      </c>
      <c r="R40" s="705" t="s">
        <v>18</v>
      </c>
      <c r="S40" s="706">
        <f t="shared" si="12"/>
        <v>100</v>
      </c>
      <c r="T40" s="705" t="s">
        <v>18</v>
      </c>
      <c r="U40" s="706">
        <f t="shared" si="13"/>
        <v>100</v>
      </c>
      <c r="V40" s="705" t="s">
        <v>18</v>
      </c>
      <c r="W40" s="706">
        <f t="shared" si="14"/>
        <v>100</v>
      </c>
      <c r="X40" s="1355"/>
      <c r="Y40" s="372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64"/>
      <c r="Q41" s="707" t="str">
        <f t="shared" si="11"/>
        <v>单套/主力户型建筑面积</v>
      </c>
      <c r="R41" s="708" t="s">
        <v>18</v>
      </c>
      <c r="S41" s="709">
        <f t="shared" si="12"/>
        <v>100</v>
      </c>
      <c r="T41" s="708" t="s">
        <v>18</v>
      </c>
      <c r="U41" s="709">
        <f t="shared" si="13"/>
        <v>100</v>
      </c>
      <c r="V41" s="708" t="s">
        <v>18</v>
      </c>
      <c r="W41" s="709">
        <f t="shared" si="14"/>
        <v>100</v>
      </c>
      <c r="X41" s="710"/>
      <c r="Y41" s="372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64"/>
      <c r="Q42" s="1352" t="str">
        <f t="shared" si="11"/>
        <v>内部装修</v>
      </c>
      <c r="R42" s="705" t="s">
        <v>18</v>
      </c>
      <c r="S42" s="706">
        <f t="shared" si="12"/>
        <v>100</v>
      </c>
      <c r="T42" s="705" t="s">
        <v>18</v>
      </c>
      <c r="U42" s="706">
        <f t="shared" si="13"/>
        <v>100</v>
      </c>
      <c r="V42" s="705" t="s">
        <v>18</v>
      </c>
      <c r="W42" s="706">
        <f t="shared" si="14"/>
        <v>100</v>
      </c>
      <c r="X42" s="1355"/>
      <c r="Y42" s="372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64"/>
      <c r="Q43" s="1352" t="str">
        <f t="shared" si="11"/>
        <v>内部装修维护情况</v>
      </c>
      <c r="R43" s="705" t="s">
        <v>18</v>
      </c>
      <c r="S43" s="706">
        <f t="shared" si="12"/>
        <v>100</v>
      </c>
      <c r="T43" s="705" t="s">
        <v>18</v>
      </c>
      <c r="U43" s="706">
        <f t="shared" si="13"/>
        <v>100</v>
      </c>
      <c r="V43" s="705" t="s">
        <v>18</v>
      </c>
      <c r="W43" s="706">
        <f t="shared" si="14"/>
        <v>100</v>
      </c>
      <c r="X43" s="1355"/>
      <c r="Y43" s="372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64"/>
      <c r="Q44" s="1343">
        <f t="shared" si="11"/>
        <v>111</v>
      </c>
      <c r="R44" s="701" t="s">
        <v>18</v>
      </c>
      <c r="S44" s="702">
        <f t="shared" si="12"/>
        <v>100</v>
      </c>
      <c r="T44" s="701" t="s">
        <v>18</v>
      </c>
      <c r="U44" s="702">
        <f t="shared" si="13"/>
        <v>100</v>
      </c>
      <c r="V44" s="701" t="s">
        <v>18</v>
      </c>
      <c r="W44" s="702">
        <f t="shared" si="14"/>
        <v>100</v>
      </c>
      <c r="X44" s="703"/>
      <c r="Y44" s="372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64"/>
      <c r="Q45" s="1352">
        <f t="shared" si="11"/>
        <v>111</v>
      </c>
      <c r="R45" s="705" t="s">
        <v>18</v>
      </c>
      <c r="S45" s="706">
        <f t="shared" si="12"/>
        <v>100</v>
      </c>
      <c r="T45" s="705" t="s">
        <v>18</v>
      </c>
      <c r="U45" s="706">
        <f t="shared" si="13"/>
        <v>100</v>
      </c>
      <c r="V45" s="705" t="s">
        <v>18</v>
      </c>
      <c r="W45" s="706">
        <f t="shared" si="14"/>
        <v>100</v>
      </c>
      <c r="X45" s="1355"/>
      <c r="Y45" s="372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65"/>
      <c r="Q46" s="1352">
        <f t="shared" si="11"/>
        <v>111</v>
      </c>
      <c r="R46" s="705" t="s">
        <v>17</v>
      </c>
      <c r="S46" s="706">
        <f t="shared" si="12"/>
        <v>100</v>
      </c>
      <c r="T46" s="705" t="s">
        <v>17</v>
      </c>
      <c r="U46" s="706">
        <f t="shared" si="13"/>
        <v>100</v>
      </c>
      <c r="V46" s="705" t="s">
        <v>17</v>
      </c>
      <c r="W46" s="706">
        <f t="shared" si="14"/>
        <v>100</v>
      </c>
      <c r="X46" s="1355"/>
      <c r="Y46" s="372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0" t="str">
        <f>A47</f>
        <v>成交单价（元/平方米）</v>
      </c>
      <c r="Q47" s="3710"/>
      <c r="R47" s="3730">
        <f>E47</f>
        <v>0</v>
      </c>
      <c r="S47" s="3730"/>
      <c r="T47" s="3730">
        <f>G47</f>
        <v>0</v>
      </c>
      <c r="U47" s="3730"/>
      <c r="V47" s="3730">
        <f>I47</f>
        <v>0</v>
      </c>
      <c r="W47" s="3730"/>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0" t="str">
        <f>A48</f>
        <v>比较价值（元/平方米）</v>
      </c>
      <c r="Q48" s="3710"/>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3830.64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723" t="s">
        <v>1772</v>
      </c>
      <c r="AC4" s="3693" t="s">
        <v>1773</v>
      </c>
    </row>
    <row r="5" spans="1:29" ht="15">
      <c r="A5" s="358"/>
      <c r="B5" s="359"/>
      <c r="C5" s="3761" t="s">
        <v>1673</v>
      </c>
      <c r="D5" s="3705"/>
      <c r="E5" s="3760" t="s">
        <v>1674</v>
      </c>
      <c r="F5" s="3703"/>
      <c r="G5" s="3761" t="s">
        <v>1675</v>
      </c>
      <c r="H5" s="3705"/>
      <c r="I5" s="3761" t="s">
        <v>1676</v>
      </c>
      <c r="J5" s="3705"/>
      <c r="K5" s="559"/>
      <c r="L5" s="2715"/>
      <c r="M5" s="2716"/>
      <c r="N5" s="2716"/>
      <c r="O5" s="2716"/>
      <c r="P5" s="3717"/>
      <c r="Q5" s="3718"/>
      <c r="R5" s="3700"/>
      <c r="S5" s="3701"/>
      <c r="T5" s="3700"/>
      <c r="U5" s="3701"/>
      <c r="V5" s="3723"/>
      <c r="W5" s="3723"/>
      <c r="X5" s="1355"/>
      <c r="Y5" s="3700"/>
      <c r="Z5" s="3701"/>
      <c r="AA5" s="3694"/>
      <c r="AB5" s="3723"/>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723"/>
      <c r="AC6" s="3695"/>
    </row>
    <row r="7" spans="1:29" s="108" customFormat="1" ht="15.75" thickBot="1">
      <c r="A7" s="362" t="s">
        <v>1679</v>
      </c>
      <c r="B7" s="363"/>
      <c r="C7" s="364">
        <f>'数据-取费表'!B2</f>
        <v>45902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62"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62"/>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62"/>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62"/>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62"/>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62"/>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66" t="s">
        <v>1691</v>
      </c>
      <c r="Q15" s="1352" t="str">
        <f t="shared" si="6"/>
        <v>商业繁华度</v>
      </c>
      <c r="R15" s="705" t="s">
        <v>14</v>
      </c>
      <c r="S15" s="706">
        <f t="shared" si="0"/>
        <v>100</v>
      </c>
      <c r="T15" s="705" t="s">
        <v>14</v>
      </c>
      <c r="U15" s="706">
        <f t="shared" si="1"/>
        <v>100</v>
      </c>
      <c r="V15" s="705" t="s">
        <v>14</v>
      </c>
      <c r="W15" s="706">
        <f t="shared" si="2"/>
        <v>100</v>
      </c>
      <c r="X15" s="1355"/>
      <c r="Y15" s="372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67"/>
      <c r="Q16" s="1352"/>
      <c r="R16" s="705"/>
      <c r="S16" s="706"/>
      <c r="T16" s="705"/>
      <c r="U16" s="706"/>
      <c r="V16" s="705"/>
      <c r="W16" s="706"/>
      <c r="X16" s="1355"/>
      <c r="Y16" s="372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67"/>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67"/>
      <c r="Q18" s="1352"/>
      <c r="R18" s="705"/>
      <c r="S18" s="706"/>
      <c r="T18" s="705"/>
      <c r="U18" s="706"/>
      <c r="V18" s="705"/>
      <c r="W18" s="706"/>
      <c r="X18" s="1355"/>
      <c r="Y18" s="372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67"/>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67"/>
      <c r="Q20" s="1352"/>
      <c r="R20" s="705"/>
      <c r="S20" s="706"/>
      <c r="T20" s="705"/>
      <c r="U20" s="706"/>
      <c r="V20" s="705"/>
      <c r="W20" s="706"/>
      <c r="X20" s="1355"/>
      <c r="Y20" s="372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67"/>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67"/>
      <c r="Q22" s="1352"/>
      <c r="R22" s="705"/>
      <c r="S22" s="706"/>
      <c r="T22" s="705"/>
      <c r="U22" s="706"/>
      <c r="V22" s="705"/>
      <c r="W22" s="706"/>
      <c r="X22" s="1355"/>
      <c r="Y22" s="372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67"/>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67"/>
      <c r="Q24" s="1352"/>
      <c r="R24" s="705"/>
      <c r="S24" s="706"/>
      <c r="T24" s="705"/>
      <c r="U24" s="706"/>
      <c r="V24" s="705"/>
      <c r="W24" s="706"/>
      <c r="X24" s="1355"/>
      <c r="Y24" s="372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67"/>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67"/>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67"/>
      <c r="Q27" s="1343" t="str">
        <f t="shared" si="11"/>
        <v>人流量</v>
      </c>
      <c r="R27" s="701" t="s">
        <v>14</v>
      </c>
      <c r="S27" s="702">
        <f>F27</f>
        <v>100</v>
      </c>
      <c r="T27" s="701" t="s">
        <v>14</v>
      </c>
      <c r="U27" s="702">
        <f>H27</f>
        <v>100</v>
      </c>
      <c r="V27" s="701" t="s">
        <v>14</v>
      </c>
      <c r="W27" s="702">
        <f>J27</f>
        <v>100</v>
      </c>
      <c r="X27" s="703"/>
      <c r="Y27" s="372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6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67"/>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67"/>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67"/>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63" t="s">
        <v>1696</v>
      </c>
      <c r="Q32" s="1352" t="str">
        <f t="shared" si="11"/>
        <v>商业类型</v>
      </c>
      <c r="R32" s="705" t="s">
        <v>14</v>
      </c>
      <c r="S32" s="706">
        <f t="shared" si="12"/>
        <v>100</v>
      </c>
      <c r="T32" s="705" t="s">
        <v>14</v>
      </c>
      <c r="U32" s="706">
        <f t="shared" si="13"/>
        <v>100</v>
      </c>
      <c r="V32" s="705" t="s">
        <v>14</v>
      </c>
      <c r="W32" s="706">
        <f t="shared" si="14"/>
        <v>100</v>
      </c>
      <c r="X32" s="1355"/>
      <c r="Y32" s="372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64"/>
      <c r="Q33" s="707" t="str">
        <f t="shared" si="11"/>
        <v>项目建筑规模</v>
      </c>
      <c r="R33" s="708" t="s">
        <v>14</v>
      </c>
      <c r="S33" s="709" t="e">
        <f t="shared" si="12"/>
        <v>#N/A</v>
      </c>
      <c r="T33" s="708" t="s">
        <v>14</v>
      </c>
      <c r="U33" s="709" t="e">
        <f t="shared" si="13"/>
        <v>#N/A</v>
      </c>
      <c r="V33" s="708" t="s">
        <v>14</v>
      </c>
      <c r="W33" s="709" t="e">
        <f t="shared" si="14"/>
        <v>#N/A</v>
      </c>
      <c r="X33" s="710"/>
      <c r="Y33" s="372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64"/>
      <c r="Q34" s="1352" t="str">
        <f t="shared" si="11"/>
        <v>建筑结构</v>
      </c>
      <c r="R34" s="705" t="s">
        <v>14</v>
      </c>
      <c r="S34" s="706">
        <f t="shared" si="12"/>
        <v>100</v>
      </c>
      <c r="T34" s="705" t="s">
        <v>14</v>
      </c>
      <c r="U34" s="706">
        <f t="shared" si="13"/>
        <v>100</v>
      </c>
      <c r="V34" s="705" t="s">
        <v>14</v>
      </c>
      <c r="W34" s="706">
        <f t="shared" si="14"/>
        <v>100</v>
      </c>
      <c r="X34" s="1355"/>
      <c r="Y34" s="372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64"/>
      <c r="Q35" s="1352" t="str">
        <f t="shared" si="11"/>
        <v>公共部分装修</v>
      </c>
      <c r="R35" s="705" t="s">
        <v>14</v>
      </c>
      <c r="S35" s="706">
        <f t="shared" si="12"/>
        <v>100</v>
      </c>
      <c r="T35" s="705" t="s">
        <v>14</v>
      </c>
      <c r="U35" s="706">
        <f t="shared" si="13"/>
        <v>100</v>
      </c>
      <c r="V35" s="705" t="s">
        <v>14</v>
      </c>
      <c r="W35" s="706">
        <f t="shared" si="14"/>
        <v>100</v>
      </c>
      <c r="X35" s="1355"/>
      <c r="Y35" s="372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64"/>
      <c r="Q36" s="1352" t="str">
        <f t="shared" si="11"/>
        <v>成新度</v>
      </c>
      <c r="R36" s="705" t="s">
        <v>14</v>
      </c>
      <c r="S36" s="706" t="e">
        <f t="shared" si="12"/>
        <v>#N/A</v>
      </c>
      <c r="T36" s="705" t="s">
        <v>14</v>
      </c>
      <c r="U36" s="706" t="e">
        <f t="shared" si="13"/>
        <v>#N/A</v>
      </c>
      <c r="V36" s="705" t="s">
        <v>14</v>
      </c>
      <c r="W36" s="706" t="e">
        <f t="shared" si="14"/>
        <v>#N/A</v>
      </c>
      <c r="X36" s="1355"/>
      <c r="Y36" s="372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64"/>
      <c r="Q37" s="1343" t="str">
        <f t="shared" si="11"/>
        <v>市政基础设施</v>
      </c>
      <c r="R37" s="701" t="s">
        <v>14</v>
      </c>
      <c r="S37" s="702">
        <f t="shared" si="12"/>
        <v>100</v>
      </c>
      <c r="T37" s="701" t="s">
        <v>14</v>
      </c>
      <c r="U37" s="702">
        <f t="shared" si="13"/>
        <v>100</v>
      </c>
      <c r="V37" s="701" t="s">
        <v>14</v>
      </c>
      <c r="W37" s="702">
        <f t="shared" si="14"/>
        <v>100</v>
      </c>
      <c r="X37" s="703"/>
      <c r="Y37" s="372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64" t="s">
        <v>1696</v>
      </c>
      <c r="Q38" s="1352" t="str">
        <f t="shared" si="11"/>
        <v>业态</v>
      </c>
      <c r="R38" s="705" t="s">
        <v>14</v>
      </c>
      <c r="S38" s="706">
        <f t="shared" si="12"/>
        <v>100</v>
      </c>
      <c r="T38" s="705" t="s">
        <v>14</v>
      </c>
      <c r="U38" s="706">
        <f t="shared" si="13"/>
        <v>100</v>
      </c>
      <c r="V38" s="705" t="s">
        <v>14</v>
      </c>
      <c r="W38" s="706">
        <f t="shared" si="14"/>
        <v>100</v>
      </c>
      <c r="X38" s="1355"/>
      <c r="Y38" s="372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64"/>
      <c r="Q39" s="1352" t="str">
        <f t="shared" si="11"/>
        <v>层高</v>
      </c>
      <c r="R39" s="705" t="s">
        <v>14</v>
      </c>
      <c r="S39" s="706">
        <f t="shared" si="12"/>
        <v>100</v>
      </c>
      <c r="T39" s="705" t="s">
        <v>14</v>
      </c>
      <c r="U39" s="706">
        <f t="shared" si="13"/>
        <v>100</v>
      </c>
      <c r="V39" s="705" t="s">
        <v>14</v>
      </c>
      <c r="W39" s="706">
        <f t="shared" si="14"/>
        <v>100</v>
      </c>
      <c r="X39" s="1355"/>
      <c r="Y39" s="372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64"/>
      <c r="Q40" s="1352" t="str">
        <f t="shared" si="11"/>
        <v>单套建筑面积</v>
      </c>
      <c r="R40" s="705" t="s">
        <v>14</v>
      </c>
      <c r="S40" s="706">
        <f t="shared" si="12"/>
        <v>100</v>
      </c>
      <c r="T40" s="705" t="s">
        <v>14</v>
      </c>
      <c r="U40" s="706">
        <f t="shared" si="13"/>
        <v>100</v>
      </c>
      <c r="V40" s="705" t="s">
        <v>14</v>
      </c>
      <c r="W40" s="706">
        <f t="shared" si="14"/>
        <v>100</v>
      </c>
      <c r="X40" s="1355"/>
      <c r="Y40" s="372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64"/>
      <c r="Q41" s="707" t="str">
        <f t="shared" si="11"/>
        <v>进深比</v>
      </c>
      <c r="R41" s="708" t="s">
        <v>14</v>
      </c>
      <c r="S41" s="709">
        <f t="shared" si="12"/>
        <v>100</v>
      </c>
      <c r="T41" s="708" t="s">
        <v>14</v>
      </c>
      <c r="U41" s="709">
        <f t="shared" si="13"/>
        <v>100</v>
      </c>
      <c r="V41" s="708" t="s">
        <v>14</v>
      </c>
      <c r="W41" s="709">
        <f t="shared" si="14"/>
        <v>100</v>
      </c>
      <c r="X41" s="710"/>
      <c r="Y41" s="372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64"/>
      <c r="Q42" s="1352" t="str">
        <f t="shared" si="11"/>
        <v>内部装修</v>
      </c>
      <c r="R42" s="705" t="s">
        <v>14</v>
      </c>
      <c r="S42" s="706">
        <f t="shared" si="12"/>
        <v>100</v>
      </c>
      <c r="T42" s="705" t="s">
        <v>14</v>
      </c>
      <c r="U42" s="706">
        <f t="shared" si="13"/>
        <v>100</v>
      </c>
      <c r="V42" s="705" t="s">
        <v>14</v>
      </c>
      <c r="W42" s="706">
        <f t="shared" si="14"/>
        <v>100</v>
      </c>
      <c r="X42" s="1355"/>
      <c r="Y42" s="372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64"/>
      <c r="Q43" s="1352" t="str">
        <f t="shared" si="11"/>
        <v>内部装修维护情况</v>
      </c>
      <c r="R43" s="705" t="s">
        <v>14</v>
      </c>
      <c r="S43" s="706">
        <f t="shared" si="12"/>
        <v>100</v>
      </c>
      <c r="T43" s="705" t="s">
        <v>14</v>
      </c>
      <c r="U43" s="706">
        <f t="shared" si="13"/>
        <v>100</v>
      </c>
      <c r="V43" s="705" t="s">
        <v>14</v>
      </c>
      <c r="W43" s="706">
        <f t="shared" si="14"/>
        <v>100</v>
      </c>
      <c r="X43" s="1355"/>
      <c r="Y43" s="372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64"/>
      <c r="Q44" s="1343">
        <f t="shared" si="11"/>
        <v>111</v>
      </c>
      <c r="R44" s="701" t="s">
        <v>14</v>
      </c>
      <c r="S44" s="702">
        <f t="shared" si="12"/>
        <v>100</v>
      </c>
      <c r="T44" s="701" t="s">
        <v>14</v>
      </c>
      <c r="U44" s="702">
        <f t="shared" si="13"/>
        <v>100</v>
      </c>
      <c r="V44" s="701" t="s">
        <v>14</v>
      </c>
      <c r="W44" s="702">
        <f t="shared" si="14"/>
        <v>100</v>
      </c>
      <c r="X44" s="703"/>
      <c r="Y44" s="372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64"/>
      <c r="Q45" s="1352">
        <f t="shared" si="11"/>
        <v>111</v>
      </c>
      <c r="R45" s="705" t="s">
        <v>14</v>
      </c>
      <c r="S45" s="706">
        <f t="shared" si="12"/>
        <v>100</v>
      </c>
      <c r="T45" s="705" t="s">
        <v>14</v>
      </c>
      <c r="U45" s="706">
        <f t="shared" si="13"/>
        <v>100</v>
      </c>
      <c r="V45" s="705" t="s">
        <v>14</v>
      </c>
      <c r="W45" s="706">
        <f t="shared" si="14"/>
        <v>100</v>
      </c>
      <c r="X45" s="1355"/>
      <c r="Y45" s="372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65"/>
      <c r="Q46" s="1352">
        <f t="shared" si="11"/>
        <v>111</v>
      </c>
      <c r="R46" s="705" t="s">
        <v>14</v>
      </c>
      <c r="S46" s="706">
        <f t="shared" si="12"/>
        <v>100</v>
      </c>
      <c r="T46" s="705" t="s">
        <v>14</v>
      </c>
      <c r="U46" s="706">
        <f t="shared" si="13"/>
        <v>100</v>
      </c>
      <c r="V46" s="705" t="s">
        <v>14</v>
      </c>
      <c r="W46" s="706">
        <f t="shared" si="14"/>
        <v>100</v>
      </c>
      <c r="X46" s="1355"/>
      <c r="Y46" s="372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0" t="str">
        <f>A47</f>
        <v>成交单价（元/平方米）</v>
      </c>
      <c r="Q47" s="3710"/>
      <c r="R47" s="3723">
        <f>E47</f>
        <v>0</v>
      </c>
      <c r="S47" s="3723"/>
      <c r="T47" s="3723">
        <f>G47</f>
        <v>0</v>
      </c>
      <c r="U47" s="3723"/>
      <c r="V47" s="3723">
        <f>I47</f>
        <v>0</v>
      </c>
      <c r="W47" s="3723"/>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0" t="str">
        <f>A48</f>
        <v>比较价值（元/平方米）</v>
      </c>
      <c r="Q48" s="3710"/>
      <c r="R48" s="3730" t="e">
        <f>IF(F1="售价",ROUND(PRODUCT(R47,AA7:AA46),0),ROUND(PRODUCT(R47,AA7:AA46),1))</f>
        <v>#DIV/0!</v>
      </c>
      <c r="S48" s="3730"/>
      <c r="T48" s="3730" t="e">
        <f>IF(F1="售价",ROUND(PRODUCT(T47,AB7:AB46),0),ROUND(PRODUCT(T47,AB7:AB46),1))</f>
        <v>#DIV/0!</v>
      </c>
      <c r="U48" s="3730"/>
      <c r="V48" s="3730" t="e">
        <f>IF(F1="售价",ROUND(PRODUCT(V47,AC7:AC46),0),ROUND(PRODUCT(V47,AC7:AC46),1))</f>
        <v>#DIV/0!</v>
      </c>
      <c r="W48" s="373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受贵公司委托，我公司对北京市通州区经海五路1号院46号楼-1至6层5-101工业用房房地产抵押价值进行了预评估。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估价对象为北京市通州区经海五路1号院46号楼-1至6层5-101工业用房房地产，为所有。根据《国有土地使用证》[]，估价对象（分摊）出让国有建设用地使用权面积为0平方米，建筑面积为3830.64平方米。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五路1号院46号楼-1至6层5-101工业用房房地产,属开发建设的工业项目，该项目尚在开发建设中。根据《国有土地使用证》[]，估价对象（分摊）出让国有建设用地使用权面积为0平方米，规划建筑面积为3830.64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3830.64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74" t="s">
        <v>1775</v>
      </c>
      <c r="Q4" s="3775"/>
      <c r="R4" s="3769" t="s">
        <v>1771</v>
      </c>
      <c r="S4" s="3770"/>
      <c r="T4" s="3769" t="s">
        <v>1772</v>
      </c>
      <c r="U4" s="3770"/>
      <c r="V4" s="3778" t="s">
        <v>1773</v>
      </c>
      <c r="W4" s="3778"/>
      <c r="X4" s="1958"/>
      <c r="Y4" s="3769" t="s">
        <v>1775</v>
      </c>
      <c r="Z4" s="3770"/>
      <c r="AA4" s="3768" t="s">
        <v>1771</v>
      </c>
      <c r="AB4" s="3768" t="s">
        <v>1772</v>
      </c>
      <c r="AC4" s="3771" t="s">
        <v>1773</v>
      </c>
    </row>
    <row r="5" spans="1:29" ht="15">
      <c r="A5" s="358"/>
      <c r="B5" s="359"/>
      <c r="C5" s="3761" t="s">
        <v>1673</v>
      </c>
      <c r="D5" s="3705"/>
      <c r="E5" s="3760" t="s">
        <v>1674</v>
      </c>
      <c r="F5" s="3703"/>
      <c r="G5" s="3761" t="s">
        <v>1675</v>
      </c>
      <c r="H5" s="3705"/>
      <c r="I5" s="3761" t="s">
        <v>1676</v>
      </c>
      <c r="J5" s="3705"/>
      <c r="K5" s="559"/>
      <c r="L5" s="2715"/>
      <c r="M5" s="2716"/>
      <c r="N5" s="2716"/>
      <c r="O5" s="2716"/>
      <c r="P5" s="3776"/>
      <c r="Q5" s="3718"/>
      <c r="R5" s="3700"/>
      <c r="S5" s="3701"/>
      <c r="T5" s="3700"/>
      <c r="U5" s="3701"/>
      <c r="V5" s="3723"/>
      <c r="W5" s="3723"/>
      <c r="X5" s="1355"/>
      <c r="Y5" s="3700"/>
      <c r="Z5" s="3701"/>
      <c r="AA5" s="3694"/>
      <c r="AB5" s="3694"/>
      <c r="AC5" s="3772"/>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77"/>
      <c r="Q6" s="3720"/>
      <c r="R6" s="3700"/>
      <c r="S6" s="3701"/>
      <c r="T6" s="3721"/>
      <c r="U6" s="3722"/>
      <c r="V6" s="3723"/>
      <c r="W6" s="3723"/>
      <c r="X6" s="1355"/>
      <c r="Y6" s="3721"/>
      <c r="Z6" s="3722"/>
      <c r="AA6" s="3695"/>
      <c r="AB6" s="3695"/>
      <c r="AC6" s="3773"/>
    </row>
    <row r="7" spans="1:29" s="108" customFormat="1" ht="15.75" thickBot="1">
      <c r="A7" s="362" t="s">
        <v>1679</v>
      </c>
      <c r="B7" s="363"/>
      <c r="C7" s="364">
        <f>'数据-取费表'!B2</f>
        <v>45902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79"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79" t="s">
        <v>1683</v>
      </c>
      <c r="Q8" s="3697"/>
      <c r="R8" s="701" t="s">
        <v>14</v>
      </c>
      <c r="S8" s="702">
        <f t="shared" si="0"/>
        <v>100</v>
      </c>
      <c r="T8" s="701" t="s">
        <v>14</v>
      </c>
      <c r="U8" s="702">
        <f t="shared" si="1"/>
        <v>100</v>
      </c>
      <c r="V8" s="701" t="s">
        <v>14</v>
      </c>
      <c r="W8" s="702">
        <f t="shared" si="2"/>
        <v>100</v>
      </c>
      <c r="X8" s="703"/>
      <c r="Y8" s="3696" t="s">
        <v>1683</v>
      </c>
      <c r="Z8" s="369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62"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62"/>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62"/>
      <c r="Q11" s="1343" t="str">
        <f t="shared" si="6"/>
        <v>容积率</v>
      </c>
      <c r="R11" s="701" t="s">
        <v>14</v>
      </c>
      <c r="S11" s="702">
        <f t="shared" si="0"/>
        <v>100</v>
      </c>
      <c r="T11" s="701" t="s">
        <v>14</v>
      </c>
      <c r="U11" s="702">
        <f t="shared" si="1"/>
        <v>100</v>
      </c>
      <c r="V11" s="701" t="s">
        <v>14</v>
      </c>
      <c r="W11" s="702">
        <f t="shared" si="2"/>
        <v>100</v>
      </c>
      <c r="X11" s="703"/>
      <c r="Y11" s="36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62"/>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62"/>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62"/>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66" t="s">
        <v>1691</v>
      </c>
      <c r="Q15" s="1352" t="str">
        <f t="shared" si="6"/>
        <v>办公集聚程度</v>
      </c>
      <c r="R15" s="705" t="s">
        <v>14</v>
      </c>
      <c r="S15" s="706">
        <f t="shared" si="0"/>
        <v>100</v>
      </c>
      <c r="T15" s="705" t="s">
        <v>14</v>
      </c>
      <c r="U15" s="706">
        <f t="shared" si="1"/>
        <v>100</v>
      </c>
      <c r="V15" s="705" t="s">
        <v>14</v>
      </c>
      <c r="W15" s="706">
        <f t="shared" si="2"/>
        <v>100</v>
      </c>
      <c r="X15" s="1355"/>
      <c r="Y15" s="372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67"/>
      <c r="Q16" s="1352"/>
      <c r="R16" s="705"/>
      <c r="S16" s="706"/>
      <c r="T16" s="705"/>
      <c r="U16" s="706"/>
      <c r="V16" s="705"/>
      <c r="W16" s="706"/>
      <c r="X16" s="1355"/>
      <c r="Y16" s="372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67"/>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67"/>
      <c r="Q18" s="1352"/>
      <c r="R18" s="705"/>
      <c r="S18" s="706"/>
      <c r="T18" s="705"/>
      <c r="U18" s="706"/>
      <c r="V18" s="705"/>
      <c r="W18" s="706"/>
      <c r="X18" s="1355"/>
      <c r="Y18" s="372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67"/>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67"/>
      <c r="Q20" s="1352"/>
      <c r="R20" s="705"/>
      <c r="S20" s="706"/>
      <c r="T20" s="705"/>
      <c r="U20" s="706"/>
      <c r="V20" s="705"/>
      <c r="W20" s="706"/>
      <c r="X20" s="1355"/>
      <c r="Y20" s="372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67"/>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67"/>
      <c r="Q22" s="1352"/>
      <c r="R22" s="705"/>
      <c r="S22" s="706"/>
      <c r="T22" s="705"/>
      <c r="U22" s="706"/>
      <c r="V22" s="705"/>
      <c r="W22" s="706"/>
      <c r="X22" s="1355"/>
      <c r="Y22" s="372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67"/>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67"/>
      <c r="Q24" s="1352"/>
      <c r="R24" s="705"/>
      <c r="S24" s="706"/>
      <c r="T24" s="705"/>
      <c r="U24" s="706"/>
      <c r="V24" s="705"/>
      <c r="W24" s="706"/>
      <c r="X24" s="1355"/>
      <c r="Y24" s="372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67"/>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67"/>
      <c r="Q26" s="1352"/>
      <c r="R26" s="705"/>
      <c r="S26" s="706"/>
      <c r="T26" s="705"/>
      <c r="U26" s="706"/>
      <c r="V26" s="705"/>
      <c r="W26" s="706"/>
      <c r="X26" s="1355"/>
      <c r="Y26" s="372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67"/>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67"/>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67"/>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67"/>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67"/>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67"/>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63" t="s">
        <v>1696</v>
      </c>
      <c r="Q33" s="1352" t="str">
        <f t="shared" si="11"/>
        <v>建筑类型</v>
      </c>
      <c r="R33" s="705" t="s">
        <v>14</v>
      </c>
      <c r="S33" s="706">
        <f t="shared" si="12"/>
        <v>100</v>
      </c>
      <c r="T33" s="705" t="s">
        <v>14</v>
      </c>
      <c r="U33" s="706">
        <f t="shared" si="13"/>
        <v>100</v>
      </c>
      <c r="V33" s="705" t="s">
        <v>14</v>
      </c>
      <c r="W33" s="706">
        <f t="shared" si="14"/>
        <v>100</v>
      </c>
      <c r="X33" s="1355"/>
      <c r="Y33" s="372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64"/>
      <c r="Q34" s="707" t="str">
        <f t="shared" si="11"/>
        <v>项目建筑规模</v>
      </c>
      <c r="R34" s="708" t="s">
        <v>14</v>
      </c>
      <c r="S34" s="709" t="e">
        <f t="shared" si="12"/>
        <v>#N/A</v>
      </c>
      <c r="T34" s="708" t="s">
        <v>14</v>
      </c>
      <c r="U34" s="709" t="e">
        <f t="shared" si="13"/>
        <v>#N/A</v>
      </c>
      <c r="V34" s="708" t="s">
        <v>14</v>
      </c>
      <c r="W34" s="709" t="e">
        <f t="shared" si="14"/>
        <v>#N/A</v>
      </c>
      <c r="X34" s="710"/>
      <c r="Y34" s="372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64"/>
      <c r="Q35" s="1352" t="str">
        <f t="shared" si="11"/>
        <v>建筑结构</v>
      </c>
      <c r="R35" s="705" t="s">
        <v>14</v>
      </c>
      <c r="S35" s="706">
        <f t="shared" si="12"/>
        <v>100</v>
      </c>
      <c r="T35" s="705" t="s">
        <v>14</v>
      </c>
      <c r="U35" s="706">
        <f t="shared" si="13"/>
        <v>100</v>
      </c>
      <c r="V35" s="705" t="s">
        <v>14</v>
      </c>
      <c r="W35" s="706">
        <f t="shared" si="14"/>
        <v>100</v>
      </c>
      <c r="X35" s="1355"/>
      <c r="Y35" s="372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64"/>
      <c r="Q36" s="1352" t="str">
        <f t="shared" si="11"/>
        <v>公共部分装修</v>
      </c>
      <c r="R36" s="705" t="s">
        <v>14</v>
      </c>
      <c r="S36" s="706">
        <f t="shared" si="12"/>
        <v>100</v>
      </c>
      <c r="T36" s="705" t="s">
        <v>14</v>
      </c>
      <c r="U36" s="706">
        <f t="shared" si="13"/>
        <v>100</v>
      </c>
      <c r="V36" s="705" t="s">
        <v>14</v>
      </c>
      <c r="W36" s="706">
        <f t="shared" si="14"/>
        <v>100</v>
      </c>
      <c r="X36" s="1355"/>
      <c r="Y36" s="372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64"/>
      <c r="Q37" s="1352" t="str">
        <f t="shared" si="11"/>
        <v>成新度</v>
      </c>
      <c r="R37" s="705" t="s">
        <v>14</v>
      </c>
      <c r="S37" s="706" t="e">
        <f t="shared" si="12"/>
        <v>#N/A</v>
      </c>
      <c r="T37" s="705" t="s">
        <v>14</v>
      </c>
      <c r="U37" s="706" t="e">
        <f t="shared" si="13"/>
        <v>#N/A</v>
      </c>
      <c r="V37" s="705" t="s">
        <v>14</v>
      </c>
      <c r="W37" s="706" t="e">
        <f t="shared" si="14"/>
        <v>#N/A</v>
      </c>
      <c r="X37" s="1355"/>
      <c r="Y37" s="372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64"/>
      <c r="Q38" s="1343" t="str">
        <f t="shared" si="11"/>
        <v>写字楼等级</v>
      </c>
      <c r="R38" s="701" t="s">
        <v>14</v>
      </c>
      <c r="S38" s="702">
        <f t="shared" si="12"/>
        <v>100</v>
      </c>
      <c r="T38" s="701" t="s">
        <v>14</v>
      </c>
      <c r="U38" s="702">
        <f t="shared" si="13"/>
        <v>100</v>
      </c>
      <c r="V38" s="701" t="s">
        <v>14</v>
      </c>
      <c r="W38" s="702">
        <f t="shared" si="14"/>
        <v>100</v>
      </c>
      <c r="X38" s="703"/>
      <c r="Y38" s="372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64" t="s">
        <v>1696</v>
      </c>
      <c r="Q39" s="1352" t="str">
        <f t="shared" si="11"/>
        <v>物业管理</v>
      </c>
      <c r="R39" s="705" t="s">
        <v>14</v>
      </c>
      <c r="S39" s="706">
        <f t="shared" si="12"/>
        <v>100</v>
      </c>
      <c r="T39" s="705" t="s">
        <v>14</v>
      </c>
      <c r="U39" s="706">
        <f t="shared" si="13"/>
        <v>100</v>
      </c>
      <c r="V39" s="705" t="s">
        <v>14</v>
      </c>
      <c r="W39" s="706">
        <f t="shared" si="14"/>
        <v>100</v>
      </c>
      <c r="X39" s="1355"/>
      <c r="Y39" s="372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64"/>
      <c r="Q40" s="1352" t="str">
        <f t="shared" si="11"/>
        <v>市政基础设施</v>
      </c>
      <c r="R40" s="705" t="s">
        <v>14</v>
      </c>
      <c r="S40" s="706">
        <f t="shared" si="12"/>
        <v>100</v>
      </c>
      <c r="T40" s="705" t="s">
        <v>14</v>
      </c>
      <c r="U40" s="706">
        <f t="shared" si="13"/>
        <v>100</v>
      </c>
      <c r="V40" s="705" t="s">
        <v>14</v>
      </c>
      <c r="W40" s="706">
        <f t="shared" si="14"/>
        <v>100</v>
      </c>
      <c r="X40" s="1355"/>
      <c r="Y40" s="372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64"/>
      <c r="Q41" s="1352" t="str">
        <f t="shared" si="11"/>
        <v>层高</v>
      </c>
      <c r="R41" s="705" t="s">
        <v>14</v>
      </c>
      <c r="S41" s="706">
        <f t="shared" si="12"/>
        <v>100</v>
      </c>
      <c r="T41" s="705" t="s">
        <v>14</v>
      </c>
      <c r="U41" s="706">
        <f t="shared" si="13"/>
        <v>100</v>
      </c>
      <c r="V41" s="705" t="s">
        <v>14</v>
      </c>
      <c r="W41" s="706">
        <f t="shared" si="14"/>
        <v>100</v>
      </c>
      <c r="X41" s="1355"/>
      <c r="Y41" s="372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64"/>
      <c r="Q42" s="707" t="str">
        <f t="shared" si="11"/>
        <v>单套建筑面积</v>
      </c>
      <c r="R42" s="708" t="s">
        <v>14</v>
      </c>
      <c r="S42" s="709">
        <f t="shared" si="12"/>
        <v>100</v>
      </c>
      <c r="T42" s="708" t="s">
        <v>14</v>
      </c>
      <c r="U42" s="709">
        <f t="shared" si="13"/>
        <v>100</v>
      </c>
      <c r="V42" s="708" t="s">
        <v>14</v>
      </c>
      <c r="W42" s="709">
        <f t="shared" si="14"/>
        <v>100</v>
      </c>
      <c r="X42" s="710"/>
      <c r="Y42" s="372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64"/>
      <c r="Q43" s="1352" t="str">
        <f t="shared" si="11"/>
        <v>内部装修</v>
      </c>
      <c r="R43" s="705" t="s">
        <v>14</v>
      </c>
      <c r="S43" s="706">
        <f t="shared" si="12"/>
        <v>100</v>
      </c>
      <c r="T43" s="705" t="s">
        <v>14</v>
      </c>
      <c r="U43" s="706">
        <f t="shared" si="13"/>
        <v>100</v>
      </c>
      <c r="V43" s="705" t="s">
        <v>14</v>
      </c>
      <c r="W43" s="706">
        <f t="shared" si="14"/>
        <v>100</v>
      </c>
      <c r="X43" s="1355"/>
      <c r="Y43" s="372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64"/>
      <c r="Q44" s="1352" t="str">
        <f t="shared" si="11"/>
        <v>内部装修维护情况</v>
      </c>
      <c r="R44" s="705" t="s">
        <v>14</v>
      </c>
      <c r="S44" s="706">
        <f t="shared" si="12"/>
        <v>100</v>
      </c>
      <c r="T44" s="705" t="s">
        <v>14</v>
      </c>
      <c r="U44" s="706">
        <f t="shared" si="13"/>
        <v>100</v>
      </c>
      <c r="V44" s="705" t="s">
        <v>14</v>
      </c>
      <c r="W44" s="706">
        <f t="shared" si="14"/>
        <v>100</v>
      </c>
      <c r="X44" s="1355"/>
      <c r="Y44" s="372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64"/>
      <c r="Q45" s="1343">
        <f t="shared" si="11"/>
        <v>111</v>
      </c>
      <c r="R45" s="701" t="s">
        <v>14</v>
      </c>
      <c r="S45" s="702">
        <f t="shared" si="12"/>
        <v>100</v>
      </c>
      <c r="T45" s="701" t="s">
        <v>14</v>
      </c>
      <c r="U45" s="702">
        <f t="shared" si="13"/>
        <v>100</v>
      </c>
      <c r="V45" s="701" t="s">
        <v>14</v>
      </c>
      <c r="W45" s="702">
        <f t="shared" si="14"/>
        <v>100</v>
      </c>
      <c r="X45" s="703"/>
      <c r="Y45" s="372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64"/>
      <c r="Q46" s="1352">
        <f t="shared" si="11"/>
        <v>111</v>
      </c>
      <c r="R46" s="705" t="s">
        <v>14</v>
      </c>
      <c r="S46" s="706">
        <f t="shared" si="12"/>
        <v>100</v>
      </c>
      <c r="T46" s="705" t="s">
        <v>14</v>
      </c>
      <c r="U46" s="706">
        <f t="shared" si="13"/>
        <v>100</v>
      </c>
      <c r="V46" s="705" t="s">
        <v>14</v>
      </c>
      <c r="W46" s="706">
        <f t="shared" si="14"/>
        <v>100</v>
      </c>
      <c r="X46" s="1355"/>
      <c r="Y46" s="372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65"/>
      <c r="Q47" s="1352">
        <f t="shared" si="11"/>
        <v>111</v>
      </c>
      <c r="R47" s="705" t="s">
        <v>14</v>
      </c>
      <c r="S47" s="706">
        <f t="shared" si="12"/>
        <v>100</v>
      </c>
      <c r="T47" s="705" t="s">
        <v>14</v>
      </c>
      <c r="U47" s="706">
        <f t="shared" si="13"/>
        <v>100</v>
      </c>
      <c r="V47" s="705" t="s">
        <v>14</v>
      </c>
      <c r="W47" s="706">
        <f t="shared" si="14"/>
        <v>100</v>
      </c>
      <c r="X47" s="1355"/>
      <c r="Y47" s="372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62" t="str">
        <f>A48</f>
        <v>成交单价（元/平方米）</v>
      </c>
      <c r="Q48" s="3710"/>
      <c r="R48" s="3730">
        <f>E48</f>
        <v>0</v>
      </c>
      <c r="S48" s="3730"/>
      <c r="T48" s="3730">
        <f>G48</f>
        <v>0</v>
      </c>
      <c r="U48" s="3730"/>
      <c r="V48" s="3730">
        <f>I48</f>
        <v>0</v>
      </c>
      <c r="W48" s="373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62" t="str">
        <f>A49</f>
        <v>比较价值（元/平方米）</v>
      </c>
      <c r="Q49" s="3710"/>
      <c r="R49" s="3730" t="e">
        <f>IF(F1="售价",ROUND(PRODUCT(R48,AA7:AA47),0),ROUND(PRODUCT(R48,AA7:AA47),1))</f>
        <v>#DIV/0!</v>
      </c>
      <c r="S49" s="3730"/>
      <c r="T49" s="3730" t="e">
        <f>IF(F1="售价",ROUND(PRODUCT(T48,AB7:AB47),0),ROUND(PRODUCT(T48,AB7:AB47),1))</f>
        <v>#DIV/0!</v>
      </c>
      <c r="U49" s="3730"/>
      <c r="V49" s="3730" t="e">
        <f>IF(F1="售价",ROUND(PRODUCT(V48,AC7:AC47),0),ROUND(PRODUCT(V48,AC7:AC47),1))</f>
        <v>#DIV/0!</v>
      </c>
      <c r="W49" s="373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20" stopIfTrue="1" operator="containsText" text="超过">
      <formula>NOT(ISERROR(SEARCH("超过",F53)))</formula>
    </cfRule>
  </conditionalFormatting>
  <conditionalFormatting sqref="H55">
    <cfRule type="containsText" dxfId="91" priority="19" stopIfTrue="1" operator="containsText" text="超过">
      <formula>NOT(ISERROR(SEARCH("超过",H55)))</formula>
    </cfRule>
  </conditionalFormatting>
  <conditionalFormatting sqref="F55">
    <cfRule type="containsText" dxfId="90" priority="18" stopIfTrue="1" operator="containsText" text="超过">
      <formula>NOT(ISERROR(SEARCH("超过",F55)))</formula>
    </cfRule>
  </conditionalFormatting>
  <conditionalFormatting sqref="F54 H54">
    <cfRule type="containsText" dxfId="89" priority="17" stopIfTrue="1" operator="containsText" text="超过">
      <formula>NOT(ISERROR(SEARCH("超过",F54)))</formula>
    </cfRule>
  </conditionalFormatting>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G55">
    <cfRule type="expression" dxfId="85" priority="13" stopIfTrue="1">
      <formula>$H$55="超过30%"</formula>
    </cfRule>
  </conditionalFormatting>
  <conditionalFormatting sqref="G53">
    <cfRule type="expression" dxfId="84" priority="12" stopIfTrue="1">
      <formula>$H$53="超过30%"</formula>
    </cfRule>
  </conditionalFormatting>
  <conditionalFormatting sqref="G54">
    <cfRule type="expression" dxfId="83" priority="11" stopIfTrue="1">
      <formula>$H$54="超过20%"</formula>
    </cfRule>
  </conditionalFormatting>
  <conditionalFormatting sqref="J53">
    <cfRule type="containsText" dxfId="82" priority="10" stopIfTrue="1" operator="containsText" text="超过">
      <formula>NOT(ISERROR(SEARCH("超过",J53)))</formula>
    </cfRule>
  </conditionalFormatting>
  <conditionalFormatting sqref="J55">
    <cfRule type="containsText" dxfId="81" priority="9" stopIfTrue="1" operator="containsText" text="超过">
      <formula>NOT(ISERROR(SEARCH("超过",J55)))</formula>
    </cfRule>
  </conditionalFormatting>
  <conditionalFormatting sqref="J54">
    <cfRule type="containsText" dxfId="80" priority="8" stopIfTrue="1" operator="containsText" text="超过">
      <formula>NOT(ISERROR(SEARCH("超过",J54)))</formula>
    </cfRule>
  </conditionalFormatting>
  <conditionalFormatting sqref="I53">
    <cfRule type="expression" dxfId="79" priority="7" stopIfTrue="1">
      <formula>$J$53="超过30%"</formula>
    </cfRule>
  </conditionalFormatting>
  <conditionalFormatting sqref="I54">
    <cfRule type="expression" dxfId="78" priority="6" stopIfTrue="1">
      <formula>$J$53+$J$54="超过20%"</formula>
    </cfRule>
  </conditionalFormatting>
  <conditionalFormatting sqref="I55">
    <cfRule type="expression" dxfId="77" priority="5" stopIfTrue="1">
      <formula>$J$55="超过30%"</formula>
    </cfRule>
  </conditionalFormatting>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F7:F47 H7:H47 J7:J47">
    <cfRule type="cellIs" dxfId="7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61" t="s">
        <v>1673</v>
      </c>
      <c r="D5" s="3705"/>
      <c r="E5" s="3760" t="s">
        <v>1674</v>
      </c>
      <c r="F5" s="3703"/>
      <c r="G5" s="3761" t="s">
        <v>1675</v>
      </c>
      <c r="H5" s="3705"/>
      <c r="I5" s="3761"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45902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0"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0"/>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26"/>
      <c r="Q15" s="1352"/>
      <c r="R15" s="705"/>
      <c r="S15" s="706"/>
      <c r="T15" s="705"/>
      <c r="U15" s="706"/>
      <c r="V15" s="705"/>
      <c r="W15" s="706"/>
      <c r="X15" s="1355"/>
      <c r="Y15" s="372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26"/>
      <c r="Q17" s="1352"/>
      <c r="R17" s="705"/>
      <c r="S17" s="706"/>
      <c r="T17" s="705"/>
      <c r="U17" s="706"/>
      <c r="V17" s="705"/>
      <c r="W17" s="706"/>
      <c r="X17" s="1355"/>
      <c r="Y17" s="372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26"/>
      <c r="Q19" s="1352"/>
      <c r="R19" s="705"/>
      <c r="S19" s="706"/>
      <c r="T19" s="705"/>
      <c r="U19" s="706"/>
      <c r="V19" s="705"/>
      <c r="W19" s="706"/>
      <c r="X19" s="1355"/>
      <c r="Y19" s="372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26"/>
      <c r="Q21" s="1352"/>
      <c r="R21" s="705"/>
      <c r="S21" s="706"/>
      <c r="T21" s="705"/>
      <c r="U21" s="706"/>
      <c r="V21" s="705"/>
      <c r="W21" s="706"/>
      <c r="X21" s="1355"/>
      <c r="Y21" s="372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28"/>
      <c r="Q27" s="707" t="str">
        <f t="shared" si="11"/>
        <v>项目停车位配比</v>
      </c>
      <c r="R27" s="708" t="s">
        <v>14</v>
      </c>
      <c r="S27" s="709">
        <f t="shared" si="12"/>
        <v>100</v>
      </c>
      <c r="T27" s="708" t="s">
        <v>14</v>
      </c>
      <c r="U27" s="709">
        <f t="shared" si="13"/>
        <v>100</v>
      </c>
      <c r="V27" s="708" t="s">
        <v>14</v>
      </c>
      <c r="W27" s="709">
        <f t="shared" si="14"/>
        <v>100</v>
      </c>
      <c r="X27" s="710"/>
      <c r="Y27" s="372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28"/>
      <c r="Q28" s="1352" t="str">
        <f t="shared" si="11"/>
        <v>公共部分装修</v>
      </c>
      <c r="R28" s="705" t="s">
        <v>14</v>
      </c>
      <c r="S28" s="706">
        <f t="shared" si="12"/>
        <v>100</v>
      </c>
      <c r="T28" s="705" t="s">
        <v>14</v>
      </c>
      <c r="U28" s="706">
        <f t="shared" si="13"/>
        <v>100</v>
      </c>
      <c r="V28" s="705" t="s">
        <v>14</v>
      </c>
      <c r="W28" s="706">
        <f t="shared" si="14"/>
        <v>100</v>
      </c>
      <c r="X28" s="1355"/>
      <c r="Y28" s="372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28"/>
      <c r="Q29" s="1352" t="str">
        <f t="shared" si="11"/>
        <v>成新率</v>
      </c>
      <c r="R29" s="705" t="s">
        <v>14</v>
      </c>
      <c r="S29" s="706" t="e">
        <f t="shared" si="12"/>
        <v>#N/A</v>
      </c>
      <c r="T29" s="705" t="s">
        <v>14</v>
      </c>
      <c r="U29" s="706" t="e">
        <f t="shared" si="13"/>
        <v>#N/A</v>
      </c>
      <c r="V29" s="705" t="s">
        <v>14</v>
      </c>
      <c r="W29" s="706" t="e">
        <f t="shared" si="14"/>
        <v>#N/A</v>
      </c>
      <c r="X29" s="1355"/>
      <c r="Y29" s="372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28"/>
      <c r="Q30" s="1352" t="str">
        <f t="shared" si="11"/>
        <v>物业等级</v>
      </c>
      <c r="R30" s="705" t="s">
        <v>14</v>
      </c>
      <c r="S30" s="706">
        <f t="shared" si="12"/>
        <v>100</v>
      </c>
      <c r="T30" s="705" t="s">
        <v>14</v>
      </c>
      <c r="U30" s="706">
        <f t="shared" si="13"/>
        <v>100</v>
      </c>
      <c r="V30" s="705" t="s">
        <v>14</v>
      </c>
      <c r="W30" s="706">
        <f t="shared" si="14"/>
        <v>100</v>
      </c>
      <c r="X30" s="1355"/>
      <c r="Y30" s="372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28"/>
      <c r="Q31" s="1343" t="str">
        <f t="shared" si="11"/>
        <v>停车位面积</v>
      </c>
      <c r="R31" s="701" t="s">
        <v>14</v>
      </c>
      <c r="S31" s="702" t="e">
        <f t="shared" si="12"/>
        <v>#N/A</v>
      </c>
      <c r="T31" s="701" t="s">
        <v>14</v>
      </c>
      <c r="U31" s="702" t="e">
        <f t="shared" si="13"/>
        <v>#N/A</v>
      </c>
      <c r="V31" s="701" t="s">
        <v>14</v>
      </c>
      <c r="W31" s="702" t="e">
        <f t="shared" si="14"/>
        <v>#N/A</v>
      </c>
      <c r="X31" s="703"/>
      <c r="Y31" s="372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28" t="s">
        <v>1696</v>
      </c>
      <c r="Q32" s="1352" t="str">
        <f t="shared" si="11"/>
        <v>车位类型</v>
      </c>
      <c r="R32" s="705" t="s">
        <v>14</v>
      </c>
      <c r="S32" s="706">
        <f t="shared" si="12"/>
        <v>100</v>
      </c>
      <c r="T32" s="705" t="s">
        <v>14</v>
      </c>
      <c r="U32" s="706">
        <f t="shared" si="13"/>
        <v>100</v>
      </c>
      <c r="V32" s="705" t="s">
        <v>14</v>
      </c>
      <c r="W32" s="706">
        <f t="shared" si="14"/>
        <v>100</v>
      </c>
      <c r="X32" s="1355"/>
      <c r="Y32" s="372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28"/>
      <c r="Q33" s="1352" t="str">
        <f t="shared" si="11"/>
        <v>是否直接入户</v>
      </c>
      <c r="R33" s="705" t="s">
        <v>14</v>
      </c>
      <c r="S33" s="706">
        <f t="shared" si="12"/>
        <v>100</v>
      </c>
      <c r="T33" s="705" t="s">
        <v>14</v>
      </c>
      <c r="U33" s="706">
        <f t="shared" si="13"/>
        <v>100</v>
      </c>
      <c r="V33" s="705" t="s">
        <v>14</v>
      </c>
      <c r="W33" s="706">
        <f t="shared" si="14"/>
        <v>100</v>
      </c>
      <c r="X33" s="1355"/>
      <c r="Y33" s="372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28"/>
      <c r="Q35" s="707">
        <f t="shared" si="11"/>
        <v>111</v>
      </c>
      <c r="R35" s="708" t="s">
        <v>14</v>
      </c>
      <c r="S35" s="709">
        <f t="shared" si="12"/>
        <v>100</v>
      </c>
      <c r="T35" s="708" t="s">
        <v>14</v>
      </c>
      <c r="U35" s="709">
        <f t="shared" si="13"/>
        <v>100</v>
      </c>
      <c r="V35" s="708" t="s">
        <v>14</v>
      </c>
      <c r="W35" s="709">
        <f t="shared" si="14"/>
        <v>100</v>
      </c>
      <c r="X35" s="710"/>
      <c r="Y35" s="372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28"/>
      <c r="Q36" s="1352">
        <f t="shared" si="11"/>
        <v>111</v>
      </c>
      <c r="R36" s="705" t="s">
        <v>14</v>
      </c>
      <c r="S36" s="706">
        <f t="shared" si="12"/>
        <v>100</v>
      </c>
      <c r="T36" s="705" t="s">
        <v>14</v>
      </c>
      <c r="U36" s="706">
        <f t="shared" si="13"/>
        <v>100</v>
      </c>
      <c r="V36" s="705" t="s">
        <v>14</v>
      </c>
      <c r="W36" s="706">
        <f t="shared" si="14"/>
        <v>100</v>
      </c>
      <c r="X36" s="1355"/>
      <c r="Y36" s="3728"/>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10" t="str">
        <f>A37</f>
        <v>成交单价</v>
      </c>
      <c r="Q37" s="3710"/>
      <c r="R37" s="3730">
        <f>E37</f>
        <v>0</v>
      </c>
      <c r="S37" s="3730"/>
      <c r="T37" s="3730">
        <f>G37</f>
        <v>0</v>
      </c>
      <c r="U37" s="3730"/>
      <c r="V37" s="3730">
        <f>I37</f>
        <v>0</v>
      </c>
      <c r="W37" s="373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0" t="str">
        <f>A38</f>
        <v>比较价值（元/平方米）</v>
      </c>
      <c r="Q38" s="3710"/>
      <c r="R38" s="3730" t="e">
        <f>IF(F1="售价",ROUND(PRODUCT(R37,AA7:AA36),0),ROUND(PRODUCT(R37,AA7:AA36),1))</f>
        <v>#DIV/0!</v>
      </c>
      <c r="S38" s="3730"/>
      <c r="T38" s="3730" t="e">
        <f>IF(F1="售价",ROUND(PRODUCT(T37,AB7:AB36),0),ROUND(PRODUCT(T37,AB7:AB36),1))</f>
        <v>#DIV/0!</v>
      </c>
      <c r="U38" s="3730"/>
      <c r="V38" s="3730" t="e">
        <f>IF(F1="售价",ROUND(PRODUCT(V37,AC7:AC36),0),ROUND(PRODUCT(V37,AC7:AC36),1))</f>
        <v>#DIV/0!</v>
      </c>
      <c r="W38" s="373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1" t="str">
        <f>A39</f>
        <v>估价对象XX用房的比较价值（楼面单价，元/平方米）</v>
      </c>
      <c r="Q39" s="3732"/>
      <c r="R39" s="3783" t="e">
        <f>IF(F1="售价",ROUND(IF(D38="简单平均",AVERAGE(R38:W38),R38*F38+T38*H38+V38*J38),0),ROUND(IF(D38="简单平均",AVERAGE(R38:V38),R38*F38+T38*H38+V38*J38),1))</f>
        <v>#DIV/0!</v>
      </c>
      <c r="S39" s="3783"/>
      <c r="T39" s="3783"/>
      <c r="U39" s="3783"/>
      <c r="V39" s="3783"/>
      <c r="W39" s="378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61" t="s">
        <v>1673</v>
      </c>
      <c r="D5" s="3705"/>
      <c r="E5" s="3760" t="s">
        <v>1674</v>
      </c>
      <c r="F5" s="3703"/>
      <c r="G5" s="3761" t="s">
        <v>1675</v>
      </c>
      <c r="H5" s="3705"/>
      <c r="I5" s="3761"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45902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6" t="s">
        <v>1680</v>
      </c>
      <c r="Q7" s="3724"/>
      <c r="R7" s="701" t="s">
        <v>14</v>
      </c>
      <c r="S7" s="702">
        <f t="shared" ref="S7:S14" si="0">F7</f>
        <v>0</v>
      </c>
      <c r="T7" s="701" t="s">
        <v>14</v>
      </c>
      <c r="U7" s="702">
        <f t="shared" ref="U7:U14" si="1">H7</f>
        <v>0</v>
      </c>
      <c r="V7" s="701" t="s">
        <v>14</v>
      </c>
      <c r="W7" s="702">
        <f t="shared" ref="W7:W14" si="2">J7</f>
        <v>0</v>
      </c>
      <c r="X7" s="703"/>
      <c r="Y7" s="3696" t="s">
        <v>1680</v>
      </c>
      <c r="Z7" s="369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6" t="s">
        <v>1683</v>
      </c>
      <c r="Q8" s="3697"/>
      <c r="R8" s="701" t="s">
        <v>14</v>
      </c>
      <c r="S8" s="702">
        <f t="shared" si="0"/>
        <v>100</v>
      </c>
      <c r="T8" s="701" t="s">
        <v>14</v>
      </c>
      <c r="U8" s="702">
        <f t="shared" si="1"/>
        <v>100</v>
      </c>
      <c r="V8" s="701" t="s">
        <v>14</v>
      </c>
      <c r="W8" s="702">
        <f t="shared" si="2"/>
        <v>100</v>
      </c>
      <c r="X8" s="703"/>
      <c r="Y8" s="3696" t="s">
        <v>1683</v>
      </c>
      <c r="Z8" s="369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0" t="s">
        <v>1686</v>
      </c>
      <c r="Q9" s="1343" t="str">
        <f t="shared" ref="Q9:Q14" si="6">B9</f>
        <v>用途</v>
      </c>
      <c r="R9" s="701" t="s">
        <v>14</v>
      </c>
      <c r="S9" s="702">
        <f t="shared" si="0"/>
        <v>100</v>
      </c>
      <c r="T9" s="701" t="s">
        <v>14</v>
      </c>
      <c r="U9" s="702">
        <f t="shared" si="1"/>
        <v>100</v>
      </c>
      <c r="V9" s="701" t="s">
        <v>14</v>
      </c>
      <c r="W9" s="702">
        <f t="shared" si="2"/>
        <v>100</v>
      </c>
      <c r="X9" s="703"/>
      <c r="Y9" s="36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0"/>
      <c r="Q10" s="1343" t="str">
        <f t="shared" si="6"/>
        <v>土地使用年限（年）</v>
      </c>
      <c r="R10" s="701" t="s">
        <v>14</v>
      </c>
      <c r="S10" s="702">
        <f t="shared" si="0"/>
        <v>100</v>
      </c>
      <c r="T10" s="701" t="s">
        <v>14</v>
      </c>
      <c r="U10" s="702">
        <f t="shared" si="1"/>
        <v>100</v>
      </c>
      <c r="V10" s="701" t="s">
        <v>14</v>
      </c>
      <c r="W10" s="702">
        <f t="shared" si="2"/>
        <v>100</v>
      </c>
      <c r="X10" s="703"/>
      <c r="Y10" s="36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0"/>
      <c r="Q11" s="1343">
        <f t="shared" si="6"/>
        <v>111</v>
      </c>
      <c r="R11" s="701" t="s">
        <v>14</v>
      </c>
      <c r="S11" s="702">
        <f t="shared" si="0"/>
        <v>100</v>
      </c>
      <c r="T11" s="701" t="s">
        <v>14</v>
      </c>
      <c r="U11" s="702">
        <f t="shared" si="1"/>
        <v>100</v>
      </c>
      <c r="V11" s="701" t="s">
        <v>14</v>
      </c>
      <c r="W11" s="702">
        <f t="shared" si="2"/>
        <v>100</v>
      </c>
      <c r="X11" s="703"/>
      <c r="Y11" s="36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5" t="s">
        <v>1691</v>
      </c>
      <c r="Q14" s="1352" t="str">
        <f t="shared" si="6"/>
        <v>交通便捷度</v>
      </c>
      <c r="R14" s="705" t="s">
        <v>14</v>
      </c>
      <c r="S14" s="706">
        <f t="shared" si="0"/>
        <v>100</v>
      </c>
      <c r="T14" s="705" t="s">
        <v>14</v>
      </c>
      <c r="U14" s="706">
        <f t="shared" si="1"/>
        <v>100</v>
      </c>
      <c r="V14" s="705" t="s">
        <v>14</v>
      </c>
      <c r="W14" s="706">
        <f t="shared" si="2"/>
        <v>100</v>
      </c>
      <c r="X14" s="1355"/>
      <c r="Y14" s="372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26"/>
      <c r="Q15" s="1352"/>
      <c r="R15" s="705"/>
      <c r="S15" s="706"/>
      <c r="T15" s="705"/>
      <c r="U15" s="706"/>
      <c r="V15" s="705"/>
      <c r="W15" s="706"/>
      <c r="X15" s="1355"/>
      <c r="Y15" s="372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26"/>
      <c r="Q17" s="1352"/>
      <c r="R17" s="705"/>
      <c r="S17" s="706"/>
      <c r="T17" s="705"/>
      <c r="U17" s="706"/>
      <c r="V17" s="705"/>
      <c r="W17" s="706"/>
      <c r="X17" s="1355"/>
      <c r="Y17" s="372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26"/>
      <c r="Q19" s="1352"/>
      <c r="R19" s="705"/>
      <c r="S19" s="706"/>
      <c r="T19" s="705"/>
      <c r="U19" s="706"/>
      <c r="V19" s="705"/>
      <c r="W19" s="706"/>
      <c r="X19" s="1355"/>
      <c r="Y19" s="372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26"/>
      <c r="Q21" s="1352"/>
      <c r="R21" s="705"/>
      <c r="S21" s="706"/>
      <c r="T21" s="705"/>
      <c r="U21" s="706"/>
      <c r="V21" s="705"/>
      <c r="W21" s="706"/>
      <c r="X21" s="1355"/>
      <c r="Y21" s="372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28"/>
      <c r="Q27" s="707" t="str">
        <f t="shared" si="11"/>
        <v>成新率</v>
      </c>
      <c r="R27" s="708" t="s">
        <v>14</v>
      </c>
      <c r="S27" s="709" t="e">
        <f t="shared" si="12"/>
        <v>#N/A</v>
      </c>
      <c r="T27" s="708" t="s">
        <v>14</v>
      </c>
      <c r="U27" s="709" t="e">
        <f t="shared" si="13"/>
        <v>#N/A</v>
      </c>
      <c r="V27" s="708" t="s">
        <v>14</v>
      </c>
      <c r="W27" s="709" t="e">
        <f t="shared" si="14"/>
        <v>#N/A</v>
      </c>
      <c r="X27" s="710"/>
      <c r="Y27" s="372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28"/>
      <c r="Q28" s="1352" t="str">
        <f t="shared" si="11"/>
        <v>物业等级</v>
      </c>
      <c r="R28" s="705" t="s">
        <v>14</v>
      </c>
      <c r="S28" s="706">
        <f t="shared" si="12"/>
        <v>100</v>
      </c>
      <c r="T28" s="705" t="s">
        <v>14</v>
      </c>
      <c r="U28" s="706">
        <f t="shared" si="13"/>
        <v>100</v>
      </c>
      <c r="V28" s="705" t="s">
        <v>14</v>
      </c>
      <c r="W28" s="706">
        <f t="shared" si="14"/>
        <v>100</v>
      </c>
      <c r="X28" s="1355"/>
      <c r="Y28" s="372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28"/>
      <c r="Q29" s="1352" t="str">
        <f t="shared" si="11"/>
        <v>有无电梯</v>
      </c>
      <c r="R29" s="705" t="s">
        <v>14</v>
      </c>
      <c r="S29" s="706">
        <f t="shared" si="12"/>
        <v>100</v>
      </c>
      <c r="T29" s="705" t="s">
        <v>14</v>
      </c>
      <c r="U29" s="706">
        <f t="shared" si="13"/>
        <v>100</v>
      </c>
      <c r="V29" s="705" t="s">
        <v>14</v>
      </c>
      <c r="W29" s="706">
        <f t="shared" si="14"/>
        <v>100</v>
      </c>
      <c r="X29" s="1355"/>
      <c r="Y29" s="372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28"/>
      <c r="Q30" s="1352" t="str">
        <f t="shared" si="11"/>
        <v>建筑面积</v>
      </c>
      <c r="R30" s="705" t="s">
        <v>14</v>
      </c>
      <c r="S30" s="706" t="e">
        <f t="shared" si="12"/>
        <v>#N/A</v>
      </c>
      <c r="T30" s="705" t="s">
        <v>14</v>
      </c>
      <c r="U30" s="706" t="e">
        <f t="shared" si="13"/>
        <v>#N/A</v>
      </c>
      <c r="V30" s="705" t="s">
        <v>14</v>
      </c>
      <c r="W30" s="706" t="e">
        <f t="shared" si="14"/>
        <v>#N/A</v>
      </c>
      <c r="X30" s="1355"/>
      <c r="Y30" s="372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28"/>
      <c r="Q31" s="1343" t="str">
        <f t="shared" si="11"/>
        <v>是否封闭</v>
      </c>
      <c r="R31" s="701" t="s">
        <v>14</v>
      </c>
      <c r="S31" s="702">
        <f t="shared" si="12"/>
        <v>100</v>
      </c>
      <c r="T31" s="701" t="s">
        <v>14</v>
      </c>
      <c r="U31" s="702">
        <f t="shared" si="13"/>
        <v>100</v>
      </c>
      <c r="V31" s="701" t="s">
        <v>14</v>
      </c>
      <c r="W31" s="702">
        <f t="shared" si="14"/>
        <v>100</v>
      </c>
      <c r="X31" s="703"/>
      <c r="Y31" s="372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28" t="s">
        <v>1696</v>
      </c>
      <c r="Q32" s="1352">
        <f t="shared" si="11"/>
        <v>111</v>
      </c>
      <c r="R32" s="705" t="s">
        <v>14</v>
      </c>
      <c r="S32" s="706">
        <f t="shared" si="12"/>
        <v>100</v>
      </c>
      <c r="T32" s="705" t="s">
        <v>14</v>
      </c>
      <c r="U32" s="706">
        <f t="shared" si="13"/>
        <v>100</v>
      </c>
      <c r="V32" s="705" t="s">
        <v>14</v>
      </c>
      <c r="W32" s="706">
        <f t="shared" si="14"/>
        <v>100</v>
      </c>
      <c r="X32" s="1355"/>
      <c r="Y32" s="372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28"/>
      <c r="Q33" s="1352">
        <f t="shared" si="11"/>
        <v>111</v>
      </c>
      <c r="R33" s="705" t="s">
        <v>14</v>
      </c>
      <c r="S33" s="706">
        <f t="shared" si="12"/>
        <v>100</v>
      </c>
      <c r="T33" s="705" t="s">
        <v>14</v>
      </c>
      <c r="U33" s="706">
        <f t="shared" si="13"/>
        <v>100</v>
      </c>
      <c r="V33" s="705" t="s">
        <v>14</v>
      </c>
      <c r="W33" s="706">
        <f t="shared" si="14"/>
        <v>100</v>
      </c>
      <c r="X33" s="1355"/>
      <c r="Y33" s="372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28"/>
      <c r="Q34" s="1352">
        <f t="shared" si="11"/>
        <v>111</v>
      </c>
      <c r="R34" s="705" t="s">
        <v>14</v>
      </c>
      <c r="S34" s="706">
        <f t="shared" si="12"/>
        <v>100</v>
      </c>
      <c r="T34" s="705" t="s">
        <v>14</v>
      </c>
      <c r="U34" s="706">
        <f t="shared" si="13"/>
        <v>100</v>
      </c>
      <c r="V34" s="705" t="s">
        <v>14</v>
      </c>
      <c r="W34" s="706">
        <f t="shared" si="14"/>
        <v>100</v>
      </c>
      <c r="X34" s="1355"/>
      <c r="Y34" s="372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0" t="str">
        <f>A35</f>
        <v>成交单价（元/平方米）</v>
      </c>
      <c r="Q35" s="3710"/>
      <c r="R35" s="3730">
        <f>E35</f>
        <v>0</v>
      </c>
      <c r="S35" s="3730"/>
      <c r="T35" s="3730">
        <f>G35</f>
        <v>0</v>
      </c>
      <c r="U35" s="3730"/>
      <c r="V35" s="3730">
        <f>I35</f>
        <v>0</v>
      </c>
      <c r="W35" s="373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0" t="str">
        <f>A36</f>
        <v>比较价值（元/平方米）</v>
      </c>
      <c r="Q36" s="3710"/>
      <c r="R36" s="3730" t="e">
        <f>IF(F1="售价",ROUND(PRODUCT(R35,AA7:AA34),0),ROUND(PRODUCT(R35,AA7:AA34),1))</f>
        <v>#DIV/0!</v>
      </c>
      <c r="S36" s="3730"/>
      <c r="T36" s="3730" t="e">
        <f>IF(F1="售价",ROUND(PRODUCT(T35,AB7:AB34),0),ROUND(PRODUCT(T35,AB7:AB34),1))</f>
        <v>#DIV/0!</v>
      </c>
      <c r="U36" s="3730"/>
      <c r="V36" s="3730" t="e">
        <f>IF(F1="售价",ROUND(PRODUCT(V35,AC7:AC34),0),ROUND(PRODUCT(V35,AC7:AC34),1))</f>
        <v>#DIV/0!</v>
      </c>
      <c r="W36" s="373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1" t="str">
        <f>A37</f>
        <v>估价对象XX用房的比较价值（楼面单价，元/平方米）</v>
      </c>
      <c r="Q37" s="3732"/>
      <c r="R37" s="3783" t="e">
        <f>IF(F1="售价",ROUND(IF(D36="简单平均",AVERAGE(R36:W36),R36*F36+T36*H36+V36*J36),0),ROUND(IF(D36="简单平均",AVERAGE(R36:V36),R36*F36+T36*H36+V36*J36),1))</f>
        <v>#DIV/0!</v>
      </c>
      <c r="S37" s="3783"/>
      <c r="T37" s="3783"/>
      <c r="U37" s="3783"/>
      <c r="V37" s="3783"/>
      <c r="W37" s="378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30" ht="15">
      <c r="A5" s="358"/>
      <c r="B5" s="359"/>
      <c r="C5" s="3761" t="s">
        <v>1673</v>
      </c>
      <c r="D5" s="3705"/>
      <c r="E5" s="3760" t="s">
        <v>1674</v>
      </c>
      <c r="F5" s="3703"/>
      <c r="G5" s="3761" t="s">
        <v>1675</v>
      </c>
      <c r="H5" s="3705"/>
      <c r="I5" s="3761" t="s">
        <v>1676</v>
      </c>
      <c r="J5" s="3705"/>
      <c r="K5" s="559"/>
      <c r="L5" s="2715"/>
      <c r="M5" s="2716"/>
      <c r="N5" s="2716"/>
      <c r="O5" s="2716"/>
      <c r="P5" s="3717"/>
      <c r="Q5" s="3718"/>
      <c r="R5" s="3700"/>
      <c r="S5" s="3701"/>
      <c r="T5" s="3700"/>
      <c r="U5" s="3701"/>
      <c r="V5" s="3723"/>
      <c r="W5" s="3723"/>
      <c r="X5" s="1355"/>
      <c r="Y5" s="3700"/>
      <c r="Z5" s="3701"/>
      <c r="AA5" s="3694"/>
      <c r="AB5" s="3694"/>
      <c r="AC5" s="3694"/>
    </row>
    <row r="6" spans="1:30" ht="15.75" thickBot="1">
      <c r="A6" s="360"/>
      <c r="B6" s="361"/>
      <c r="C6" s="3706" t="s">
        <v>1677</v>
      </c>
      <c r="D6" s="3707"/>
      <c r="E6" s="3708" t="s">
        <v>1677</v>
      </c>
      <c r="F6" s="3709"/>
      <c r="G6" s="3706" t="s">
        <v>1677</v>
      </c>
      <c r="H6" s="3707"/>
      <c r="I6" s="3706" t="s">
        <v>1677</v>
      </c>
      <c r="J6" s="3707"/>
      <c r="K6" s="559" t="s">
        <v>1678</v>
      </c>
      <c r="L6" s="2715"/>
      <c r="M6" s="2716"/>
      <c r="N6" s="2716"/>
      <c r="O6" s="2716"/>
      <c r="P6" s="3719"/>
      <c r="Q6" s="3720"/>
      <c r="R6" s="3700"/>
      <c r="S6" s="3701"/>
      <c r="T6" s="3721"/>
      <c r="U6" s="3722"/>
      <c r="V6" s="3723"/>
      <c r="W6" s="3723"/>
      <c r="X6" s="1355"/>
      <c r="Y6" s="3721"/>
      <c r="Z6" s="3722"/>
      <c r="AA6" s="3695"/>
      <c r="AB6" s="3695"/>
      <c r="AC6" s="3695"/>
    </row>
    <row r="7" spans="1:30" s="108" customFormat="1" ht="15.75" thickBot="1">
      <c r="A7" s="362" t="s">
        <v>1679</v>
      </c>
      <c r="B7" s="363"/>
      <c r="C7" s="364">
        <f>'数据-取费表'!B2</f>
        <v>45902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710"/>
      <c r="Q10" s="1343" t="str">
        <f t="shared" si="6"/>
        <v>土地使用年限（年）</v>
      </c>
      <c r="R10" s="701" t="s">
        <v>14</v>
      </c>
      <c r="S10" s="702">
        <f t="shared" si="0"/>
        <v>114</v>
      </c>
      <c r="T10" s="701" t="s">
        <v>14</v>
      </c>
      <c r="U10" s="702">
        <f t="shared" si="1"/>
        <v>114</v>
      </c>
      <c r="V10" s="701" t="s">
        <v>14</v>
      </c>
      <c r="W10" s="702">
        <f t="shared" si="2"/>
        <v>114</v>
      </c>
      <c r="X10" s="703"/>
      <c r="Y10" s="3647"/>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0"/>
      <c r="Q12" s="1343" t="str">
        <f t="shared" si="6"/>
        <v>配建</v>
      </c>
      <c r="R12" s="701" t="s">
        <v>14</v>
      </c>
      <c r="S12" s="702">
        <f t="shared" si="0"/>
        <v>100</v>
      </c>
      <c r="T12" s="701" t="s">
        <v>14</v>
      </c>
      <c r="U12" s="702">
        <f t="shared" si="1"/>
        <v>100</v>
      </c>
      <c r="V12" s="701" t="s">
        <v>14</v>
      </c>
      <c r="W12" s="702">
        <f t="shared" si="2"/>
        <v>100</v>
      </c>
      <c r="X12" s="703"/>
      <c r="Y12" s="36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5" t="s">
        <v>1691</v>
      </c>
      <c r="Q15" s="1352" t="str">
        <f t="shared" si="6"/>
        <v>居住社区成熟度</v>
      </c>
      <c r="R15" s="705" t="s">
        <v>14</v>
      </c>
      <c r="S15" s="706">
        <f t="shared" si="0"/>
        <v>100</v>
      </c>
      <c r="T15" s="705" t="s">
        <v>14</v>
      </c>
      <c r="U15" s="706">
        <f t="shared" si="1"/>
        <v>100</v>
      </c>
      <c r="V15" s="705" t="s">
        <v>14</v>
      </c>
      <c r="W15" s="706">
        <f t="shared" si="2"/>
        <v>100</v>
      </c>
      <c r="X15" s="1355"/>
      <c r="Y15" s="372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26"/>
      <c r="Q20" s="1352"/>
      <c r="R20" s="705"/>
      <c r="S20" s="706"/>
      <c r="T20" s="705"/>
      <c r="U20" s="706"/>
      <c r="V20" s="705"/>
      <c r="W20" s="706"/>
      <c r="X20" s="1355"/>
      <c r="Y20" s="372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26"/>
      <c r="Q24" s="1352"/>
      <c r="R24" s="705"/>
      <c r="S24" s="706"/>
      <c r="T24" s="705"/>
      <c r="U24" s="706"/>
      <c r="V24" s="705"/>
      <c r="W24" s="706"/>
      <c r="X24" s="1355"/>
      <c r="Y24" s="372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26"/>
      <c r="Q26" s="1352"/>
      <c r="R26" s="705"/>
      <c r="S26" s="706"/>
      <c r="T26" s="705"/>
      <c r="U26" s="706"/>
      <c r="V26" s="705"/>
      <c r="W26" s="706"/>
      <c r="X26" s="1355"/>
      <c r="Y26" s="372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26"/>
      <c r="Q28" s="1343"/>
      <c r="R28" s="701"/>
      <c r="S28" s="702"/>
      <c r="T28" s="701"/>
      <c r="U28" s="702"/>
      <c r="V28" s="701"/>
      <c r="W28" s="702"/>
      <c r="X28" s="703"/>
      <c r="Y28" s="372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26"/>
      <c r="Q30" s="1343"/>
      <c r="R30" s="701"/>
      <c r="S30" s="702"/>
      <c r="T30" s="701"/>
      <c r="U30" s="702"/>
      <c r="V30" s="701"/>
      <c r="W30" s="702"/>
      <c r="X30" s="703"/>
      <c r="Y30" s="372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26"/>
      <c r="Q33" s="1352"/>
      <c r="R33" s="705"/>
      <c r="S33" s="706"/>
      <c r="T33" s="705"/>
      <c r="U33" s="706"/>
      <c r="V33" s="705"/>
      <c r="W33" s="706"/>
      <c r="X33" s="1355"/>
      <c r="Y33" s="372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7" t="s">
        <v>1696</v>
      </c>
      <c r="Q36" s="1352">
        <f t="shared" si="8"/>
        <v>111</v>
      </c>
      <c r="R36" s="705" t="s">
        <v>14</v>
      </c>
      <c r="S36" s="706">
        <f t="shared" si="10"/>
        <v>100</v>
      </c>
      <c r="T36" s="705" t="s">
        <v>14</v>
      </c>
      <c r="U36" s="706">
        <f t="shared" si="11"/>
        <v>100</v>
      </c>
      <c r="V36" s="705" t="s">
        <v>14</v>
      </c>
      <c r="W36" s="706">
        <f t="shared" si="12"/>
        <v>100</v>
      </c>
      <c r="X36" s="1355"/>
      <c r="Y36" s="372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28"/>
      <c r="Q37" s="1352">
        <f t="shared" si="8"/>
        <v>111</v>
      </c>
      <c r="R37" s="708" t="s">
        <v>14</v>
      </c>
      <c r="S37" s="709">
        <f t="shared" si="10"/>
        <v>100</v>
      </c>
      <c r="T37" s="708" t="s">
        <v>14</v>
      </c>
      <c r="U37" s="709">
        <f t="shared" si="11"/>
        <v>100</v>
      </c>
      <c r="V37" s="708" t="s">
        <v>14</v>
      </c>
      <c r="W37" s="709">
        <f t="shared" si="12"/>
        <v>100</v>
      </c>
      <c r="X37" s="710"/>
      <c r="Y37" s="372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28"/>
      <c r="Q38" s="1352" t="str">
        <f>B38</f>
        <v>宗地面积</v>
      </c>
      <c r="R38" s="705" t="s">
        <v>14</v>
      </c>
      <c r="S38" s="706" t="e">
        <f t="shared" si="10"/>
        <v>#N/A</v>
      </c>
      <c r="T38" s="705" t="s">
        <v>14</v>
      </c>
      <c r="U38" s="706" t="e">
        <f t="shared" si="11"/>
        <v>#N/A</v>
      </c>
      <c r="V38" s="705" t="s">
        <v>14</v>
      </c>
      <c r="W38" s="706" t="e">
        <f t="shared" si="12"/>
        <v>#N/A</v>
      </c>
      <c r="X38" s="1355"/>
      <c r="Y38" s="372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28"/>
      <c r="Q39" s="1352" t="str">
        <f t="shared" ref="Q39:Q45" si="14">B39</f>
        <v>宗地形状</v>
      </c>
      <c r="R39" s="705" t="s">
        <v>14</v>
      </c>
      <c r="S39" s="706">
        <f t="shared" si="10"/>
        <v>100</v>
      </c>
      <c r="T39" s="705" t="s">
        <v>14</v>
      </c>
      <c r="U39" s="706">
        <f t="shared" si="11"/>
        <v>100</v>
      </c>
      <c r="V39" s="705" t="s">
        <v>14</v>
      </c>
      <c r="W39" s="706">
        <f t="shared" si="12"/>
        <v>100</v>
      </c>
      <c r="X39" s="1355"/>
      <c r="Y39" s="372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28"/>
      <c r="Q40" s="1352" t="str">
        <f t="shared" si="14"/>
        <v>临街宽度及深度</v>
      </c>
      <c r="R40" s="705" t="s">
        <v>14</v>
      </c>
      <c r="S40" s="706">
        <f t="shared" si="10"/>
        <v>100</v>
      </c>
      <c r="T40" s="705" t="s">
        <v>14</v>
      </c>
      <c r="U40" s="706">
        <f t="shared" si="11"/>
        <v>100</v>
      </c>
      <c r="V40" s="705" t="s">
        <v>14</v>
      </c>
      <c r="W40" s="706">
        <f t="shared" si="12"/>
        <v>100</v>
      </c>
      <c r="X40" s="1355"/>
      <c r="Y40" s="372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28"/>
      <c r="Q41" s="1352" t="str">
        <f t="shared" si="14"/>
        <v>宗地开发程度</v>
      </c>
      <c r="R41" s="701" t="s">
        <v>14</v>
      </c>
      <c r="S41" s="702">
        <f t="shared" si="10"/>
        <v>100</v>
      </c>
      <c r="T41" s="701" t="s">
        <v>14</v>
      </c>
      <c r="U41" s="702">
        <f t="shared" si="11"/>
        <v>100</v>
      </c>
      <c r="V41" s="701" t="s">
        <v>14</v>
      </c>
      <c r="W41" s="702">
        <f t="shared" si="12"/>
        <v>100</v>
      </c>
      <c r="X41" s="703"/>
      <c r="Y41" s="372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28" t="s">
        <v>1696</v>
      </c>
      <c r="Q42" s="1352" t="str">
        <f t="shared" si="14"/>
        <v>工程地质条件</v>
      </c>
      <c r="R42" s="705" t="s">
        <v>14</v>
      </c>
      <c r="S42" s="706">
        <f t="shared" si="10"/>
        <v>100</v>
      </c>
      <c r="T42" s="705" t="s">
        <v>14</v>
      </c>
      <c r="U42" s="706">
        <f t="shared" si="11"/>
        <v>100</v>
      </c>
      <c r="V42" s="705" t="s">
        <v>14</v>
      </c>
      <c r="W42" s="706">
        <f t="shared" si="12"/>
        <v>100</v>
      </c>
      <c r="X42" s="1355"/>
      <c r="Y42" s="372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28"/>
      <c r="Q43" s="1352">
        <f t="shared" si="14"/>
        <v>111</v>
      </c>
      <c r="R43" s="705" t="s">
        <v>14</v>
      </c>
      <c r="S43" s="706">
        <f t="shared" si="10"/>
        <v>100</v>
      </c>
      <c r="T43" s="705" t="s">
        <v>14</v>
      </c>
      <c r="U43" s="706">
        <f t="shared" si="11"/>
        <v>100</v>
      </c>
      <c r="V43" s="705" t="s">
        <v>14</v>
      </c>
      <c r="W43" s="706">
        <f t="shared" si="12"/>
        <v>100</v>
      </c>
      <c r="X43" s="1355"/>
      <c r="Y43" s="372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28"/>
      <c r="Q44" s="1352">
        <f t="shared" si="14"/>
        <v>111</v>
      </c>
      <c r="R44" s="705" t="s">
        <v>14</v>
      </c>
      <c r="S44" s="706">
        <f t="shared" si="10"/>
        <v>100</v>
      </c>
      <c r="T44" s="705" t="s">
        <v>14</v>
      </c>
      <c r="U44" s="706">
        <f t="shared" si="11"/>
        <v>100</v>
      </c>
      <c r="V44" s="705" t="s">
        <v>14</v>
      </c>
      <c r="W44" s="706">
        <f t="shared" si="12"/>
        <v>100</v>
      </c>
      <c r="X44" s="1355"/>
      <c r="Y44" s="372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28"/>
      <c r="Q45" s="1352">
        <f t="shared" si="14"/>
        <v>111</v>
      </c>
      <c r="R45" s="708" t="s">
        <v>14</v>
      </c>
      <c r="S45" s="709">
        <f t="shared" si="10"/>
        <v>100</v>
      </c>
      <c r="T45" s="708" t="s">
        <v>14</v>
      </c>
      <c r="U45" s="709">
        <f t="shared" si="11"/>
        <v>100</v>
      </c>
      <c r="V45" s="708" t="s">
        <v>14</v>
      </c>
      <c r="W45" s="709">
        <f t="shared" si="12"/>
        <v>100</v>
      </c>
      <c r="X45" s="710"/>
      <c r="Y45" s="372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0" t="str">
        <f>A46</f>
        <v>成交单价</v>
      </c>
      <c r="Q46" s="3710"/>
      <c r="R46" s="3723">
        <f>E46</f>
        <v>0</v>
      </c>
      <c r="S46" s="3723"/>
      <c r="T46" s="3723">
        <f>G46</f>
        <v>0</v>
      </c>
      <c r="U46" s="3723"/>
      <c r="V46" s="3723">
        <f>I46</f>
        <v>0</v>
      </c>
      <c r="W46" s="3723"/>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0" t="str">
        <f>A47</f>
        <v>比较价值（元/平方米）</v>
      </c>
      <c r="Q47" s="3710"/>
      <c r="R47" s="3784" t="e">
        <f>ROUND(PRODUCT(R46,AA7:AA45),0)</f>
        <v>#DIV/0!</v>
      </c>
      <c r="S47" s="3784"/>
      <c r="T47" s="3784" t="e">
        <f>ROUND(PRODUCT(T46,AB7:AB45),0)</f>
        <v>#DIV/0!</v>
      </c>
      <c r="U47" s="3784"/>
      <c r="V47" s="3784" t="e">
        <f>ROUND(PRODUCT(V46,AC7:AC45),0)</f>
        <v>#DIV/0!</v>
      </c>
      <c r="W47" s="378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1" t="str">
        <f>A48</f>
        <v>估价对象XX用房的比较价值（楼面单价，元/平方米）</v>
      </c>
      <c r="Q48" s="3732"/>
      <c r="R48" s="3785" t="e">
        <f>ROUND(IF(D47="简单平均",AVERAGE(R47:W47),R47*F47+T47*H47+V47*J47),0)</f>
        <v>#DIV/0!</v>
      </c>
      <c r="S48" s="3785"/>
      <c r="T48" s="3785"/>
      <c r="U48" s="3785"/>
      <c r="V48" s="3785"/>
      <c r="W48" s="378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8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3281.85</v>
      </c>
      <c r="F56" s="886" t="e">
        <f t="shared" ref="F56:F64" si="15">ROUND(B56*E56/10000,0)</f>
        <v>#DIV/0!</v>
      </c>
      <c r="G56" s="3762"/>
      <c r="H56" s="371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3281.85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698" t="s">
        <v>1771</v>
      </c>
      <c r="S4" s="3699"/>
      <c r="T4" s="3698" t="s">
        <v>1772</v>
      </c>
      <c r="U4" s="3699"/>
      <c r="V4" s="3723" t="s">
        <v>1773</v>
      </c>
      <c r="W4" s="3723"/>
      <c r="X4" s="1355"/>
      <c r="Y4" s="3698" t="s">
        <v>1775</v>
      </c>
      <c r="Z4" s="3699"/>
      <c r="AA4" s="3693" t="s">
        <v>1771</v>
      </c>
      <c r="AB4" s="3694" t="s">
        <v>1772</v>
      </c>
      <c r="AC4" s="3693" t="s">
        <v>1773</v>
      </c>
    </row>
    <row r="5" spans="1:29" ht="15">
      <c r="A5" s="358"/>
      <c r="B5" s="359"/>
      <c r="C5" s="3761" t="s">
        <v>1673</v>
      </c>
      <c r="D5" s="3705"/>
      <c r="E5" s="3760" t="s">
        <v>1674</v>
      </c>
      <c r="F5" s="3703"/>
      <c r="G5" s="3761" t="s">
        <v>1675</v>
      </c>
      <c r="H5" s="3705"/>
      <c r="I5" s="3761" t="s">
        <v>1676</v>
      </c>
      <c r="J5" s="3705"/>
      <c r="K5" s="559"/>
      <c r="L5" s="2715"/>
      <c r="M5" s="2716"/>
      <c r="N5" s="2716"/>
      <c r="O5" s="2716"/>
      <c r="P5" s="3717"/>
      <c r="Q5" s="3718"/>
      <c r="R5" s="3700"/>
      <c r="S5" s="3701"/>
      <c r="T5" s="3700"/>
      <c r="U5" s="3701"/>
      <c r="V5" s="3723"/>
      <c r="W5" s="3723"/>
      <c r="X5" s="1355"/>
      <c r="Y5" s="3700"/>
      <c r="Z5" s="3701"/>
      <c r="AA5" s="3694"/>
      <c r="AB5" s="3694"/>
      <c r="AC5" s="3694"/>
    </row>
    <row r="6" spans="1:29" ht="15.75" thickBot="1">
      <c r="A6" s="360"/>
      <c r="B6" s="361"/>
      <c r="C6" s="3787" t="s">
        <v>1919</v>
      </c>
      <c r="D6" s="3788"/>
      <c r="E6" s="3789" t="s">
        <v>1919</v>
      </c>
      <c r="F6" s="3790"/>
      <c r="G6" s="3787" t="s">
        <v>1919</v>
      </c>
      <c r="H6" s="3788"/>
      <c r="I6" s="3787" t="s">
        <v>1919</v>
      </c>
      <c r="J6" s="3788"/>
      <c r="K6" s="559" t="s">
        <v>1678</v>
      </c>
      <c r="L6" s="2715"/>
      <c r="M6" s="2716"/>
      <c r="N6" s="2716"/>
      <c r="O6" s="2716"/>
      <c r="P6" s="3719"/>
      <c r="Q6" s="3720"/>
      <c r="R6" s="3700"/>
      <c r="S6" s="3701"/>
      <c r="T6" s="3721"/>
      <c r="U6" s="3722"/>
      <c r="V6" s="3723"/>
      <c r="W6" s="3723"/>
      <c r="X6" s="1355"/>
      <c r="Y6" s="3721"/>
      <c r="Z6" s="3722"/>
      <c r="AA6" s="3695"/>
      <c r="AB6" s="3695"/>
      <c r="AC6" s="3695"/>
    </row>
    <row r="7" spans="1:29" s="108" customFormat="1" ht="15.75" thickBot="1">
      <c r="A7" s="362" t="s">
        <v>1679</v>
      </c>
      <c r="B7" s="363"/>
      <c r="C7" s="364">
        <f>'数据-取费表'!B2</f>
        <v>45902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6" t="s">
        <v>1680</v>
      </c>
      <c r="Q7" s="3724"/>
      <c r="R7" s="701" t="s">
        <v>14</v>
      </c>
      <c r="S7" s="702">
        <f t="shared" ref="S7:S15" si="0">F7</f>
        <v>0</v>
      </c>
      <c r="T7" s="701" t="s">
        <v>14</v>
      </c>
      <c r="U7" s="702">
        <f t="shared" ref="U7:U15" si="1">H7</f>
        <v>0</v>
      </c>
      <c r="V7" s="701" t="s">
        <v>14</v>
      </c>
      <c r="W7" s="702">
        <f t="shared" ref="W7:W15" si="2">J7</f>
        <v>0</v>
      </c>
      <c r="X7" s="703"/>
      <c r="Y7" s="3696" t="s">
        <v>1680</v>
      </c>
      <c r="Z7" s="369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6" t="s">
        <v>1683</v>
      </c>
      <c r="Q8" s="3697"/>
      <c r="R8" s="701" t="s">
        <v>14</v>
      </c>
      <c r="S8" s="702">
        <f t="shared" si="0"/>
        <v>0</v>
      </c>
      <c r="T8" s="701" t="s">
        <v>14</v>
      </c>
      <c r="U8" s="702">
        <f t="shared" si="1"/>
        <v>0</v>
      </c>
      <c r="V8" s="701" t="s">
        <v>14</v>
      </c>
      <c r="W8" s="702">
        <f t="shared" si="2"/>
        <v>0</v>
      </c>
      <c r="X8" s="703"/>
      <c r="Y8" s="3696" t="s">
        <v>1683</v>
      </c>
      <c r="Z8" s="369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6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710"/>
      <c r="Q10" s="1343" t="str">
        <f t="shared" si="6"/>
        <v>土地使用年限（年）</v>
      </c>
      <c r="R10" s="701" t="s">
        <v>14</v>
      </c>
      <c r="S10" s="702">
        <f t="shared" si="0"/>
        <v>114</v>
      </c>
      <c r="T10" s="701" t="s">
        <v>14</v>
      </c>
      <c r="U10" s="702">
        <f t="shared" si="1"/>
        <v>114</v>
      </c>
      <c r="V10" s="701" t="s">
        <v>14</v>
      </c>
      <c r="W10" s="702">
        <f t="shared" si="2"/>
        <v>114</v>
      </c>
      <c r="X10" s="703"/>
      <c r="Y10" s="3647"/>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6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6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6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6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5" t="s">
        <v>1691</v>
      </c>
      <c r="Q15" s="1352" t="str">
        <f t="shared" si="6"/>
        <v>产业集聚程度</v>
      </c>
      <c r="R15" s="705" t="s">
        <v>14</v>
      </c>
      <c r="S15" s="706">
        <f t="shared" si="0"/>
        <v>100</v>
      </c>
      <c r="T15" s="705" t="s">
        <v>14</v>
      </c>
      <c r="U15" s="706">
        <f t="shared" si="1"/>
        <v>100</v>
      </c>
      <c r="V15" s="705" t="s">
        <v>14</v>
      </c>
      <c r="W15" s="706">
        <f t="shared" si="2"/>
        <v>100</v>
      </c>
      <c r="X15" s="1355"/>
      <c r="Y15" s="372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26"/>
      <c r="Q16" s="1352"/>
      <c r="R16" s="705"/>
      <c r="S16" s="706"/>
      <c r="T16" s="705"/>
      <c r="U16" s="706"/>
      <c r="V16" s="705"/>
      <c r="W16" s="706"/>
      <c r="X16" s="1355"/>
      <c r="Y16" s="372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26"/>
      <c r="Q18" s="1352"/>
      <c r="R18" s="705"/>
      <c r="S18" s="706"/>
      <c r="T18" s="705"/>
      <c r="U18" s="706"/>
      <c r="V18" s="705"/>
      <c r="W18" s="706"/>
      <c r="X18" s="1355"/>
      <c r="Y18" s="372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26"/>
      <c r="Q20" s="1352"/>
      <c r="R20" s="705"/>
      <c r="S20" s="706"/>
      <c r="T20" s="705"/>
      <c r="U20" s="706"/>
      <c r="V20" s="705"/>
      <c r="W20" s="706"/>
      <c r="X20" s="1355"/>
      <c r="Y20" s="372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26"/>
      <c r="Q22" s="1352"/>
      <c r="R22" s="705"/>
      <c r="S22" s="706"/>
      <c r="T22" s="705"/>
      <c r="U22" s="706"/>
      <c r="V22" s="705"/>
      <c r="W22" s="706"/>
      <c r="X22" s="1355"/>
      <c r="Y22" s="372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26"/>
      <c r="Q24" s="1343"/>
      <c r="R24" s="701"/>
      <c r="S24" s="702"/>
      <c r="T24" s="701"/>
      <c r="U24" s="702"/>
      <c r="V24" s="701"/>
      <c r="W24" s="702"/>
      <c r="X24" s="703"/>
      <c r="Y24" s="372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26"/>
      <c r="Q26" s="1343"/>
      <c r="R26" s="701"/>
      <c r="S26" s="702"/>
      <c r="T26" s="701"/>
      <c r="U26" s="702"/>
      <c r="V26" s="701"/>
      <c r="W26" s="702"/>
      <c r="X26" s="703"/>
      <c r="Y26" s="372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26"/>
      <c r="Q29" s="1352"/>
      <c r="R29" s="705"/>
      <c r="S29" s="706"/>
      <c r="T29" s="705"/>
      <c r="U29" s="706"/>
      <c r="V29" s="705"/>
      <c r="W29" s="706"/>
      <c r="X29" s="1355"/>
      <c r="Y29" s="372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7" t="s">
        <v>1696</v>
      </c>
      <c r="Q32" s="1352">
        <f t="shared" si="8"/>
        <v>111</v>
      </c>
      <c r="R32" s="705" t="s">
        <v>14</v>
      </c>
      <c r="S32" s="706">
        <f t="shared" si="10"/>
        <v>100</v>
      </c>
      <c r="T32" s="705" t="s">
        <v>14</v>
      </c>
      <c r="U32" s="706">
        <f t="shared" si="11"/>
        <v>100</v>
      </c>
      <c r="V32" s="705" t="s">
        <v>14</v>
      </c>
      <c r="W32" s="706">
        <f t="shared" si="12"/>
        <v>100</v>
      </c>
      <c r="X32" s="1355"/>
      <c r="Y32" s="372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28"/>
      <c r="Q33" s="1352">
        <f t="shared" si="8"/>
        <v>111</v>
      </c>
      <c r="R33" s="708" t="s">
        <v>14</v>
      </c>
      <c r="S33" s="709">
        <f t="shared" si="10"/>
        <v>100</v>
      </c>
      <c r="T33" s="708" t="s">
        <v>14</v>
      </c>
      <c r="U33" s="709">
        <f t="shared" si="11"/>
        <v>100</v>
      </c>
      <c r="V33" s="708" t="s">
        <v>14</v>
      </c>
      <c r="W33" s="709">
        <f t="shared" si="12"/>
        <v>100</v>
      </c>
      <c r="X33" s="710"/>
      <c r="Y33" s="372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28"/>
      <c r="Q34" s="1352" t="str">
        <f>B34</f>
        <v>宗地面积</v>
      </c>
      <c r="R34" s="705" t="s">
        <v>14</v>
      </c>
      <c r="S34" s="706" t="e">
        <f t="shared" si="10"/>
        <v>#N/A</v>
      </c>
      <c r="T34" s="705" t="s">
        <v>14</v>
      </c>
      <c r="U34" s="706" t="e">
        <f t="shared" si="11"/>
        <v>#N/A</v>
      </c>
      <c r="V34" s="705" t="s">
        <v>14</v>
      </c>
      <c r="W34" s="706" t="e">
        <f t="shared" si="12"/>
        <v>#N/A</v>
      </c>
      <c r="X34" s="1355"/>
      <c r="Y34" s="372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28"/>
      <c r="Q35" s="1352" t="str">
        <f t="shared" ref="Q35:Q40" si="14">B35</f>
        <v>宗地形状</v>
      </c>
      <c r="R35" s="705" t="s">
        <v>14</v>
      </c>
      <c r="S35" s="706">
        <f t="shared" si="10"/>
        <v>100</v>
      </c>
      <c r="T35" s="705" t="s">
        <v>14</v>
      </c>
      <c r="U35" s="706">
        <f t="shared" si="11"/>
        <v>100</v>
      </c>
      <c r="V35" s="705" t="s">
        <v>14</v>
      </c>
      <c r="W35" s="706">
        <f t="shared" si="12"/>
        <v>100</v>
      </c>
      <c r="X35" s="1355"/>
      <c r="Y35" s="372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28"/>
      <c r="Q36" s="1352" t="str">
        <f t="shared" si="14"/>
        <v>宗地开发程度</v>
      </c>
      <c r="R36" s="701" t="s">
        <v>14</v>
      </c>
      <c r="S36" s="702">
        <f t="shared" si="10"/>
        <v>100</v>
      </c>
      <c r="T36" s="701" t="s">
        <v>14</v>
      </c>
      <c r="U36" s="702">
        <f t="shared" si="11"/>
        <v>100</v>
      </c>
      <c r="V36" s="701" t="s">
        <v>14</v>
      </c>
      <c r="W36" s="702">
        <f t="shared" si="12"/>
        <v>100</v>
      </c>
      <c r="X36" s="703"/>
      <c r="Y36" s="372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28" t="s">
        <v>1696</v>
      </c>
      <c r="Q37" s="1352" t="str">
        <f t="shared" si="14"/>
        <v>工程地质条件</v>
      </c>
      <c r="R37" s="705" t="s">
        <v>14</v>
      </c>
      <c r="S37" s="706">
        <f t="shared" si="10"/>
        <v>100</v>
      </c>
      <c r="T37" s="705" t="s">
        <v>14</v>
      </c>
      <c r="U37" s="706">
        <f t="shared" si="11"/>
        <v>100</v>
      </c>
      <c r="V37" s="705" t="s">
        <v>14</v>
      </c>
      <c r="W37" s="706">
        <f t="shared" si="12"/>
        <v>100</v>
      </c>
      <c r="X37" s="1355"/>
      <c r="Y37" s="372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28"/>
      <c r="Q38" s="1352">
        <f t="shared" si="14"/>
        <v>111</v>
      </c>
      <c r="R38" s="705" t="s">
        <v>14</v>
      </c>
      <c r="S38" s="706">
        <f t="shared" si="10"/>
        <v>100</v>
      </c>
      <c r="T38" s="705" t="s">
        <v>14</v>
      </c>
      <c r="U38" s="706">
        <f t="shared" si="11"/>
        <v>100</v>
      </c>
      <c r="V38" s="705" t="s">
        <v>14</v>
      </c>
      <c r="W38" s="706">
        <f t="shared" si="12"/>
        <v>100</v>
      </c>
      <c r="X38" s="1355"/>
      <c r="Y38" s="372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28"/>
      <c r="Q39" s="1352">
        <f t="shared" si="14"/>
        <v>111</v>
      </c>
      <c r="R39" s="705" t="s">
        <v>14</v>
      </c>
      <c r="S39" s="706">
        <f t="shared" si="10"/>
        <v>100</v>
      </c>
      <c r="T39" s="705" t="s">
        <v>14</v>
      </c>
      <c r="U39" s="706">
        <f t="shared" si="11"/>
        <v>100</v>
      </c>
      <c r="V39" s="705" t="s">
        <v>14</v>
      </c>
      <c r="W39" s="706">
        <f t="shared" si="12"/>
        <v>100</v>
      </c>
      <c r="X39" s="1355"/>
      <c r="Y39" s="372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28"/>
      <c r="Q40" s="1352">
        <f t="shared" si="14"/>
        <v>111</v>
      </c>
      <c r="R40" s="708" t="s">
        <v>14</v>
      </c>
      <c r="S40" s="709">
        <f t="shared" si="10"/>
        <v>100</v>
      </c>
      <c r="T40" s="708" t="s">
        <v>14</v>
      </c>
      <c r="U40" s="709">
        <f t="shared" si="11"/>
        <v>100</v>
      </c>
      <c r="V40" s="708" t="s">
        <v>14</v>
      </c>
      <c r="W40" s="709">
        <f t="shared" si="12"/>
        <v>100</v>
      </c>
      <c r="X40" s="710"/>
      <c r="Y40" s="372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0" t="str">
        <f>A41</f>
        <v>成交单价</v>
      </c>
      <c r="Q41" s="3710"/>
      <c r="R41" s="3723">
        <f>E41</f>
        <v>0</v>
      </c>
      <c r="S41" s="3723"/>
      <c r="T41" s="3723">
        <f>G41</f>
        <v>0</v>
      </c>
      <c r="U41" s="3723"/>
      <c r="V41" s="3723">
        <f>I41</f>
        <v>0</v>
      </c>
      <c r="W41" s="3723"/>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0" t="str">
        <f>A42</f>
        <v>比较价值（元/平方米）</v>
      </c>
      <c r="Q42" s="3710"/>
      <c r="R42" s="3784" t="e">
        <f>ROUND(PRODUCT(R41,AA7:AA40),0)</f>
        <v>#DIV/0!</v>
      </c>
      <c r="S42" s="3784"/>
      <c r="T42" s="3784" t="e">
        <f>ROUND(PRODUCT(T41,AB7:AB40),0)</f>
        <v>#DIV/0!</v>
      </c>
      <c r="U42" s="3784"/>
      <c r="V42" s="3784" t="e">
        <f>ROUND(PRODUCT(V41,AC7:AC40),0)</f>
        <v>#DIV/0!</v>
      </c>
      <c r="W42" s="378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1" t="str">
        <f>A43</f>
        <v>估价对象XX用房的比较价值（楼面单价，元/平方米）</v>
      </c>
      <c r="Q43" s="3732"/>
      <c r="R43" s="3785" t="e">
        <f>ROUND(IF(D42="简单平均",AVERAGE(R42:W42),R42*F42+T42*H42+V42*J42),0)</f>
        <v>#DIV/0!</v>
      </c>
      <c r="S43" s="3785"/>
      <c r="T43" s="3785"/>
      <c r="U43" s="3785"/>
      <c r="V43" s="3785"/>
      <c r="W43" s="378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1" t="s">
        <v>1887</v>
      </c>
      <c r="H50" s="378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3281.85</v>
      </c>
      <c r="F51" s="639" t="e">
        <f t="shared" ref="F51:F60" si="15">ROUND(B51*E51/10000,0)</f>
        <v>#DIV/0!</v>
      </c>
      <c r="G51" s="3762"/>
      <c r="H51" s="371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94" t="s">
        <v>2084</v>
      </c>
      <c r="D1" s="3795"/>
      <c r="E1" s="3795"/>
      <c r="F1" s="3795"/>
      <c r="G1" s="3795"/>
      <c r="H1" s="3795"/>
      <c r="I1" s="3795"/>
      <c r="J1" s="3795"/>
      <c r="K1" s="3795"/>
      <c r="L1" s="3795"/>
      <c r="M1" s="3795"/>
      <c r="N1" s="3795"/>
      <c r="O1" s="3795"/>
      <c r="P1" s="3795"/>
      <c r="Q1" s="3795"/>
      <c r="R1" s="3795"/>
      <c r="S1" s="379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1" t="s">
        <v>27</v>
      </c>
      <c r="D22" s="3792"/>
      <c r="E22" s="3792"/>
      <c r="F22" s="3792"/>
      <c r="G22" s="3792"/>
      <c r="H22" s="3792"/>
      <c r="I22" s="3792"/>
      <c r="J22" s="3792"/>
      <c r="K22" s="3792"/>
      <c r="L22" s="3792"/>
      <c r="M22" s="3792"/>
      <c r="N22" s="3792"/>
      <c r="O22" s="3792"/>
      <c r="P22" s="3792"/>
      <c r="Q22" s="379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684</v>
      </c>
      <c r="C2" s="2145" t="s">
        <v>2074</v>
      </c>
      <c r="D2" s="2145" t="s">
        <v>2075</v>
      </c>
      <c r="E2" s="2612">
        <f ca="1">SUMIF(E6:E13,"&lt;&gt;#ref!",E6:E13)</f>
        <v>3830.64</v>
      </c>
      <c r="F2" s="2793"/>
      <c r="G2" s="2793"/>
      <c r="H2" s="2793"/>
      <c r="I2" s="2793"/>
      <c r="J2" s="2793"/>
      <c r="K2" s="2793"/>
      <c r="L2" s="2793"/>
      <c r="M2" s="2793"/>
      <c r="N2" s="2793"/>
      <c r="O2" s="2793"/>
      <c r="P2" s="2793"/>
    </row>
    <row r="3" spans="1:16" ht="15.75">
      <c r="A3" s="2145" t="s">
        <v>2076</v>
      </c>
      <c r="B3" s="2602">
        <f ca="1">ROUND(B2*10000/E2,0)</f>
        <v>1786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684</v>
      </c>
      <c r="C6" s="2145" t="s">
        <v>2074</v>
      </c>
      <c r="D6" s="2793"/>
      <c r="E6" s="2612">
        <f ca="1">SUMIF(INDIRECT("'"&amp;A6&amp;"'"&amp;"!C:C"),"建筑面积",INDIRECT("'"&amp;A6&amp;"'"&amp;"!D:D"))</f>
        <v>3830.64</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07" t="s">
        <v>2607</v>
      </c>
      <c r="B20" s="3797" t="s">
        <v>2628</v>
      </c>
      <c r="C20" s="3477" t="s">
        <v>2439</v>
      </c>
      <c r="D20" s="3477"/>
      <c r="E20" s="3105">
        <v>1</v>
      </c>
      <c r="F20" s="3106" t="s">
        <v>2440</v>
      </c>
      <c r="G20" s="3106"/>
    </row>
    <row r="21" spans="1:13" ht="19.5" customHeight="1">
      <c r="A21" s="3808"/>
      <c r="B21" s="3798"/>
      <c r="C21" s="3467" t="s">
        <v>2441</v>
      </c>
      <c r="D21" s="3467"/>
      <c r="E21" s="3109">
        <v>1</v>
      </c>
      <c r="F21" s="3106" t="s">
        <v>2442</v>
      </c>
      <c r="G21" s="3106"/>
    </row>
    <row r="22" spans="1:13" ht="19.5" customHeight="1">
      <c r="A22" s="3808"/>
      <c r="B22" s="3798"/>
      <c r="C22" s="3467" t="s">
        <v>2443</v>
      </c>
      <c r="D22" s="3467"/>
      <c r="E22" s="3109">
        <v>0.9</v>
      </c>
      <c r="F22" s="3106" t="s">
        <v>2444</v>
      </c>
      <c r="G22" s="3106"/>
    </row>
    <row r="23" spans="1:13" ht="19.5" customHeight="1">
      <c r="A23" s="3808"/>
      <c r="B23" s="3798"/>
      <c r="C23" s="3467" t="s">
        <v>2445</v>
      </c>
      <c r="D23" s="3467"/>
      <c r="E23" s="3109">
        <v>0.9</v>
      </c>
      <c r="F23" s="3106" t="s">
        <v>2446</v>
      </c>
      <c r="G23" s="3106"/>
    </row>
    <row r="24" spans="1:13" ht="19.5" customHeight="1">
      <c r="A24" s="3808"/>
      <c r="B24" s="3798"/>
      <c r="C24" s="3467" t="s">
        <v>2447</v>
      </c>
      <c r="D24" s="3467"/>
      <c r="E24" s="3109">
        <v>0.8</v>
      </c>
      <c r="F24" s="3106" t="s">
        <v>2448</v>
      </c>
      <c r="G24" s="3106"/>
    </row>
    <row r="25" spans="1:13" ht="19.5" customHeight="1">
      <c r="A25" s="3808"/>
      <c r="B25" s="3798"/>
      <c r="C25" s="3467" t="s">
        <v>2449</v>
      </c>
      <c r="D25" s="3467"/>
      <c r="E25" s="3109">
        <v>0.8</v>
      </c>
      <c r="F25" s="3106"/>
      <c r="G25" s="3106"/>
    </row>
    <row r="26" spans="1:13" ht="19.5" customHeight="1">
      <c r="A26" s="3808"/>
      <c r="B26" s="3798"/>
      <c r="C26" s="3470" t="s">
        <v>3410</v>
      </c>
      <c r="D26" s="3470"/>
      <c r="E26" s="3471">
        <v>0.43</v>
      </c>
      <c r="F26" s="3106"/>
      <c r="G26" s="3106"/>
    </row>
    <row r="27" spans="1:13" ht="19.5" customHeight="1" thickBot="1">
      <c r="A27" s="3809"/>
      <c r="B27" s="379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00" t="s">
        <v>2631</v>
      </c>
      <c r="B29" s="3803" t="s">
        <v>2612</v>
      </c>
      <c r="C29" s="3103" t="s">
        <v>2452</v>
      </c>
      <c r="D29" s="3104"/>
      <c r="E29" s="3105">
        <v>1</v>
      </c>
      <c r="F29" s="3106" t="s">
        <v>2453</v>
      </c>
      <c r="G29" s="3106"/>
    </row>
    <row r="30" spans="1:13" ht="19.5" customHeight="1">
      <c r="A30" s="3801"/>
      <c r="B30" s="3804"/>
      <c r="C30" s="3107" t="s">
        <v>2454</v>
      </c>
      <c r="D30" s="3108"/>
      <c r="E30" s="3109">
        <v>1</v>
      </c>
      <c r="F30" s="3106" t="s">
        <v>2455</v>
      </c>
      <c r="G30" s="3106"/>
    </row>
    <row r="31" spans="1:13" ht="19.5" customHeight="1">
      <c r="A31" s="3801"/>
      <c r="B31" s="3804"/>
      <c r="C31" s="3107" t="s">
        <v>2456</v>
      </c>
      <c r="D31" s="3108"/>
      <c r="E31" s="3109">
        <v>0.8</v>
      </c>
      <c r="F31" s="3106" t="s">
        <v>2457</v>
      </c>
      <c r="G31" s="3106"/>
    </row>
    <row r="32" spans="1:13" ht="19.5" customHeight="1">
      <c r="A32" s="3801"/>
      <c r="B32" s="3804"/>
      <c r="C32" s="3107" t="s">
        <v>2458</v>
      </c>
      <c r="D32" s="3108"/>
      <c r="E32" s="3109">
        <v>0.8</v>
      </c>
      <c r="F32" s="3106" t="s">
        <v>2459</v>
      </c>
      <c r="G32" s="3106"/>
    </row>
    <row r="33" spans="1:7" ht="19.5" customHeight="1">
      <c r="A33" s="3801"/>
      <c r="B33" s="3804"/>
      <c r="C33" s="3107" t="s">
        <v>2460</v>
      </c>
      <c r="D33" s="3108"/>
      <c r="E33" s="3109">
        <v>0.8</v>
      </c>
      <c r="F33" s="3106" t="s">
        <v>2461</v>
      </c>
      <c r="G33" s="3106"/>
    </row>
    <row r="34" spans="1:7" ht="19.5" customHeight="1">
      <c r="A34" s="3801"/>
      <c r="B34" s="3804"/>
      <c r="C34" s="3107" t="s">
        <v>2462</v>
      </c>
      <c r="D34" s="3108"/>
      <c r="E34" s="3109">
        <v>0.7</v>
      </c>
      <c r="F34" s="3106" t="s">
        <v>2463</v>
      </c>
      <c r="G34" s="3106"/>
    </row>
    <row r="35" spans="1:7" ht="19.5" customHeight="1">
      <c r="A35" s="3801"/>
      <c r="B35" s="3804"/>
      <c r="C35" s="3107" t="s">
        <v>2464</v>
      </c>
      <c r="D35" s="3108"/>
      <c r="E35" s="3109">
        <v>0.8</v>
      </c>
      <c r="F35" s="3106" t="s">
        <v>2465</v>
      </c>
      <c r="G35" s="3106"/>
    </row>
    <row r="36" spans="1:7" ht="19.5" customHeight="1">
      <c r="A36" s="3801"/>
      <c r="B36" s="3804"/>
      <c r="C36" s="3107" t="s">
        <v>2466</v>
      </c>
      <c r="D36" s="3108"/>
      <c r="E36" s="3109">
        <v>0.6</v>
      </c>
      <c r="F36" s="3106" t="s">
        <v>2467</v>
      </c>
      <c r="G36" s="3106"/>
    </row>
    <row r="37" spans="1:7" ht="19.5" customHeight="1">
      <c r="A37" s="3801"/>
      <c r="B37" s="3804"/>
      <c r="C37" s="3107" t="s">
        <v>2468</v>
      </c>
      <c r="D37" s="3108"/>
      <c r="E37" s="3109">
        <v>0.2</v>
      </c>
      <c r="F37" s="3106" t="s">
        <v>2469</v>
      </c>
      <c r="G37" s="3106"/>
    </row>
    <row r="38" spans="1:7" ht="19.5" customHeight="1">
      <c r="A38" s="3801"/>
      <c r="B38" s="3804"/>
      <c r="C38" s="3107" t="s">
        <v>2470</v>
      </c>
      <c r="D38" s="3108"/>
      <c r="E38" s="3109">
        <v>0.2</v>
      </c>
      <c r="F38" s="3106" t="s">
        <v>2471</v>
      </c>
      <c r="G38" s="3106"/>
    </row>
    <row r="39" spans="1:7" ht="19.5" customHeight="1">
      <c r="A39" s="3801"/>
      <c r="B39" s="3805" t="s">
        <v>2632</v>
      </c>
      <c r="C39" s="3107" t="s">
        <v>2472</v>
      </c>
      <c r="D39" s="3108"/>
      <c r="E39" s="3109">
        <v>0.6</v>
      </c>
      <c r="F39" s="3106" t="s">
        <v>2473</v>
      </c>
      <c r="G39" s="3106"/>
    </row>
    <row r="40" spans="1:7" ht="19.5" customHeight="1">
      <c r="A40" s="3801"/>
      <c r="B40" s="3804"/>
      <c r="C40" s="3107" t="s">
        <v>2474</v>
      </c>
      <c r="D40" s="3108"/>
      <c r="E40" s="3109">
        <v>0.6</v>
      </c>
      <c r="F40" s="3106" t="s">
        <v>2475</v>
      </c>
      <c r="G40" s="3106"/>
    </row>
    <row r="41" spans="1:7" ht="19.5" customHeight="1" thickBot="1">
      <c r="A41" s="3802"/>
      <c r="B41" s="380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07" t="s">
        <v>2610</v>
      </c>
      <c r="B43" s="3803" t="s">
        <v>2634</v>
      </c>
      <c r="C43" s="3103" t="s">
        <v>2479</v>
      </c>
      <c r="D43" s="3104"/>
      <c r="E43" s="3105">
        <v>1</v>
      </c>
      <c r="F43" s="3106" t="s">
        <v>2480</v>
      </c>
      <c r="G43" s="3106"/>
    </row>
    <row r="44" spans="1:7" ht="19.5" customHeight="1">
      <c r="A44" s="3808"/>
      <c r="B44" s="3804"/>
      <c r="C44" s="3107" t="s">
        <v>2481</v>
      </c>
      <c r="D44" s="3108"/>
      <c r="E44" s="3109">
        <v>1</v>
      </c>
      <c r="F44" s="3106" t="s">
        <v>2482</v>
      </c>
      <c r="G44" s="3106"/>
    </row>
    <row r="45" spans="1:7" ht="19.5" customHeight="1">
      <c r="A45" s="3808"/>
      <c r="B45" s="3810"/>
      <c r="C45" s="3107" t="s">
        <v>2483</v>
      </c>
      <c r="D45" s="3108"/>
      <c r="E45" s="3109">
        <v>1.5</v>
      </c>
      <c r="F45" s="3106" t="s">
        <v>2484</v>
      </c>
      <c r="G45" s="3106"/>
    </row>
    <row r="46" spans="1:7" ht="19.5" customHeight="1">
      <c r="A46" s="3808"/>
      <c r="B46" s="3118" t="s">
        <v>2635</v>
      </c>
      <c r="C46" s="3107" t="s">
        <v>2636</v>
      </c>
      <c r="D46" s="3108"/>
      <c r="E46" s="3109">
        <v>2</v>
      </c>
      <c r="F46" s="3106" t="s">
        <v>2485</v>
      </c>
      <c r="G46" s="3106"/>
    </row>
    <row r="47" spans="1:7" ht="19.5" customHeight="1">
      <c r="A47" s="3808"/>
      <c r="B47" s="3805" t="s">
        <v>2637</v>
      </c>
      <c r="C47" s="3107" t="s">
        <v>2486</v>
      </c>
      <c r="D47" s="3108"/>
      <c r="E47" s="3109">
        <v>1</v>
      </c>
      <c r="F47" s="3106" t="s">
        <v>2487</v>
      </c>
      <c r="G47" s="3106"/>
    </row>
    <row r="48" spans="1:7" ht="19.5" customHeight="1">
      <c r="A48" s="3808"/>
      <c r="B48" s="3804"/>
      <c r="C48" s="3107" t="s">
        <v>2488</v>
      </c>
      <c r="D48" s="3108"/>
      <c r="E48" s="3109">
        <v>1</v>
      </c>
      <c r="F48" s="3106" t="s">
        <v>2489</v>
      </c>
      <c r="G48" s="3106"/>
    </row>
    <row r="49" spans="1:7" ht="19.5" customHeight="1">
      <c r="A49" s="3808"/>
      <c r="B49" s="3804"/>
      <c r="C49" s="3107" t="s">
        <v>2490</v>
      </c>
      <c r="D49" s="3108"/>
      <c r="E49" s="3109">
        <v>1</v>
      </c>
      <c r="F49" s="3106" t="s">
        <v>2491</v>
      </c>
      <c r="G49" s="3106"/>
    </row>
    <row r="50" spans="1:7" ht="19.5" customHeight="1">
      <c r="A50" s="3808"/>
      <c r="B50" s="3804"/>
      <c r="C50" s="3107" t="s">
        <v>2492</v>
      </c>
      <c r="D50" s="3108"/>
      <c r="E50" s="3109">
        <v>1</v>
      </c>
      <c r="F50" s="3106" t="s">
        <v>2493</v>
      </c>
      <c r="G50" s="3106"/>
    </row>
    <row r="51" spans="1:7" ht="19.5" customHeight="1">
      <c r="A51" s="3808"/>
      <c r="B51" s="3804"/>
      <c r="C51" s="3107" t="s">
        <v>2494</v>
      </c>
      <c r="D51" s="3108"/>
      <c r="E51" s="3109">
        <v>1</v>
      </c>
      <c r="F51" s="3106" t="s">
        <v>2495</v>
      </c>
      <c r="G51" s="3106"/>
    </row>
    <row r="52" spans="1:7" ht="19.5" customHeight="1">
      <c r="A52" s="3808"/>
      <c r="B52" s="3804"/>
      <c r="C52" s="3107" t="s">
        <v>2496</v>
      </c>
      <c r="D52" s="3108"/>
      <c r="E52" s="3109">
        <v>1</v>
      </c>
      <c r="F52" s="3106" t="s">
        <v>2497</v>
      </c>
      <c r="G52" s="3106"/>
    </row>
    <row r="53" spans="1:7" ht="19.5" customHeight="1" thickBot="1">
      <c r="A53" s="3809"/>
      <c r="B53" s="380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805" t="s">
        <v>2651</v>
      </c>
      <c r="C75" s="3092" t="s">
        <v>2652</v>
      </c>
      <c r="D75" s="3092" t="s">
        <v>2653</v>
      </c>
      <c r="E75" s="3118">
        <v>0.2</v>
      </c>
      <c r="F75" s="3118">
        <v>25</v>
      </c>
    </row>
    <row r="76" spans="1:7" ht="24">
      <c r="A76" s="3118">
        <v>2</v>
      </c>
      <c r="B76" s="3804"/>
      <c r="C76" s="3092" t="s">
        <v>2654</v>
      </c>
      <c r="D76" s="3092" t="s">
        <v>2655</v>
      </c>
      <c r="E76" s="3118">
        <v>0.2</v>
      </c>
      <c r="F76" s="3118">
        <v>25</v>
      </c>
    </row>
    <row r="77" spans="1:7" ht="24">
      <c r="A77" s="3118">
        <v>3</v>
      </c>
      <c r="B77" s="3804"/>
      <c r="C77" s="3092" t="s">
        <v>2656</v>
      </c>
      <c r="D77" s="3092" t="s">
        <v>2657</v>
      </c>
      <c r="E77" s="3118">
        <v>0.2</v>
      </c>
      <c r="F77" s="3118">
        <v>25</v>
      </c>
    </row>
    <row r="78" spans="1:7" ht="13.5">
      <c r="A78" s="3118">
        <v>4</v>
      </c>
      <c r="B78" s="3804"/>
      <c r="C78" s="3092" t="s">
        <v>2658</v>
      </c>
      <c r="D78" s="3092" t="s">
        <v>2659</v>
      </c>
      <c r="E78" s="3118">
        <v>0.15</v>
      </c>
      <c r="F78" s="3118">
        <v>20</v>
      </c>
    </row>
    <row r="79" spans="1:7" ht="24">
      <c r="A79" s="3118">
        <v>5</v>
      </c>
      <c r="B79" s="3804"/>
      <c r="C79" s="3092" t="s">
        <v>2660</v>
      </c>
      <c r="D79" s="3092" t="s">
        <v>2661</v>
      </c>
      <c r="E79" s="3118">
        <v>0.15</v>
      </c>
      <c r="F79" s="3118">
        <v>20</v>
      </c>
    </row>
    <row r="80" spans="1:7" ht="24">
      <c r="A80" s="3118">
        <v>6</v>
      </c>
      <c r="B80" s="3804"/>
      <c r="C80" s="3092" t="s">
        <v>2662</v>
      </c>
      <c r="D80" s="3092" t="s">
        <v>2663</v>
      </c>
      <c r="E80" s="3118">
        <v>0.15</v>
      </c>
      <c r="F80" s="3118">
        <v>20</v>
      </c>
    </row>
    <row r="81" spans="1:6" ht="24">
      <c r="A81" s="3118">
        <v>7</v>
      </c>
      <c r="B81" s="3804"/>
      <c r="C81" s="3092" t="s">
        <v>2664</v>
      </c>
      <c r="D81" s="3092" t="s">
        <v>2665</v>
      </c>
      <c r="E81" s="3118">
        <v>0.15</v>
      </c>
      <c r="F81" s="3118">
        <v>20</v>
      </c>
    </row>
    <row r="82" spans="1:6" ht="24">
      <c r="A82" s="3118">
        <v>8</v>
      </c>
      <c r="B82" s="3804"/>
      <c r="C82" s="3092" t="s">
        <v>2666</v>
      </c>
      <c r="D82" s="3092" t="s">
        <v>2667</v>
      </c>
      <c r="E82" s="3118">
        <v>0.1</v>
      </c>
      <c r="F82" s="3118">
        <v>15</v>
      </c>
    </row>
    <row r="83" spans="1:6" ht="24">
      <c r="A83" s="3118">
        <v>9</v>
      </c>
      <c r="B83" s="3804"/>
      <c r="C83" s="3092" t="s">
        <v>2668</v>
      </c>
      <c r="D83" s="3092" t="s">
        <v>2669</v>
      </c>
      <c r="E83" s="3118">
        <v>0.1</v>
      </c>
      <c r="F83" s="3118">
        <v>15</v>
      </c>
    </row>
    <row r="84" spans="1:6" ht="24">
      <c r="A84" s="3118">
        <v>10</v>
      </c>
      <c r="B84" s="3804"/>
      <c r="C84" s="3092" t="s">
        <v>2670</v>
      </c>
      <c r="D84" s="3092" t="s">
        <v>2671</v>
      </c>
      <c r="E84" s="3118">
        <v>0.1</v>
      </c>
      <c r="F84" s="3118">
        <v>15</v>
      </c>
    </row>
    <row r="85" spans="1:6" ht="24">
      <c r="A85" s="3118">
        <v>11</v>
      </c>
      <c r="B85" s="3804"/>
      <c r="C85" s="3092" t="s">
        <v>2672</v>
      </c>
      <c r="D85" s="3092" t="s">
        <v>2673</v>
      </c>
      <c r="E85" s="3118">
        <v>0.1</v>
      </c>
      <c r="F85" s="3118">
        <v>15</v>
      </c>
    </row>
    <row r="86" spans="1:6" ht="24">
      <c r="A86" s="3118">
        <v>12</v>
      </c>
      <c r="B86" s="3804"/>
      <c r="C86" s="3092" t="s">
        <v>2674</v>
      </c>
      <c r="D86" s="3092" t="s">
        <v>2675</v>
      </c>
      <c r="E86" s="3118">
        <v>0.1</v>
      </c>
      <c r="F86" s="3118">
        <v>15</v>
      </c>
    </row>
    <row r="87" spans="1:6" ht="13.5">
      <c r="A87" s="3118">
        <v>13</v>
      </c>
      <c r="B87" s="3804"/>
      <c r="C87" s="3092" t="s">
        <v>2676</v>
      </c>
      <c r="D87" s="3092" t="s">
        <v>2677</v>
      </c>
      <c r="E87" s="3118">
        <v>0.1</v>
      </c>
      <c r="F87" s="3118">
        <v>15</v>
      </c>
    </row>
    <row r="88" spans="1:6" ht="13.5">
      <c r="A88" s="3118">
        <v>14</v>
      </c>
      <c r="B88" s="3804"/>
      <c r="C88" s="3092" t="s">
        <v>2678</v>
      </c>
      <c r="D88" s="3092" t="s">
        <v>2679</v>
      </c>
      <c r="E88" s="3118">
        <v>0.1</v>
      </c>
      <c r="F88" s="3118">
        <v>15</v>
      </c>
    </row>
    <row r="89" spans="1:6" ht="13.5">
      <c r="A89" s="3118">
        <v>15</v>
      </c>
      <c r="B89" s="3804"/>
      <c r="C89" s="3092" t="s">
        <v>2680</v>
      </c>
      <c r="D89" s="3092" t="s">
        <v>2681</v>
      </c>
      <c r="E89" s="3118">
        <v>0.1</v>
      </c>
      <c r="F89" s="3118">
        <v>15</v>
      </c>
    </row>
    <row r="90" spans="1:6" ht="24">
      <c r="A90" s="3118">
        <v>16</v>
      </c>
      <c r="B90" s="3804"/>
      <c r="C90" s="3092" t="s">
        <v>2682</v>
      </c>
      <c r="D90" s="3092" t="s">
        <v>2683</v>
      </c>
      <c r="E90" s="3118">
        <v>0.1</v>
      </c>
      <c r="F90" s="3118">
        <v>15</v>
      </c>
    </row>
    <row r="91" spans="1:6" ht="24">
      <c r="A91" s="3118">
        <v>17</v>
      </c>
      <c r="B91" s="3810"/>
      <c r="C91" s="3092" t="s">
        <v>2684</v>
      </c>
      <c r="D91" s="3092" t="s">
        <v>2685</v>
      </c>
      <c r="E91" s="3118">
        <v>0.1</v>
      </c>
      <c r="F91" s="3118">
        <v>15</v>
      </c>
    </row>
    <row r="92" spans="1:6" ht="13.5">
      <c r="A92" s="3118">
        <v>18</v>
      </c>
      <c r="B92" s="3805" t="s">
        <v>2686</v>
      </c>
      <c r="C92" s="3092" t="s">
        <v>2687</v>
      </c>
      <c r="D92" s="3092" t="s">
        <v>2688</v>
      </c>
      <c r="E92" s="3118">
        <v>0.2</v>
      </c>
      <c r="F92" s="3118">
        <v>25</v>
      </c>
    </row>
    <row r="93" spans="1:6" ht="24">
      <c r="A93" s="3118">
        <v>19</v>
      </c>
      <c r="B93" s="3804"/>
      <c r="C93" s="3092" t="s">
        <v>2689</v>
      </c>
      <c r="D93" s="3092" t="s">
        <v>2690</v>
      </c>
      <c r="E93" s="3118">
        <v>0.2</v>
      </c>
      <c r="F93" s="3118">
        <v>25</v>
      </c>
    </row>
    <row r="94" spans="1:6" ht="13.5">
      <c r="A94" s="3118">
        <v>20</v>
      </c>
      <c r="B94" s="3804"/>
      <c r="C94" s="3092" t="s">
        <v>2691</v>
      </c>
      <c r="D94" s="3092" t="s">
        <v>2692</v>
      </c>
      <c r="E94" s="3118">
        <v>0.15</v>
      </c>
      <c r="F94" s="3118">
        <v>20</v>
      </c>
    </row>
    <row r="95" spans="1:6" ht="13.5">
      <c r="A95" s="3118">
        <v>21</v>
      </c>
      <c r="B95" s="3804"/>
      <c r="C95" s="3092" t="s">
        <v>2693</v>
      </c>
      <c r="D95" s="3092" t="s">
        <v>2694</v>
      </c>
      <c r="E95" s="3118">
        <v>0.15</v>
      </c>
      <c r="F95" s="3118">
        <v>20</v>
      </c>
    </row>
    <row r="96" spans="1:6" ht="13.5">
      <c r="A96" s="3118">
        <v>22</v>
      </c>
      <c r="B96" s="3804"/>
      <c r="C96" s="3092" t="s">
        <v>2695</v>
      </c>
      <c r="D96" s="3092" t="s">
        <v>2696</v>
      </c>
      <c r="E96" s="3118">
        <v>0.15</v>
      </c>
      <c r="F96" s="3118">
        <v>20</v>
      </c>
    </row>
    <row r="97" spans="1:6" ht="36">
      <c r="A97" s="3118">
        <v>23</v>
      </c>
      <c r="B97" s="3804"/>
      <c r="C97" s="3092" t="s">
        <v>2697</v>
      </c>
      <c r="D97" s="3092" t="s">
        <v>2698</v>
      </c>
      <c r="E97" s="3118">
        <v>0.15</v>
      </c>
      <c r="F97" s="3118">
        <v>20</v>
      </c>
    </row>
    <row r="98" spans="1:6" ht="13.5">
      <c r="A98" s="3118">
        <v>24</v>
      </c>
      <c r="B98" s="3804"/>
      <c r="C98" s="3092" t="s">
        <v>2699</v>
      </c>
      <c r="D98" s="3092" t="s">
        <v>2700</v>
      </c>
      <c r="E98" s="3118">
        <v>0.1</v>
      </c>
      <c r="F98" s="3118">
        <v>15</v>
      </c>
    </row>
    <row r="99" spans="1:6" ht="13.5">
      <c r="A99" s="3118">
        <v>25</v>
      </c>
      <c r="B99" s="3804"/>
      <c r="C99" s="3092" t="s">
        <v>2701</v>
      </c>
      <c r="D99" s="3092" t="s">
        <v>2702</v>
      </c>
      <c r="E99" s="3118">
        <v>0.1</v>
      </c>
      <c r="F99" s="3118">
        <v>15</v>
      </c>
    </row>
    <row r="100" spans="1:6" ht="24">
      <c r="A100" s="3118">
        <v>26</v>
      </c>
      <c r="B100" s="3804"/>
      <c r="C100" s="3092" t="s">
        <v>2703</v>
      </c>
      <c r="D100" s="3092" t="s">
        <v>2704</v>
      </c>
      <c r="E100" s="3118">
        <v>0.1</v>
      </c>
      <c r="F100" s="3118">
        <v>15</v>
      </c>
    </row>
    <row r="101" spans="1:6" ht="24">
      <c r="A101" s="3118">
        <v>27</v>
      </c>
      <c r="B101" s="3804"/>
      <c r="C101" s="3092" t="s">
        <v>2705</v>
      </c>
      <c r="D101" s="3092" t="s">
        <v>2706</v>
      </c>
      <c r="E101" s="3118">
        <v>0.1</v>
      </c>
      <c r="F101" s="3118">
        <v>15</v>
      </c>
    </row>
    <row r="102" spans="1:6" ht="13.5">
      <c r="A102" s="3118">
        <v>28</v>
      </c>
      <c r="B102" s="3804"/>
      <c r="C102" s="3092" t="s">
        <v>2707</v>
      </c>
      <c r="D102" s="3092" t="s">
        <v>2708</v>
      </c>
      <c r="E102" s="3118">
        <v>0.1</v>
      </c>
      <c r="F102" s="3118">
        <v>15</v>
      </c>
    </row>
    <row r="103" spans="1:6" ht="13.5">
      <c r="A103" s="3118">
        <v>29</v>
      </c>
      <c r="B103" s="3804"/>
      <c r="C103" s="3092" t="s">
        <v>2709</v>
      </c>
      <c r="D103" s="3092" t="s">
        <v>2710</v>
      </c>
      <c r="E103" s="3118">
        <v>0.1</v>
      </c>
      <c r="F103" s="3118">
        <v>15</v>
      </c>
    </row>
    <row r="104" spans="1:6" ht="13.5">
      <c r="A104" s="3118">
        <v>30</v>
      </c>
      <c r="B104" s="3804"/>
      <c r="C104" s="3092" t="s">
        <v>2711</v>
      </c>
      <c r="D104" s="3092" t="s">
        <v>2712</v>
      </c>
      <c r="E104" s="3118">
        <v>0.1</v>
      </c>
      <c r="F104" s="3118">
        <v>15</v>
      </c>
    </row>
    <row r="105" spans="1:6" ht="24">
      <c r="A105" s="3118">
        <v>31</v>
      </c>
      <c r="B105" s="3804"/>
      <c r="C105" s="3092" t="s">
        <v>2713</v>
      </c>
      <c r="D105" s="3092" t="s">
        <v>2714</v>
      </c>
      <c r="E105" s="3118">
        <v>0.1</v>
      </c>
      <c r="F105" s="3118">
        <v>15</v>
      </c>
    </row>
    <row r="106" spans="1:6" ht="24">
      <c r="A106" s="3118">
        <v>32</v>
      </c>
      <c r="B106" s="3804"/>
      <c r="C106" s="3092" t="s">
        <v>2715</v>
      </c>
      <c r="D106" s="3092" t="s">
        <v>2716</v>
      </c>
      <c r="E106" s="3118">
        <v>0.1</v>
      </c>
      <c r="F106" s="3118">
        <v>15</v>
      </c>
    </row>
    <row r="107" spans="1:6" ht="24">
      <c r="A107" s="3118">
        <v>33</v>
      </c>
      <c r="B107" s="3804"/>
      <c r="C107" s="3092" t="s">
        <v>2717</v>
      </c>
      <c r="D107" s="3092" t="s">
        <v>2718</v>
      </c>
      <c r="E107" s="3118">
        <v>0.1</v>
      </c>
      <c r="F107" s="3118">
        <v>15</v>
      </c>
    </row>
    <row r="108" spans="1:6" ht="24">
      <c r="A108" s="3118">
        <v>34</v>
      </c>
      <c r="B108" s="3810"/>
      <c r="C108" s="3092" t="s">
        <v>2719</v>
      </c>
      <c r="D108" s="3092" t="s">
        <v>2720</v>
      </c>
      <c r="E108" s="3118">
        <v>0.1</v>
      </c>
      <c r="F108" s="3118">
        <v>15</v>
      </c>
    </row>
    <row r="109" spans="1:6" ht="24">
      <c r="A109" s="3118">
        <v>35</v>
      </c>
      <c r="B109" s="3805" t="s">
        <v>2721</v>
      </c>
      <c r="C109" s="3118" t="s">
        <v>2722</v>
      </c>
      <c r="D109" s="3092" t="s">
        <v>2723</v>
      </c>
      <c r="E109" s="3118">
        <v>0.15</v>
      </c>
      <c r="F109" s="3118">
        <v>20</v>
      </c>
    </row>
    <row r="110" spans="1:6" ht="13.5">
      <c r="A110" s="3118">
        <v>36</v>
      </c>
      <c r="B110" s="3804"/>
      <c r="C110" s="3118" t="s">
        <v>2724</v>
      </c>
      <c r="D110" s="3092" t="s">
        <v>2725</v>
      </c>
      <c r="E110" s="3118">
        <v>0.15</v>
      </c>
      <c r="F110" s="3118">
        <v>20</v>
      </c>
    </row>
    <row r="111" spans="1:6" ht="13.5">
      <c r="A111" s="3118">
        <v>37</v>
      </c>
      <c r="B111" s="3804"/>
      <c r="C111" s="3118" t="s">
        <v>2726</v>
      </c>
      <c r="D111" s="3092" t="s">
        <v>2727</v>
      </c>
      <c r="E111" s="3118">
        <v>0.15</v>
      </c>
      <c r="F111" s="3118">
        <v>20</v>
      </c>
    </row>
    <row r="112" spans="1:6" ht="13.5">
      <c r="A112" s="3118">
        <v>38</v>
      </c>
      <c r="B112" s="3804"/>
      <c r="C112" s="3118" t="s">
        <v>2728</v>
      </c>
      <c r="D112" s="3092" t="s">
        <v>2729</v>
      </c>
      <c r="E112" s="3118">
        <v>0.1</v>
      </c>
      <c r="F112" s="3118">
        <v>15</v>
      </c>
    </row>
    <row r="113" spans="1:6" ht="24">
      <c r="A113" s="3118">
        <v>39</v>
      </c>
      <c r="B113" s="3804"/>
      <c r="C113" s="3118" t="s">
        <v>2730</v>
      </c>
      <c r="D113" s="3092" t="s">
        <v>2731</v>
      </c>
      <c r="E113" s="3118">
        <v>0.1</v>
      </c>
      <c r="F113" s="3118">
        <v>15</v>
      </c>
    </row>
    <row r="114" spans="1:6" ht="24">
      <c r="A114" s="3118">
        <v>40</v>
      </c>
      <c r="B114" s="3810"/>
      <c r="C114" s="3118" t="s">
        <v>2732</v>
      </c>
      <c r="D114" s="3092" t="s">
        <v>2733</v>
      </c>
      <c r="E114" s="3118">
        <v>0.1</v>
      </c>
      <c r="F114" s="3118">
        <v>15</v>
      </c>
    </row>
    <row r="115" spans="1:6" ht="13.5">
      <c r="A115" s="3118">
        <v>41</v>
      </c>
      <c r="B115" s="3798" t="s">
        <v>2734</v>
      </c>
      <c r="C115" s="3118" t="s">
        <v>2735</v>
      </c>
      <c r="D115" s="3092" t="s">
        <v>2736</v>
      </c>
      <c r="E115" s="3118">
        <v>0.1</v>
      </c>
      <c r="F115" s="3118">
        <v>15</v>
      </c>
    </row>
    <row r="116" spans="1:6" ht="13.5">
      <c r="A116" s="3118">
        <v>42</v>
      </c>
      <c r="B116" s="3798"/>
      <c r="C116" s="3118" t="s">
        <v>2737</v>
      </c>
      <c r="D116" s="3092" t="s">
        <v>2738</v>
      </c>
      <c r="E116" s="3118">
        <v>0.1</v>
      </c>
      <c r="F116" s="3118">
        <v>15</v>
      </c>
    </row>
    <row r="117" spans="1:6" ht="24">
      <c r="A117" s="3118">
        <v>43</v>
      </c>
      <c r="B117" s="3798"/>
      <c r="C117" s="3118" t="s">
        <v>2739</v>
      </c>
      <c r="D117" s="3092" t="s">
        <v>2740</v>
      </c>
      <c r="E117" s="3118">
        <v>0.1</v>
      </c>
      <c r="F117" s="3118">
        <v>15</v>
      </c>
    </row>
    <row r="118" spans="1:6" ht="13.5">
      <c r="A118" s="3118">
        <v>44</v>
      </c>
      <c r="B118" s="3805" t="s">
        <v>2741</v>
      </c>
      <c r="C118" s="3118" t="s">
        <v>2742</v>
      </c>
      <c r="D118" s="3092" t="s">
        <v>2743</v>
      </c>
      <c r="E118" s="3118">
        <v>0.1</v>
      </c>
      <c r="F118" s="3118">
        <v>15</v>
      </c>
    </row>
    <row r="119" spans="1:6" ht="24">
      <c r="A119" s="3118">
        <v>45</v>
      </c>
      <c r="B119" s="3810"/>
      <c r="C119" s="3092" t="s">
        <v>2744</v>
      </c>
      <c r="D119" s="3092" t="s">
        <v>2745</v>
      </c>
      <c r="E119" s="3118">
        <v>0.1</v>
      </c>
      <c r="F119" s="3118">
        <v>15</v>
      </c>
    </row>
    <row r="120" spans="1:6" ht="24">
      <c r="A120" s="3118">
        <v>46</v>
      </c>
      <c r="B120" s="3805" t="s">
        <v>2746</v>
      </c>
      <c r="C120" s="3118" t="s">
        <v>2747</v>
      </c>
      <c r="D120" s="3092" t="s">
        <v>2748</v>
      </c>
      <c r="E120" s="3118">
        <v>0.1</v>
      </c>
      <c r="F120" s="3118">
        <v>15</v>
      </c>
    </row>
    <row r="121" spans="1:6" ht="24">
      <c r="A121" s="3118">
        <v>47</v>
      </c>
      <c r="B121" s="3810"/>
      <c r="C121" s="3118" t="s">
        <v>2749</v>
      </c>
      <c r="D121" s="3092" t="s">
        <v>2750</v>
      </c>
      <c r="E121" s="3118">
        <v>0.1</v>
      </c>
      <c r="F121" s="3118">
        <v>15</v>
      </c>
    </row>
    <row r="122" spans="1:6" ht="13.5">
      <c r="A122" s="3118">
        <v>48</v>
      </c>
      <c r="B122" s="3805" t="s">
        <v>2751</v>
      </c>
      <c r="C122" s="3118" t="s">
        <v>2752</v>
      </c>
      <c r="D122" s="3092" t="s">
        <v>2753</v>
      </c>
      <c r="E122" s="3118">
        <v>0.1</v>
      </c>
      <c r="F122" s="3118">
        <v>15</v>
      </c>
    </row>
    <row r="123" spans="1:6" ht="13.5">
      <c r="A123" s="3118">
        <v>49</v>
      </c>
      <c r="B123" s="3810"/>
      <c r="C123" s="3118" t="s">
        <v>2754</v>
      </c>
      <c r="D123" s="3092" t="s">
        <v>2755</v>
      </c>
      <c r="E123" s="3118">
        <v>0.1</v>
      </c>
      <c r="F123" s="3118">
        <v>15</v>
      </c>
    </row>
    <row r="124" spans="1:6" ht="24">
      <c r="A124" s="3118">
        <v>50</v>
      </c>
      <c r="B124" s="3798" t="s">
        <v>2756</v>
      </c>
      <c r="C124" s="3118" t="s">
        <v>2757</v>
      </c>
      <c r="D124" s="3092" t="s">
        <v>2758</v>
      </c>
      <c r="E124" s="3118">
        <v>0.1</v>
      </c>
      <c r="F124" s="3118">
        <v>15</v>
      </c>
    </row>
    <row r="125" spans="1:6" ht="24">
      <c r="A125" s="3118">
        <v>51</v>
      </c>
      <c r="B125" s="3798"/>
      <c r="C125" s="3118" t="s">
        <v>2759</v>
      </c>
      <c r="D125" s="3092" t="s">
        <v>2760</v>
      </c>
      <c r="E125" s="3118">
        <v>0.1</v>
      </c>
      <c r="F125" s="3118">
        <v>15</v>
      </c>
    </row>
    <row r="126" spans="1:6" ht="24">
      <c r="A126" s="3118">
        <v>52</v>
      </c>
      <c r="B126" s="3798" t="s">
        <v>2761</v>
      </c>
      <c r="C126" s="3118" t="s">
        <v>2762</v>
      </c>
      <c r="D126" s="3092" t="s">
        <v>2763</v>
      </c>
      <c r="E126" s="3118">
        <v>0.1</v>
      </c>
      <c r="F126" s="3118">
        <v>15</v>
      </c>
    </row>
    <row r="127" spans="1:6" ht="24">
      <c r="A127" s="3118">
        <v>53</v>
      </c>
      <c r="B127" s="379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98" t="s">
        <v>2769</v>
      </c>
      <c r="C129" s="3118" t="s">
        <v>2770</v>
      </c>
      <c r="D129" s="3092" t="s">
        <v>2771</v>
      </c>
      <c r="E129" s="3118">
        <v>0.1</v>
      </c>
      <c r="F129" s="3118">
        <v>15</v>
      </c>
    </row>
    <row r="130" spans="1:6" ht="13.5">
      <c r="A130" s="3118">
        <v>56</v>
      </c>
      <c r="B130" s="3798"/>
      <c r="C130" s="3118" t="s">
        <v>2772</v>
      </c>
      <c r="D130" s="3092" t="s">
        <v>2773</v>
      </c>
      <c r="E130" s="3118">
        <v>0.1</v>
      </c>
      <c r="F130" s="3118">
        <v>15</v>
      </c>
    </row>
    <row r="131" spans="1:6" ht="24">
      <c r="A131" s="3118">
        <v>57</v>
      </c>
      <c r="B131" s="3798"/>
      <c r="C131" s="3118" t="s">
        <v>2774</v>
      </c>
      <c r="D131" s="3092" t="s">
        <v>2775</v>
      </c>
      <c r="E131" s="3118">
        <v>0.1</v>
      </c>
      <c r="F131" s="3118">
        <v>15</v>
      </c>
    </row>
    <row r="132" spans="1:6" ht="24">
      <c r="A132" s="3118">
        <v>58</v>
      </c>
      <c r="B132" s="3798" t="s">
        <v>2776</v>
      </c>
      <c r="C132" s="3118" t="s">
        <v>2777</v>
      </c>
      <c r="D132" s="3092" t="s">
        <v>2778</v>
      </c>
      <c r="E132" s="3118">
        <v>0.1</v>
      </c>
      <c r="F132" s="3118">
        <v>15</v>
      </c>
    </row>
    <row r="133" spans="1:6" ht="13.5">
      <c r="A133" s="3118">
        <v>59</v>
      </c>
      <c r="B133" s="3798"/>
      <c r="C133" s="3118" t="s">
        <v>2779</v>
      </c>
      <c r="D133" s="3092" t="s">
        <v>2780</v>
      </c>
      <c r="E133" s="3118">
        <v>0.1</v>
      </c>
      <c r="F133" s="3118">
        <v>15</v>
      </c>
    </row>
    <row r="134" spans="1:6" ht="13.5">
      <c r="A134" s="3118">
        <v>60</v>
      </c>
      <c r="B134" s="3805" t="s">
        <v>2781</v>
      </c>
      <c r="C134" s="3118" t="s">
        <v>2782</v>
      </c>
      <c r="D134" s="3092" t="s">
        <v>2783</v>
      </c>
      <c r="E134" s="3118">
        <v>0.1</v>
      </c>
      <c r="F134" s="3118">
        <v>15</v>
      </c>
    </row>
    <row r="135" spans="1:6" ht="13.5">
      <c r="A135" s="3118">
        <v>61</v>
      </c>
      <c r="B135" s="381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98" t="s">
        <v>2789</v>
      </c>
      <c r="C137" s="3118" t="s">
        <v>2790</v>
      </c>
      <c r="D137" s="3092" t="s">
        <v>2791</v>
      </c>
      <c r="E137" s="3118">
        <v>0.1</v>
      </c>
      <c r="F137" s="3118">
        <v>15</v>
      </c>
    </row>
    <row r="138" spans="1:6" ht="13.5">
      <c r="A138" s="3118">
        <v>64</v>
      </c>
      <c r="B138" s="379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1.1748000000000001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1.1174999999999999</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28036</v>
      </c>
      <c r="C2" s="2" t="s">
        <v>106</v>
      </c>
      <c r="D2" s="199"/>
      <c r="E2" s="199"/>
      <c r="F2" s="199"/>
      <c r="G2" s="199"/>
    </row>
    <row r="3" spans="1:7" s="200" customFormat="1" ht="18" customHeight="1" thickBot="1">
      <c r="A3" s="203" t="s">
        <v>58</v>
      </c>
      <c r="B3" s="204">
        <f ca="1">ROUND(B2*10000/'数据-汇总表'!E3,0)</f>
        <v>73189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140</v>
      </c>
      <c r="F9" s="221"/>
      <c r="G9" s="226"/>
    </row>
    <row r="10" spans="1:7" s="214" customFormat="1" ht="13.5" customHeight="1">
      <c r="A10" s="779" t="s">
        <v>356</v>
      </c>
      <c r="B10" s="224" t="s">
        <v>67</v>
      </c>
      <c r="C10" s="225">
        <f>ROUND(D10*E10/10000,0)</f>
        <v>65</v>
      </c>
      <c r="D10" s="845">
        <f>'数据-汇总表'!E6</f>
        <v>3830.64</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77</v>
      </c>
      <c r="D19" s="849">
        <f>'数据-汇总表'!E3</f>
        <v>3830.64</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1328</v>
      </c>
      <c r="D22" s="235">
        <f ca="1">C26</f>
        <v>5.9999999999999995E-4</v>
      </c>
      <c r="E22" s="236" t="s">
        <v>99</v>
      </c>
      <c r="F22" s="237">
        <f ca="1">'数据-取费表'!B40</f>
        <v>3.1300000000000001E-2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1310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2110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26528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1341</v>
      </c>
      <c r="D34" s="217"/>
      <c r="E34" s="220"/>
      <c r="F34" s="257">
        <f>IF('数据-取费表'!B24=0,1,'数据-取费表'!N16)</f>
        <v>1</v>
      </c>
      <c r="G34" s="219" t="s">
        <v>89</v>
      </c>
    </row>
    <row r="35" spans="1:7" ht="13.5" customHeight="1">
      <c r="A35" s="780" t="s">
        <v>351</v>
      </c>
      <c r="B35" s="215" t="s">
        <v>33</v>
      </c>
      <c r="C35" s="220">
        <f>ROUND(C34*F35,0)</f>
        <v>67</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77</v>
      </c>
      <c r="D37" s="217">
        <f>'数据-汇总表'!E3</f>
        <v>3830.64</v>
      </c>
      <c r="E37" s="249">
        <f>'数据-取费表'!B35</f>
        <v>200</v>
      </c>
      <c r="F37" s="259"/>
      <c r="G37" s="261" t="s">
        <v>92</v>
      </c>
    </row>
    <row r="38" spans="1:7" ht="13.5" customHeight="1">
      <c r="A38" s="780" t="s">
        <v>354</v>
      </c>
      <c r="B38" s="215" t="s">
        <v>36</v>
      </c>
      <c r="C38" s="220">
        <f>ROUND(C34*F38,0)</f>
        <v>27</v>
      </c>
      <c r="D38" s="220"/>
      <c r="E38" s="220"/>
      <c r="F38" s="259">
        <f>'数据-取费表'!B36</f>
        <v>0.02</v>
      </c>
      <c r="G38" s="219" t="s">
        <v>90</v>
      </c>
    </row>
    <row r="39" spans="1:7" s="214" customFormat="1" ht="13.5" customHeight="1">
      <c r="A39" s="777" t="s">
        <v>338</v>
      </c>
      <c r="B39" s="210" t="s">
        <v>77</v>
      </c>
      <c r="C39" s="232">
        <f>ROUND(C33*F20,0)</f>
        <v>30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48</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47</v>
      </c>
      <c r="D42" s="238"/>
      <c r="E42" s="238"/>
      <c r="F42" s="239"/>
      <c r="G42" s="3671" t="s">
        <v>94</v>
      </c>
    </row>
    <row r="43" spans="1:7" ht="13.5" customHeight="1">
      <c r="A43" s="780" t="s">
        <v>347</v>
      </c>
      <c r="B43" s="215" t="s">
        <v>426</v>
      </c>
      <c r="C43" s="238">
        <f ca="1">ROUND(IF('数据-取费表'!B22&lt;=1,C39*F22*'数据-取费表'!B21/2,C39*(POWER((1+F22),'数据-取费表'!B21/2)-1)),0)</f>
        <v>1</v>
      </c>
      <c r="D43" s="238"/>
      <c r="E43" s="238"/>
      <c r="F43" s="239"/>
      <c r="G43" s="3672"/>
    </row>
    <row r="44" spans="1:7" ht="13.5" customHeight="1">
      <c r="A44" s="780" t="s">
        <v>348</v>
      </c>
      <c r="B44" s="215" t="s">
        <v>428</v>
      </c>
      <c r="C44" s="238">
        <f ca="1">ROUND(IF('数据-取费表'!B22&lt;=1,C40*F22*'数据-取费表'!B21/2,C40*(POWER((1+F22),'数据-取费表'!B21/2)-1)),4)</f>
        <v>5.9999999999999995E-4</v>
      </c>
      <c r="D44" s="238"/>
      <c r="E44" s="238"/>
      <c r="F44" s="239"/>
      <c r="G44" s="3673"/>
    </row>
    <row r="45" spans="1:7" s="214" customFormat="1" ht="13.5" customHeight="1">
      <c r="A45" s="777" t="s">
        <v>341</v>
      </c>
      <c r="B45" s="244" t="s">
        <v>85</v>
      </c>
      <c r="C45" s="245">
        <f>C46</f>
        <v>154</v>
      </c>
      <c r="D45" s="235">
        <f>C47</f>
        <v>2E-3</v>
      </c>
      <c r="E45" s="236" t="s">
        <v>102</v>
      </c>
      <c r="F45" s="246"/>
      <c r="G45" s="247" t="s">
        <v>434</v>
      </c>
    </row>
    <row r="46" spans="1:7" s="214" customFormat="1" ht="13.5" customHeight="1">
      <c r="A46" s="780" t="s">
        <v>349</v>
      </c>
      <c r="B46" s="248" t="s">
        <v>427</v>
      </c>
      <c r="C46" s="249">
        <f>ROUND((C33+C39)*F27,0)</f>
        <v>154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1885</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1508</v>
      </c>
      <c r="D51" s="232"/>
      <c r="E51" s="232"/>
      <c r="F51" s="264"/>
      <c r="G51" s="234" t="s">
        <v>37</v>
      </c>
    </row>
    <row r="52" spans="1:7" s="208" customFormat="1" ht="16.5" thickBot="1">
      <c r="A52" s="265" t="s">
        <v>38</v>
      </c>
      <c r="B52" s="266"/>
      <c r="C52" s="267">
        <f ca="1">C31+C51</f>
        <v>28036</v>
      </c>
      <c r="D52" s="266"/>
      <c r="E52" s="266"/>
      <c r="F52" s="266"/>
      <c r="G52" s="268"/>
    </row>
    <row r="55" spans="1:7" ht="15">
      <c r="B55" s="270" t="s">
        <v>39</v>
      </c>
      <c r="C55" s="271"/>
    </row>
    <row r="56" spans="1:7">
      <c r="B56" s="273" t="s">
        <v>40</v>
      </c>
      <c r="C56" s="274">
        <f ca="1">ROUND(C51/C52,3)</f>
        <v>5.3999999999999999E-2</v>
      </c>
    </row>
    <row r="57" spans="1:7">
      <c r="B57" s="273" t="s">
        <v>41</v>
      </c>
      <c r="C57" s="275">
        <f ca="1">1-C56</f>
        <v>0.94599999999999995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3"/>
      <c r="C2" s="3493"/>
      <c r="D2" s="3493"/>
      <c r="E2" s="3493"/>
    </row>
    <row r="3" spans="1:5" ht="18">
      <c r="A3" s="3494" t="str">
        <f>IF(项目基本情况!B9="房地产市场价值","估价结果一览表（市场价值不需“结果表-1”）","估价结果一览表")</f>
        <v>估价结果一览表</v>
      </c>
      <c r="B3" s="3494"/>
      <c r="C3" s="3494"/>
      <c r="D3" s="3494"/>
      <c r="E3" s="3494"/>
    </row>
    <row r="4" spans="1:5" ht="19.5" thickBot="1">
      <c r="A4" s="1493"/>
      <c r="B4" s="3492" t="s">
        <v>917</v>
      </c>
      <c r="C4" s="3492"/>
      <c r="D4" s="3492"/>
      <c r="E4" s="1493"/>
    </row>
    <row r="5" spans="1:5" ht="16.5" thickTop="1">
      <c r="A5" s="1491"/>
      <c r="B5" s="3490" t="s">
        <v>909</v>
      </c>
      <c r="C5" s="1494" t="s">
        <v>910</v>
      </c>
      <c r="D5" s="850">
        <f ca="1">结果表!H101</f>
        <v>4318</v>
      </c>
      <c r="E5" s="1491"/>
    </row>
    <row r="6" spans="1:5" ht="15.75">
      <c r="A6" s="1491"/>
      <c r="B6" s="3490"/>
      <c r="C6" s="1494" t="s">
        <v>911</v>
      </c>
      <c r="D6" s="850" t="str">
        <f ca="1">NUMBERSTRING(INT(D5*10000),2)&amp;"元整"</f>
        <v>肆仟叁佰壹拾捌万元整</v>
      </c>
      <c r="E6" s="1491"/>
    </row>
    <row r="7" spans="1:5" ht="15.75">
      <c r="A7" s="1491"/>
      <c r="B7" s="3495"/>
      <c r="C7" s="1495" t="s">
        <v>912</v>
      </c>
      <c r="D7" s="851">
        <f ca="1">结果表!H102</f>
        <v>11272</v>
      </c>
      <c r="E7" s="1491"/>
    </row>
    <row r="8" spans="1:5" ht="15.75">
      <c r="A8" s="1491"/>
      <c r="B8" s="3496" t="str">
        <f>结果表!E103</f>
        <v>2.估价师知悉的法定优先受偿款</v>
      </c>
      <c r="C8" s="1496" t="s">
        <v>913</v>
      </c>
      <c r="D8" s="851">
        <f>结果表!H103</f>
        <v>0</v>
      </c>
      <c r="E8" s="1491"/>
    </row>
    <row r="9" spans="1:5" ht="15.75">
      <c r="A9" s="1491"/>
      <c r="B9" s="349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9" t="str">
        <f>结果表!E107</f>
        <v>3.房地产抵押价值</v>
      </c>
      <c r="C13" s="1499" t="s">
        <v>910</v>
      </c>
      <c r="D13" s="853">
        <f ca="1">结果表!H107</f>
        <v>4318</v>
      </c>
      <c r="E13" s="1491"/>
    </row>
    <row r="14" spans="1:5" ht="15.75">
      <c r="A14" s="1491"/>
      <c r="B14" s="3490"/>
      <c r="C14" s="1494" t="s">
        <v>911</v>
      </c>
      <c r="D14" s="850" t="str">
        <f ca="1">NUMBERSTRING(INT(D13*10000),2)&amp;"元整"</f>
        <v>肆仟叁佰壹拾捌万元整</v>
      </c>
      <c r="E14" s="1491"/>
    </row>
    <row r="15" spans="1:5" ht="15">
      <c r="A15" s="1491"/>
      <c r="B15" s="3495"/>
      <c r="C15" s="1495" t="s">
        <v>921</v>
      </c>
      <c r="D15" s="859">
        <f ca="1">结果表!H108</f>
        <v>11272</v>
      </c>
      <c r="E15" s="1491"/>
    </row>
    <row r="16" spans="1:5" ht="15">
      <c r="A16" s="1491"/>
      <c r="B16" s="3496" t="str">
        <f>结果表!E109</f>
        <v>——</v>
      </c>
      <c r="C16" s="1499" t="s">
        <v>922</v>
      </c>
      <c r="D16" s="1500" t="str">
        <f>结果表!H109</f>
        <v>——</v>
      </c>
      <c r="E16" s="1491"/>
    </row>
    <row r="17" spans="1:5" ht="15.75">
      <c r="A17" s="1491"/>
      <c r="B17" s="3497"/>
      <c r="C17" s="1494" t="s">
        <v>923</v>
      </c>
      <c r="D17" s="850" t="e">
        <f>NUMBERSTRING(INT(D16*10000),2)&amp;"元整"</f>
        <v>#VALUE!</v>
      </c>
      <c r="E17" s="1491"/>
    </row>
    <row r="18" spans="1:5" ht="15">
      <c r="A18" s="1491"/>
      <c r="B18" s="3498"/>
      <c r="C18" s="1495" t="s">
        <v>912</v>
      </c>
      <c r="D18" s="859" t="str">
        <f>结果表!H110</f>
        <v>——</v>
      </c>
      <c r="E18" s="1491"/>
    </row>
    <row r="19" spans="1:5" ht="15.75">
      <c r="A19" s="1491"/>
      <c r="B19" s="3489" t="str">
        <f>结果表!E111</f>
        <v>——</v>
      </c>
      <c r="C19" s="1499" t="s">
        <v>910</v>
      </c>
      <c r="D19" s="851" t="str">
        <f>结果表!H111</f>
        <v>——</v>
      </c>
      <c r="E19" s="1491"/>
    </row>
    <row r="20" spans="1:5" ht="15.75">
      <c r="A20" s="1491"/>
      <c r="B20" s="3490"/>
      <c r="C20" s="1494" t="s">
        <v>923</v>
      </c>
      <c r="D20" s="850" t="e">
        <f>NUMBERSTRING(INT(D19*10000),2)&amp;"元整"</f>
        <v>#VALUE!</v>
      </c>
      <c r="E20" s="1491"/>
    </row>
    <row r="21" spans="1:5" ht="15.75" thickBot="1">
      <c r="A21" s="1491"/>
      <c r="B21" s="3491"/>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1" t="s">
        <v>3181</v>
      </c>
      <c r="B1" s="381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2" t="s">
        <v>3232</v>
      </c>
      <c r="B1" s="3812"/>
      <c r="C1" s="3812"/>
      <c r="D1" s="3812"/>
      <c r="E1" s="3812"/>
      <c r="F1" s="381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RowHeight="13.5"/>
  <cols>
    <col min="1" max="1" width="13.875" customWidth="1"/>
    <col min="11" max="17" width="0" hidden="1" customWidth="1"/>
    <col min="25" max="30" width="0" hidden="1" customWidth="1"/>
  </cols>
  <sheetData>
    <row r="1" spans="1:44">
      <c r="A1" s="3221">
        <f>基准地价修正!G23</f>
        <v>45902</v>
      </c>
      <c r="B1" s="3210" t="s">
        <v>3376</v>
      </c>
      <c r="C1" s="3211"/>
      <c r="D1" s="3211"/>
      <c r="E1" s="3211"/>
      <c r="F1" s="3211"/>
      <c r="G1" s="3211"/>
      <c r="H1" s="3211"/>
      <c r="I1" s="3211"/>
      <c r="J1" s="3165"/>
      <c r="K1" s="3211" t="s">
        <v>454</v>
      </c>
      <c r="L1" s="3211"/>
      <c r="M1" s="3211"/>
      <c r="N1" s="3211"/>
      <c r="O1" s="3211"/>
      <c r="P1" s="3211"/>
      <c r="Q1" s="3165"/>
      <c r="R1" s="3814" t="s">
        <v>456</v>
      </c>
      <c r="S1" s="3815"/>
      <c r="T1" s="3815"/>
      <c r="U1" s="3815"/>
      <c r="V1" s="3815"/>
      <c r="W1" s="3815"/>
      <c r="X1" s="3165"/>
      <c r="Y1" s="3814" t="s">
        <v>457</v>
      </c>
      <c r="Z1" s="3815"/>
      <c r="AA1" s="3815"/>
      <c r="AB1" s="3815"/>
      <c r="AC1" s="3815"/>
      <c r="AD1" s="381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1.0680000000000001</v>
      </c>
      <c r="S5" s="3183">
        <f>ROUND(IF(项目基本情况!$B$8="出让",SUMPRODUCT(PRODUCT(1+L5:$L$24)),SUMPRODUCT(PRODUCT(1+L5:$L$23))),4)</f>
        <v>1.0290999999999999</v>
      </c>
      <c r="T5" s="3183">
        <f>ROUND(IF(项目基本情况!$B$8="出让",SUMPRODUCT(PRODUCT(1+M5:$M$24)),SUMPRODUCT(PRODUCT(1+M5:$M$23))),4)</f>
        <v>0.97850000000000004</v>
      </c>
      <c r="U5" s="3183">
        <f>ROUND(IF(项目基本情况!$B$8="出让",SUMPRODUCT(PRODUCT(1+N5:$N$24)),SUMPRODUCT(PRODUCT(1+N5:$N$23))),4)</f>
        <v>1.0807</v>
      </c>
      <c r="V5" s="3183">
        <f>ROUND(IF(项目基本情况!$B$8="出让",SUMPRODUCT(PRODUCT(1+O5:$O$24)),SUMPRODUCT(PRODUCT(1+O5:$O$23))),4)</f>
        <v>1.093</v>
      </c>
      <c r="W5" s="3183">
        <f t="shared" ref="W5:W11" si="11">T5</f>
        <v>0.97850000000000004</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106.80000000000001</v>
      </c>
      <c r="AG5" s="3458">
        <f t="shared" ref="AG5:AK5" si="18">$AF$24*S5</f>
        <v>102.91</v>
      </c>
      <c r="AH5" s="3458">
        <f t="shared" si="18"/>
        <v>97.850000000000009</v>
      </c>
      <c r="AI5" s="3458">
        <f t="shared" si="18"/>
        <v>108.07</v>
      </c>
      <c r="AJ5" s="3458">
        <f t="shared" si="18"/>
        <v>109.3</v>
      </c>
      <c r="AK5" s="3458">
        <f t="shared" si="18"/>
        <v>97.850000000000009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1.0680000000000001</v>
      </c>
      <c r="S6" s="3183">
        <f>ROUND(IF(项目基本情况!$B$8="出让",SUMPRODUCT(PRODUCT(1+L6:$L$24)),SUMPRODUCT(PRODUCT(1+L6:$L$23))),4)</f>
        <v>1.0290999999999999</v>
      </c>
      <c r="T6" s="3183">
        <f>ROUND(IF(项目基本情况!$B$8="出让",SUMPRODUCT(PRODUCT(1+M6:$M$24)),SUMPRODUCT(PRODUCT(1+M6:$M$23))),4)</f>
        <v>0.97850000000000004</v>
      </c>
      <c r="U6" s="3183">
        <f>ROUND(IF(项目基本情况!$B$8="出让",SUMPRODUCT(PRODUCT(1+N6:$N$24)),SUMPRODUCT(PRODUCT(1+N6:$N$23))),4)</f>
        <v>1.0807</v>
      </c>
      <c r="V6" s="3183">
        <f>ROUND(IF(项目基本情况!$B$8="出让",SUMPRODUCT(PRODUCT(1+O6:$O$24)),SUMPRODUCT(PRODUCT(1+O6:$O$23))),4)</f>
        <v>1.093</v>
      </c>
      <c r="W6" s="3183">
        <f t="shared" si="11"/>
        <v>0.97850000000000004</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106.80000000000001</v>
      </c>
      <c r="AG6" s="3458">
        <f t="shared" ref="AG6:AG23" si="31">$AF$24*S6</f>
        <v>102.91</v>
      </c>
      <c r="AH6" s="3458">
        <f t="shared" ref="AH6:AH23" si="32">$AF$24*T6</f>
        <v>97.850000000000009</v>
      </c>
      <c r="AI6" s="3458">
        <f t="shared" ref="AI6:AI23" si="33">$AF$24*U6</f>
        <v>108.07</v>
      </c>
      <c r="AJ6" s="3458">
        <f t="shared" ref="AJ6:AJ23" si="34">$AF$24*V6</f>
        <v>109.3</v>
      </c>
      <c r="AK6" s="3458">
        <f t="shared" ref="AK6:AK23" si="35">$AF$24*W6</f>
        <v>97.850000000000009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1.0680000000000001</v>
      </c>
      <c r="S7" s="3192">
        <f>ROUND(IF(项目基本情况!$B$8="出让",SUMPRODUCT(PRODUCT(1+L7:$L$24)),SUMPRODUCT(PRODUCT(1+L7:$L$23))),4)</f>
        <v>1.0290999999999999</v>
      </c>
      <c r="T7" s="3192">
        <f>ROUND(IF(项目基本情况!$B$8="出让",SUMPRODUCT(PRODUCT(1+M7:$M$24)),SUMPRODUCT(PRODUCT(1+M7:$M$23))),4)</f>
        <v>0.97850000000000004</v>
      </c>
      <c r="U7" s="3192">
        <f>ROUND(IF(项目基本情况!$B$8="出让",SUMPRODUCT(PRODUCT(1+N7:$N$24)),SUMPRODUCT(PRODUCT(1+N7:$N$23))),4)</f>
        <v>1.0807</v>
      </c>
      <c r="V7" s="3192">
        <f>ROUND(IF(项目基本情况!$B$8="出让",SUMPRODUCT(PRODUCT(1+O7:$O$24)),SUMPRODUCT(PRODUCT(1+O7:$O$23))),4)</f>
        <v>1.093</v>
      </c>
      <c r="W7" s="3192">
        <f t="shared" si="11"/>
        <v>0.97850000000000004</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106.80000000000001</v>
      </c>
      <c r="AG7" s="3459">
        <f t="shared" si="31"/>
        <v>102.91</v>
      </c>
      <c r="AH7" s="3459">
        <f t="shared" si="32"/>
        <v>97.850000000000009</v>
      </c>
      <c r="AI7" s="3459">
        <f t="shared" si="33"/>
        <v>108.07</v>
      </c>
      <c r="AJ7" s="3459">
        <f t="shared" si="34"/>
        <v>109.3</v>
      </c>
      <c r="AK7" s="3459">
        <f t="shared" si="35"/>
        <v>97.850000000000009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1.0674999999999999</v>
      </c>
      <c r="S8" s="3183">
        <f>ROUND(IF(项目基本情况!$B$8="出让",SUMPRODUCT(PRODUCT(1+L8:$L$24)),SUMPRODUCT(PRODUCT(1+L8:$L$23))),4)</f>
        <v>1.0355000000000001</v>
      </c>
      <c r="T8" s="3183">
        <f>ROUND(IF(项目基本情况!$B$8="出让",SUMPRODUCT(PRODUCT(1+M8:$M$24)),SUMPRODUCT(PRODUCT(1+M8:$M$23))),4)</f>
        <v>0.98880000000000001</v>
      </c>
      <c r="U8" s="3183">
        <f>ROUND(IF(项目基本情况!$B$8="出让",SUMPRODUCT(PRODUCT(1+N8:$N$24)),SUMPRODUCT(PRODUCT(1+N8:$N$23))),4)</f>
        <v>1.0798000000000001</v>
      </c>
      <c r="V8" s="3183">
        <f>ROUND(IF(项目基本情况!$B$8="出让",SUMPRODUCT(PRODUCT(1+O8:$O$24)),SUMPRODUCT(PRODUCT(1+O8:$O$23))),4)</f>
        <v>1.0911</v>
      </c>
      <c r="W8" s="3183">
        <f t="shared" si="11"/>
        <v>0.98880000000000001</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106.74999999999999</v>
      </c>
      <c r="AG8" s="3458">
        <f t="shared" si="31"/>
        <v>103.55000000000001</v>
      </c>
      <c r="AH8" s="3458">
        <f t="shared" si="32"/>
        <v>98.88</v>
      </c>
      <c r="AI8" s="3458">
        <f t="shared" si="33"/>
        <v>107.98</v>
      </c>
      <c r="AJ8" s="3458">
        <f t="shared" si="34"/>
        <v>109.11</v>
      </c>
      <c r="AK8" s="3458">
        <f t="shared" si="35"/>
        <v>98.88</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1.0613999999999999</v>
      </c>
      <c r="S9" s="3183">
        <f>ROUND(IF(项目基本情况!$B$8="出让",SUMPRODUCT(PRODUCT(1+L9:$L$24)),SUMPRODUCT(PRODUCT(1+L9:$L$23))),4)</f>
        <v>1.0415000000000001</v>
      </c>
      <c r="T9" s="3183">
        <f>ROUND(IF(项目基本情况!$B$8="出让",SUMPRODUCT(PRODUCT(1+M9:$M$24)),SUMPRODUCT(PRODUCT(1+M9:$M$23))),4)</f>
        <v>0.99780000000000002</v>
      </c>
      <c r="U9" s="3183">
        <f>ROUND(IF(项目基本情况!$B$8="出让",SUMPRODUCT(PRODUCT(1+N9:$N$24)),SUMPRODUCT(PRODUCT(1+N9:$N$23))),4)</f>
        <v>1.0678000000000001</v>
      </c>
      <c r="V9" s="3183">
        <f>ROUND(IF(项目基本情况!$B$8="出让",SUMPRODUCT(PRODUCT(1+O9:$O$24)),SUMPRODUCT(PRODUCT(1+O9:$O$23))),4)</f>
        <v>1.0866</v>
      </c>
      <c r="W9" s="3183">
        <f t="shared" si="11"/>
        <v>0.99780000000000002</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106.13999999999999</v>
      </c>
      <c r="AG9" s="3458">
        <f t="shared" si="31"/>
        <v>104.15</v>
      </c>
      <c r="AH9" s="3458">
        <f t="shared" si="32"/>
        <v>99.78</v>
      </c>
      <c r="AI9" s="3458">
        <f t="shared" si="33"/>
        <v>106.78</v>
      </c>
      <c r="AJ9" s="3458">
        <f t="shared" si="34"/>
        <v>108.66</v>
      </c>
      <c r="AK9" s="3458">
        <f t="shared" si="35"/>
        <v>99.78</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1.0723</v>
      </c>
      <c r="S10" s="3183">
        <f>ROUND(IF(项目基本情况!$B$8="出让",SUMPRODUCT(PRODUCT(1+L10:$L$24)),SUMPRODUCT(PRODUCT(1+L10:$L$23))),4)</f>
        <v>1.0465</v>
      </c>
      <c r="T10" s="3183">
        <f>ROUND(IF(项目基本情况!$B$8="出让",SUMPRODUCT(PRODUCT(1+M10:$M$24)),SUMPRODUCT(PRODUCT(1+M10:$M$23))),4)</f>
        <v>1.0054000000000001</v>
      </c>
      <c r="U10" s="3183">
        <f>ROUND(IF(项目基本情况!$B$8="出让",SUMPRODUCT(PRODUCT(1+N10:$N$24)),SUMPRODUCT(PRODUCT(1+N10:$N$23))),4)</f>
        <v>1.0790999999999999</v>
      </c>
      <c r="V10" s="3183">
        <f>ROUND(IF(项目基本情况!$B$8="出让",SUMPRODUCT(PRODUCT(1+O10:$O$24)),SUMPRODUCT(PRODUCT(1+O10:$O$23))),4)</f>
        <v>1.0857000000000001</v>
      </c>
      <c r="W10" s="3183">
        <f t="shared" si="11"/>
        <v>1.0054000000000001</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107.23</v>
      </c>
      <c r="AG10" s="3458">
        <f t="shared" si="31"/>
        <v>104.65</v>
      </c>
      <c r="AH10" s="3458">
        <f t="shared" si="32"/>
        <v>100.54</v>
      </c>
      <c r="AI10" s="3458">
        <f t="shared" si="33"/>
        <v>107.91</v>
      </c>
      <c r="AJ10" s="3458">
        <f t="shared" si="34"/>
        <v>108.57000000000001</v>
      </c>
      <c r="AK10" s="3458">
        <f t="shared" si="35"/>
        <v>100.54</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1.0852999999999999</v>
      </c>
      <c r="S11" s="3183">
        <f>ROUND(IF(项目基本情况!$B$8="出让",SUMPRODUCT(PRODUCT(1+L11:$L$24)),SUMPRODUCT(PRODUCT(1+L11:$L$23))),4)</f>
        <v>1.0513999999999999</v>
      </c>
      <c r="T11" s="3183">
        <f>ROUND(IF(项目基本情况!$B$8="出让",SUMPRODUCT(PRODUCT(1+M11:$M$24)),SUMPRODUCT(PRODUCT(1+M11:$M$23))),4)</f>
        <v>1.0083</v>
      </c>
      <c r="U11" s="3183">
        <f>ROUND(IF(项目基本情况!$B$8="出让",SUMPRODUCT(PRODUCT(1+N11:$N$24)),SUMPRODUCT(PRODUCT(1+N11:$N$23))),4)</f>
        <v>1.0871999999999999</v>
      </c>
      <c r="V11" s="3183">
        <f>ROUND(IF(项目基本情况!$B$8="出让",SUMPRODUCT(PRODUCT(1+O11:$O$24)),SUMPRODUCT(PRODUCT(1+O11:$O$23))),4)</f>
        <v>1.0880000000000001</v>
      </c>
      <c r="W11" s="3183">
        <f t="shared" si="11"/>
        <v>1.0083</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108.52999999999999</v>
      </c>
      <c r="AG11" s="3458">
        <f t="shared" si="31"/>
        <v>105.13999999999999</v>
      </c>
      <c r="AH11" s="3458">
        <f t="shared" si="32"/>
        <v>100.83</v>
      </c>
      <c r="AI11" s="3458">
        <f t="shared" si="33"/>
        <v>108.72</v>
      </c>
      <c r="AJ11" s="3458">
        <f t="shared" si="34"/>
        <v>108.80000000000001</v>
      </c>
      <c r="AK11" s="3458">
        <f t="shared" si="35"/>
        <v>100.83</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1.0916999999999999</v>
      </c>
      <c r="S12" s="3183">
        <f>ROUND(IF(项目基本情况!$B$8="出让",SUMPRODUCT(PRODUCT(1+L12:$L$24)),SUMPRODUCT(PRODUCT(1+L12:$L$23))),4)</f>
        <v>1.0537000000000001</v>
      </c>
      <c r="T12" s="3183">
        <f>ROUND(IF(项目基本情况!$B$8="出让",SUMPRODUCT(PRODUCT(1+M12:$M$24)),SUMPRODUCT(PRODUCT(1+M12:$M$23))),4)</f>
        <v>1.0224</v>
      </c>
      <c r="U12" s="3183">
        <f>ROUND(IF(项目基本情况!$B$8="出让",SUMPRODUCT(PRODUCT(1+N12:$N$24)),SUMPRODUCT(PRODUCT(1+N12:$N$23))),4)</f>
        <v>1.1008</v>
      </c>
      <c r="V12" s="3183">
        <f>ROUND(IF(项目基本情况!$B$8="出让",SUMPRODUCT(PRODUCT(1+O12:$O$24)),SUMPRODUCT(PRODUCT(1+O12:$O$23))),4)</f>
        <v>1.0843</v>
      </c>
      <c r="W12" s="3183">
        <f t="shared" ref="W12" si="97">T12</f>
        <v>1.0224</v>
      </c>
      <c r="X12" s="3181"/>
      <c r="Y12" s="3184"/>
      <c r="Z12" s="3184"/>
      <c r="AA12" s="3184"/>
      <c r="AB12" s="3184"/>
      <c r="AC12" s="3184"/>
      <c r="AD12" s="3184"/>
      <c r="AF12" s="3458">
        <f t="shared" si="30"/>
        <v>109.16999999999999</v>
      </c>
      <c r="AG12" s="3458">
        <f t="shared" si="31"/>
        <v>105.37</v>
      </c>
      <c r="AH12" s="3458">
        <f t="shared" si="32"/>
        <v>102.24</v>
      </c>
      <c r="AI12" s="3458">
        <f t="shared" si="33"/>
        <v>110.08</v>
      </c>
      <c r="AJ12" s="3458">
        <f t="shared" si="34"/>
        <v>108.43</v>
      </c>
      <c r="AK12" s="3458">
        <f t="shared" si="35"/>
        <v>102.24</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1.0908</v>
      </c>
      <c r="S13" s="3183">
        <f>ROUND(IF(项目基本情况!$B$8="出让",SUMPRODUCT(PRODUCT(1+L13:$L$24)),SUMPRODUCT(PRODUCT(1+L13:$L$23))),4)</f>
        <v>1.0488</v>
      </c>
      <c r="T13" s="3183">
        <f>ROUND(IF(项目基本情况!$B$8="出让",SUMPRODUCT(PRODUCT(1+M13:$M$24)),SUMPRODUCT(PRODUCT(1+M13:$M$23))),4)</f>
        <v>1.024</v>
      </c>
      <c r="U13" s="3183">
        <f>ROUND(IF(项目基本情况!$B$8="出让",SUMPRODUCT(PRODUCT(1+N13:$N$24)),SUMPRODUCT(PRODUCT(1+N13:$N$23))),4)</f>
        <v>1.0980000000000001</v>
      </c>
      <c r="V13" s="3183">
        <f>ROUND(IF(项目基本情况!$B$8="出让",SUMPRODUCT(PRODUCT(1+O13:$O$24)),SUMPRODUCT(PRODUCT(1+O13:$O$23))),4)</f>
        <v>1.0779000000000001</v>
      </c>
      <c r="W13" s="3183">
        <f t="shared" ref="W13" si="99">T13</f>
        <v>1.024</v>
      </c>
      <c r="X13" s="3181"/>
      <c r="Y13" s="3184"/>
      <c r="Z13" s="3184"/>
      <c r="AA13" s="3184"/>
      <c r="AB13" s="3184"/>
      <c r="AC13" s="3184"/>
      <c r="AD13" s="3184"/>
      <c r="AF13" s="3458">
        <f t="shared" si="30"/>
        <v>109.08</v>
      </c>
      <c r="AG13" s="3458">
        <f t="shared" si="31"/>
        <v>104.88</v>
      </c>
      <c r="AH13" s="3458">
        <f t="shared" si="32"/>
        <v>102.4</v>
      </c>
      <c r="AI13" s="3458">
        <f t="shared" si="33"/>
        <v>109.80000000000001</v>
      </c>
      <c r="AJ13" s="3458">
        <f t="shared" si="34"/>
        <v>107.79</v>
      </c>
      <c r="AK13" s="3458">
        <f t="shared" si="35"/>
        <v>102.4</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1.0888</v>
      </c>
      <c r="S14" s="3183">
        <f>ROUND(IF(项目基本情况!$B$8="出让",SUMPRODUCT(PRODUCT(1+L14:$L$24)),SUMPRODUCT(PRODUCT(1+L14:$L$23))),4)</f>
        <v>1.0463</v>
      </c>
      <c r="T14" s="3183">
        <f>ROUND(IF(项目基本情况!$B$8="出让",SUMPRODUCT(PRODUCT(1+M14:$M$24)),SUMPRODUCT(PRODUCT(1+M14:$M$23))),4)</f>
        <v>1.0257000000000001</v>
      </c>
      <c r="U14" s="3183">
        <f>ROUND(IF(项目基本情况!$B$8="出让",SUMPRODUCT(PRODUCT(1+N14:$N$24)),SUMPRODUCT(PRODUCT(1+N14:$N$23))),4)</f>
        <v>1.0961000000000001</v>
      </c>
      <c r="V14" s="3183">
        <f>ROUND(IF(项目基本情况!$B$8="出让",SUMPRODUCT(PRODUCT(1+O14:$O$24)),SUMPRODUCT(PRODUCT(1+O14:$O$23))),4)</f>
        <v>1.0713999999999999</v>
      </c>
      <c r="W14" s="3183">
        <f t="shared" ref="W14:W15" si="106">T14</f>
        <v>1.0257000000000001</v>
      </c>
      <c r="X14" s="3181"/>
      <c r="Y14" s="3184"/>
      <c r="Z14" s="3184"/>
      <c r="AA14" s="3184"/>
      <c r="AB14" s="3184"/>
      <c r="AC14" s="3184"/>
      <c r="AD14" s="3184"/>
      <c r="AF14" s="3458">
        <f t="shared" si="30"/>
        <v>108.88</v>
      </c>
      <c r="AG14" s="3458">
        <f t="shared" si="31"/>
        <v>104.63</v>
      </c>
      <c r="AH14" s="3458">
        <f t="shared" si="32"/>
        <v>102.57000000000001</v>
      </c>
      <c r="AI14" s="3458">
        <f t="shared" si="33"/>
        <v>109.61000000000001</v>
      </c>
      <c r="AJ14" s="3458">
        <f t="shared" si="34"/>
        <v>107.13999999999999</v>
      </c>
      <c r="AK14" s="3458">
        <f t="shared" si="35"/>
        <v>102.57000000000001</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1.0860000000000001</v>
      </c>
      <c r="S15" s="3183">
        <f>ROUND(IF(项目基本情况!$B$8="出让",SUMPRODUCT(PRODUCT(1+L15:$L$24)),SUMPRODUCT(PRODUCT(1+L15:$L$23))),4)</f>
        <v>1.0410999999999999</v>
      </c>
      <c r="T15" s="3183">
        <f>ROUND(IF(项目基本情况!$B$8="出让",SUMPRODUCT(PRODUCT(1+M15:$M$24)),SUMPRODUCT(PRODUCT(1+M15:$M$23))),4)</f>
        <v>1.0225</v>
      </c>
      <c r="U15" s="3183">
        <f>ROUND(IF(项目基本情况!$B$8="出让",SUMPRODUCT(PRODUCT(1+N15:$N$24)),SUMPRODUCT(PRODUCT(1+N15:$N$23))),4)</f>
        <v>1.0938000000000001</v>
      </c>
      <c r="V15" s="3183">
        <f>ROUND(IF(项目基本情况!$B$8="出让",SUMPRODUCT(PRODUCT(1+O15:$O$24)),SUMPRODUCT(PRODUCT(1+O15:$O$23))),4)</f>
        <v>1.0668</v>
      </c>
      <c r="W15" s="3183">
        <f t="shared" si="106"/>
        <v>1.0225</v>
      </c>
      <c r="X15" s="3181"/>
      <c r="Y15" s="3184"/>
      <c r="Z15" s="3184"/>
      <c r="AA15" s="3184"/>
      <c r="AB15" s="3184"/>
      <c r="AC15" s="3184"/>
      <c r="AD15" s="3184"/>
      <c r="AF15" s="3458">
        <f t="shared" si="30"/>
        <v>108.60000000000001</v>
      </c>
      <c r="AG15" s="3458">
        <f t="shared" si="31"/>
        <v>104.10999999999999</v>
      </c>
      <c r="AH15" s="3458">
        <f t="shared" si="32"/>
        <v>102.25</v>
      </c>
      <c r="AI15" s="3458">
        <f t="shared" si="33"/>
        <v>109.38000000000001</v>
      </c>
      <c r="AJ15" s="3458">
        <f t="shared" si="34"/>
        <v>106.67999999999999</v>
      </c>
      <c r="AK15" s="3458">
        <f t="shared" si="35"/>
        <v>102.25</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1.0763</v>
      </c>
      <c r="S16" s="3183">
        <f>ROUND(IF(项目基本情况!$B$8="出让",SUMPRODUCT(PRODUCT(1+L16:$L$24)),SUMPRODUCT(PRODUCT(1+L16:$L$23))),4)</f>
        <v>1.0343</v>
      </c>
      <c r="T16" s="3183">
        <f>ROUND(IF(项目基本情况!$B$8="出让",SUMPRODUCT(PRODUCT(1+M16:$M$24)),SUMPRODUCT(PRODUCT(1+M16:$M$23))),4)</f>
        <v>1.0177</v>
      </c>
      <c r="U16" s="3183">
        <f>ROUND(IF(项目基本情况!$B$8="出让",SUMPRODUCT(PRODUCT(1+N16:$N$24)),SUMPRODUCT(PRODUCT(1+N16:$N$23))),4)</f>
        <v>1.0833999999999999</v>
      </c>
      <c r="V16" s="3183">
        <f>ROUND(IF(项目基本情况!$B$8="出让",SUMPRODUCT(PRODUCT(1+O16:$O$24)),SUMPRODUCT(PRODUCT(1+O16:$O$23))),4)</f>
        <v>1.0592999999999999</v>
      </c>
      <c r="W16" s="3183">
        <f t="shared" ref="W16:W23" si="107">T16</f>
        <v>1.0177</v>
      </c>
      <c r="X16" s="3181"/>
      <c r="Y16" s="3184"/>
      <c r="Z16" s="3184"/>
      <c r="AA16" s="3184"/>
      <c r="AB16" s="3184"/>
      <c r="AC16" s="3184"/>
      <c r="AD16" s="3184"/>
      <c r="AF16" s="3458">
        <f t="shared" si="30"/>
        <v>107.63000000000001</v>
      </c>
      <c r="AG16" s="3458">
        <f t="shared" si="31"/>
        <v>103.43</v>
      </c>
      <c r="AH16" s="3458">
        <f t="shared" si="32"/>
        <v>101.77000000000001</v>
      </c>
      <c r="AI16" s="3458">
        <f t="shared" si="33"/>
        <v>108.33999999999999</v>
      </c>
      <c r="AJ16" s="3458">
        <f t="shared" si="34"/>
        <v>105.92999999999999</v>
      </c>
      <c r="AK16" s="3458">
        <f t="shared" si="35"/>
        <v>101.77000000000001</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1.0668</v>
      </c>
      <c r="S17" s="3183">
        <f>ROUND(IF(项目基本情况!$B$8="出让",SUMPRODUCT(PRODUCT(1+L17:$L$24)),SUMPRODUCT(PRODUCT(1+L17:$L$23))),4)</f>
        <v>1.0266999999999999</v>
      </c>
      <c r="T17" s="3183">
        <f>ROUND(IF(项目基本情况!$B$8="出让",SUMPRODUCT(PRODUCT(1+M17:$M$24)),SUMPRODUCT(PRODUCT(1+M17:$M$23))),4)</f>
        <v>1.0119</v>
      </c>
      <c r="U17" s="3183">
        <f>ROUND(IF(项目基本情况!$B$8="出让",SUMPRODUCT(PRODUCT(1+N17:$N$24)),SUMPRODUCT(PRODUCT(1+N17:$N$23))),4)</f>
        <v>1.0734999999999999</v>
      </c>
      <c r="V17" s="3183">
        <f>ROUND(IF(项目基本情况!$B$8="出让",SUMPRODUCT(PRODUCT(1+O17:$O$24)),SUMPRODUCT(PRODUCT(1+O17:$O$23))),4)</f>
        <v>1.054</v>
      </c>
      <c r="W17" s="3183">
        <f t="shared" si="107"/>
        <v>1.0119</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106.67999999999999</v>
      </c>
      <c r="AG17" s="3458">
        <f t="shared" si="31"/>
        <v>102.66999999999999</v>
      </c>
      <c r="AH17" s="3458">
        <f t="shared" si="32"/>
        <v>101.19</v>
      </c>
      <c r="AI17" s="3458">
        <f t="shared" si="33"/>
        <v>107.35</v>
      </c>
      <c r="AJ17" s="3458">
        <f t="shared" si="34"/>
        <v>105.4</v>
      </c>
      <c r="AK17" s="3458">
        <f t="shared" si="35"/>
        <v>101.19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1.0602</v>
      </c>
      <c r="S18" s="3183">
        <f>ROUND(IF(项目基本情况!$B$8="出让",SUMPRODUCT(PRODUCT(1+L18:$L$24)),SUMPRODUCT(PRODUCT(1+L18:$L$23))),4)</f>
        <v>1.0246</v>
      </c>
      <c r="T18" s="3183">
        <f>ROUND(IF(项目基本情况!$B$8="出让",SUMPRODUCT(PRODUCT(1+M18:$M$24)),SUMPRODUCT(PRODUCT(1+M18:$M$23))),4)</f>
        <v>1.0107999999999999</v>
      </c>
      <c r="U18" s="3183">
        <f>ROUND(IF(项目基本情况!$B$8="出让",SUMPRODUCT(PRODUCT(1+N18:$N$24)),SUMPRODUCT(PRODUCT(1+N18:$N$23))),4)</f>
        <v>1.0662</v>
      </c>
      <c r="V18" s="3183">
        <f>ROUND(IF(项目基本情况!$B$8="出让",SUMPRODUCT(PRODUCT(1+O18:$O$24)),SUMPRODUCT(PRODUCT(1+O18:$O$23))),4)</f>
        <v>1.0485</v>
      </c>
      <c r="W18" s="3183">
        <f t="shared" si="107"/>
        <v>1.0107999999999999</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106.02000000000001</v>
      </c>
      <c r="AG18" s="3458">
        <f t="shared" si="31"/>
        <v>102.46</v>
      </c>
      <c r="AH18" s="3458">
        <f t="shared" si="32"/>
        <v>101.08</v>
      </c>
      <c r="AI18" s="3458">
        <f t="shared" si="33"/>
        <v>106.62</v>
      </c>
      <c r="AJ18" s="3458">
        <f t="shared" si="34"/>
        <v>104.85</v>
      </c>
      <c r="AK18" s="3458">
        <f t="shared" si="35"/>
        <v>101.08</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1.0531999999999999</v>
      </c>
      <c r="S19" s="3183">
        <f>ROUND(IF(项目基本情况!$B$8="出让",SUMPRODUCT(PRODUCT(1+L19:$L$24)),SUMPRODUCT(PRODUCT(1+L19:$L$23))),4)</f>
        <v>1.0214000000000001</v>
      </c>
      <c r="T19" s="3183">
        <f>ROUND(IF(项目基本情况!$B$8="出让",SUMPRODUCT(PRODUCT(1+M19:$M$24)),SUMPRODUCT(PRODUCT(1+M19:$M$23))),4)</f>
        <v>1.0085</v>
      </c>
      <c r="U19" s="3183">
        <f>ROUND(IF(项目基本情况!$B$8="出让",SUMPRODUCT(PRODUCT(1+N19:$N$24)),SUMPRODUCT(PRODUCT(1+N19:$N$23))),4)</f>
        <v>1.0586</v>
      </c>
      <c r="V19" s="3183">
        <f>ROUND(IF(项目基本情况!$B$8="出让",SUMPRODUCT(PRODUCT(1+O19:$O$24)),SUMPRODUCT(PRODUCT(1+O19:$O$23))),4)</f>
        <v>1.0419</v>
      </c>
      <c r="W19" s="3183">
        <f t="shared" si="107"/>
        <v>1.0085</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105.32</v>
      </c>
      <c r="AG19" s="3458">
        <f t="shared" si="31"/>
        <v>102.14000000000001</v>
      </c>
      <c r="AH19" s="3458">
        <f t="shared" si="32"/>
        <v>100.85</v>
      </c>
      <c r="AI19" s="3458">
        <f t="shared" si="33"/>
        <v>105.86</v>
      </c>
      <c r="AJ19" s="3458">
        <f t="shared" si="34"/>
        <v>104.19</v>
      </c>
      <c r="AK19" s="3458">
        <f t="shared" si="35"/>
        <v>100.85</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1.0435000000000001</v>
      </c>
      <c r="S20" s="3183">
        <f>ROUND(IF(项目基本情况!$B$8="出让",SUMPRODUCT(PRODUCT(1+L20:$L$24)),SUMPRODUCT(PRODUCT(1+L20:$L$23))),4)</f>
        <v>1.0198</v>
      </c>
      <c r="T20" s="3183">
        <f>ROUND(IF(项目基本情况!$B$8="出让",SUMPRODUCT(PRODUCT(1+M20:$M$24)),SUMPRODUCT(PRODUCT(1+M20:$M$23))),4)</f>
        <v>1.0084</v>
      </c>
      <c r="U20" s="3183">
        <f>ROUND(IF(项目基本情况!$B$8="出让",SUMPRODUCT(PRODUCT(1+N20:$N$24)),SUMPRODUCT(PRODUCT(1+N20:$N$23))),4)</f>
        <v>1.0476000000000001</v>
      </c>
      <c r="V20" s="3183">
        <f>ROUND(IF(项目基本情况!$B$8="出让",SUMPRODUCT(PRODUCT(1+O20:$O$24)),SUMPRODUCT(PRODUCT(1+O20:$O$23))),4)</f>
        <v>1.0307999999999999</v>
      </c>
      <c r="W20" s="3183">
        <f t="shared" si="107"/>
        <v>1.0084</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104.35000000000001</v>
      </c>
      <c r="AG20" s="3458">
        <f t="shared" si="31"/>
        <v>101.98</v>
      </c>
      <c r="AH20" s="3458">
        <f t="shared" si="32"/>
        <v>100.84</v>
      </c>
      <c r="AI20" s="3458">
        <f t="shared" si="33"/>
        <v>104.76</v>
      </c>
      <c r="AJ20" s="3458">
        <f t="shared" si="34"/>
        <v>103.08</v>
      </c>
      <c r="AK20" s="3458">
        <f t="shared" si="35"/>
        <v>100.84</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1.0343</v>
      </c>
      <c r="S21" s="3183">
        <f>ROUND(IF(项目基本情况!$B$8="出让",SUMPRODUCT(PRODUCT(1+L21:$L$24)),SUMPRODUCT(PRODUCT(1+L21:$L$23))),4)</f>
        <v>1.0154000000000001</v>
      </c>
      <c r="T21" s="3183">
        <f>ROUND(IF(项目基本情况!$B$8="出让",SUMPRODUCT(PRODUCT(1+M21:$M$24)),SUMPRODUCT(PRODUCT(1+M21:$M$23))),4)</f>
        <v>1.0046999999999999</v>
      </c>
      <c r="U21" s="3183">
        <f>ROUND(IF(项目基本情况!$B$8="出让",SUMPRODUCT(PRODUCT(1+N21:$N$24)),SUMPRODUCT(PRODUCT(1+N21:$N$23))),4)</f>
        <v>1.0376000000000001</v>
      </c>
      <c r="V21" s="3183">
        <f>ROUND(IF(项目基本情况!$B$8="出让",SUMPRODUCT(PRODUCT(1+O21:$O$24)),SUMPRODUCT(PRODUCT(1+O21:$O$23))),4)</f>
        <v>1.0242</v>
      </c>
      <c r="W21" s="3183">
        <f t="shared" si="107"/>
        <v>1.0046999999999999</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103.43</v>
      </c>
      <c r="AG21" s="3458">
        <f t="shared" si="31"/>
        <v>101.54</v>
      </c>
      <c r="AH21" s="3458">
        <f t="shared" si="32"/>
        <v>100.47</v>
      </c>
      <c r="AI21" s="3458">
        <f t="shared" si="33"/>
        <v>103.76</v>
      </c>
      <c r="AJ21" s="3458">
        <f t="shared" si="34"/>
        <v>102.42</v>
      </c>
      <c r="AK21" s="3458">
        <f t="shared" si="35"/>
        <v>100.47</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1.0238</v>
      </c>
      <c r="S22" s="3183">
        <f>ROUND(IF(项目基本情况!$B$8="出让",SUMPRODUCT(PRODUCT(1+L22:$L$24)),SUMPRODUCT(PRODUCT(1+L22:$L$23))),4)</f>
        <v>1.0128999999999999</v>
      </c>
      <c r="T22" s="3183">
        <f>ROUND(IF(项目基本情况!$B$8="出让",SUMPRODUCT(PRODUCT(1+M22:$M$24)),SUMPRODUCT(PRODUCT(1+M22:$M$23))),4)</f>
        <v>1.004</v>
      </c>
      <c r="U22" s="3183">
        <f>ROUND(IF(项目基本情况!$B$8="出让",SUMPRODUCT(PRODUCT(1+N22:$N$24)),SUMPRODUCT(PRODUCT(1+N22:$N$23))),4)</f>
        <v>1.0256000000000001</v>
      </c>
      <c r="V22" s="3183">
        <f>ROUND(IF(项目基本情况!$B$8="出让",SUMPRODUCT(PRODUCT(1+O22:$O$24)),SUMPRODUCT(PRODUCT(1+O22:$O$23))),4)</f>
        <v>1.0185999999999999</v>
      </c>
      <c r="W22" s="3183">
        <f t="shared" si="107"/>
        <v>1.004</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102.38000000000001</v>
      </c>
      <c r="AG22" s="3458">
        <f t="shared" si="31"/>
        <v>101.28999999999999</v>
      </c>
      <c r="AH22" s="3458">
        <f t="shared" si="32"/>
        <v>100.4</v>
      </c>
      <c r="AI22" s="3458">
        <f t="shared" si="33"/>
        <v>102.56</v>
      </c>
      <c r="AJ22" s="3458">
        <f t="shared" si="34"/>
        <v>101.86</v>
      </c>
      <c r="AK22" s="3458">
        <f t="shared" si="35"/>
        <v>100.4</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1.0189999999999999</v>
      </c>
      <c r="S23" s="3183">
        <f>ROUND(IF(项目基本情况!$B$8="出让",SUMPRODUCT(PRODUCT(1+L23:$L$24)),SUMPRODUCT(PRODUCT(1+L23:$L$23))),4)</f>
        <v>1.0087999999999999</v>
      </c>
      <c r="T23" s="3183">
        <f>ROUND(IF(项目基本情况!$B$8="出让",SUMPRODUCT(PRODUCT(1+M23:$M$24)),SUMPRODUCT(PRODUCT(1+M23:$M$23))),4)</f>
        <v>1.0016</v>
      </c>
      <c r="U23" s="3183">
        <f>ROUND(IF(项目基本情况!$B$8="出让",SUMPRODUCT(PRODUCT(1+N23:$N$24)),SUMPRODUCT(PRODUCT(1+N23:$N$23))),4)</f>
        <v>1.0206999999999999</v>
      </c>
      <c r="V23" s="3183">
        <f>ROUND(IF(项目基本情况!$B$8="出让",SUMPRODUCT(PRODUCT(1+O23:$O$24)),SUMPRODUCT(PRODUCT(1+O23:$O$23))),4)</f>
        <v>1.0137</v>
      </c>
      <c r="W23" s="3183">
        <f t="shared" si="107"/>
        <v>1.0016</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101.89999999999999</v>
      </c>
      <c r="AG23" s="3458">
        <f t="shared" si="31"/>
        <v>100.88</v>
      </c>
      <c r="AH23" s="3458">
        <f t="shared" si="32"/>
        <v>100.16000000000001</v>
      </c>
      <c r="AI23" s="3458">
        <f t="shared" si="33"/>
        <v>102.07</v>
      </c>
      <c r="AJ23" s="3458">
        <f t="shared" si="34"/>
        <v>101.37</v>
      </c>
      <c r="AK23" s="3458">
        <f t="shared" si="35"/>
        <v>100.16000000000001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14" t="s">
        <v>2827</v>
      </c>
      <c r="S29" s="3815"/>
      <c r="T29" s="3815"/>
      <c r="U29" s="3815"/>
      <c r="V29" s="3815"/>
      <c r="W29" s="3815"/>
      <c r="X29" s="3165"/>
      <c r="Y29" s="3814" t="s">
        <v>2828</v>
      </c>
      <c r="Z29" s="3815"/>
      <c r="AA29" s="3815"/>
      <c r="AB29" s="3815"/>
      <c r="AC29" s="3815"/>
      <c r="AD29" s="381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1.0153000000000001</v>
      </c>
      <c r="T33" s="3183">
        <f>ROUND(IF(项目基本情况!$B$8="出让",SUMPRODUCT(PRODUCT(1+M33:M$52)),SUMPRODUCT(PRODUCT(1+M33:M$51))),4)</f>
        <v>1.0016</v>
      </c>
      <c r="U33" s="3183">
        <f>ROUND(IF(项目基本情况!$B$8="出让",SUMPRODUCT(PRODUCT(1+N33:N$52)),SUMPRODUCT(PRODUCT(1+N33:N$51))),4)</f>
        <v>1.044</v>
      </c>
      <c r="V33" s="3183"/>
      <c r="W33" s="3183">
        <f t="shared" ref="W33:W39" si="124">T33</f>
        <v>1.0016</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101.53000000000002</v>
      </c>
      <c r="AH33" s="3458">
        <f t="shared" ref="AH33:AH50" si="130">$AG$52*T33</f>
        <v>100.16000000000001</v>
      </c>
      <c r="AI33" s="3458">
        <f t="shared" ref="AI33:AI50" si="131">$AG$52*U33</f>
        <v>104.4</v>
      </c>
      <c r="AJ33" s="3460"/>
      <c r="AK33" s="3458">
        <f t="shared" ref="AK33:AK50" si="132">$AG$52*W33</f>
        <v>100.16000000000001</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1.0153000000000001</v>
      </c>
      <c r="T34" s="3183">
        <f>ROUND(IF(项目基本情况!$B$8="出让",SUMPRODUCT(PRODUCT(1+M34:M$52)),SUMPRODUCT(PRODUCT(1+M34:M$51))),4)</f>
        <v>1.0016</v>
      </c>
      <c r="U34" s="3183">
        <f>ROUND(IF(项目基本情况!$B$8="出让",SUMPRODUCT(PRODUCT(1+N34:N$52)),SUMPRODUCT(PRODUCT(1+N34:N$51))),4)</f>
        <v>1.044</v>
      </c>
      <c r="V34" s="3183"/>
      <c r="W34" s="3183">
        <f t="shared" si="124"/>
        <v>1.0016</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101.53000000000002</v>
      </c>
      <c r="AH34" s="3458">
        <f t="shared" si="130"/>
        <v>100.16000000000001</v>
      </c>
      <c r="AI34" s="3458">
        <f t="shared" si="131"/>
        <v>104.4</v>
      </c>
      <c r="AJ34" s="3460"/>
      <c r="AK34" s="3458">
        <f t="shared" si="132"/>
        <v>100.16000000000001</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1.0153000000000001</v>
      </c>
      <c r="T35" s="3192">
        <f>ROUND(IF(项目基本情况!$B$8="出让",SUMPRODUCT(PRODUCT(1+M35:M$52)),SUMPRODUCT(PRODUCT(1+M35:M$51))),4)</f>
        <v>1.0016</v>
      </c>
      <c r="U35" s="3192">
        <f>ROUND(IF(项目基本情况!$B$8="出让",SUMPRODUCT(PRODUCT(1+N35:N$52)),SUMPRODUCT(PRODUCT(1+N35:N$51))),4)</f>
        <v>1.044</v>
      </c>
      <c r="V35" s="3192"/>
      <c r="W35" s="3192">
        <f t="shared" si="124"/>
        <v>1.0016</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101.53000000000002</v>
      </c>
      <c r="AH35" s="3459">
        <f t="shared" si="130"/>
        <v>100.16000000000001</v>
      </c>
      <c r="AI35" s="3459">
        <f t="shared" si="131"/>
        <v>104.4</v>
      </c>
      <c r="AJ35" s="3461"/>
      <c r="AK35" s="3459">
        <f t="shared" si="132"/>
        <v>100.16000000000001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1.0185</v>
      </c>
      <c r="T36" s="3183">
        <f>ROUND(IF(项目基本情况!$B$8="出让",SUMPRODUCT(PRODUCT(1+M36:M$52)),SUMPRODUCT(PRODUCT(1+M36:M$51))),4)</f>
        <v>1.012</v>
      </c>
      <c r="U36" s="3183">
        <f>ROUND(IF(项目基本情况!$B$8="出让",SUMPRODUCT(PRODUCT(1+N36:N$52)),SUMPRODUCT(PRODUCT(1+N36:N$51))),4)</f>
        <v>1.0436000000000001</v>
      </c>
      <c r="V36" s="3183"/>
      <c r="W36" s="3183">
        <f t="shared" si="124"/>
        <v>1.012</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101.85</v>
      </c>
      <c r="AH36" s="3458">
        <f t="shared" si="130"/>
        <v>101.2</v>
      </c>
      <c r="AI36" s="3458">
        <f t="shared" si="131"/>
        <v>104.36000000000001</v>
      </c>
      <c r="AJ36" s="3460"/>
      <c r="AK36" s="3458">
        <f t="shared" si="132"/>
        <v>101.2</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1.0337000000000001</v>
      </c>
      <c r="T37" s="3183">
        <f>ROUND(IF(项目基本情况!$B$8="出让",SUMPRODUCT(PRODUCT(1+M37:M$52)),SUMPRODUCT(PRODUCT(1+M37:M$51))),4)</f>
        <v>1.022</v>
      </c>
      <c r="U37" s="3183">
        <f>ROUND(IF(项目基本情况!$B$8="出让",SUMPRODUCT(PRODUCT(1+N37:N$52)),SUMPRODUCT(PRODUCT(1+N37:N$51))),4)</f>
        <v>1.0489999999999999</v>
      </c>
      <c r="V37" s="3183"/>
      <c r="W37" s="3183">
        <f t="shared" si="124"/>
        <v>1.022</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103.37</v>
      </c>
      <c r="AH37" s="3458">
        <f t="shared" si="130"/>
        <v>102.2</v>
      </c>
      <c r="AI37" s="3458">
        <f t="shared" si="131"/>
        <v>104.89999999999999</v>
      </c>
      <c r="AJ37" s="3460"/>
      <c r="AK37" s="3458">
        <f t="shared" si="132"/>
        <v>102.2</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1.04</v>
      </c>
      <c r="T38" s="3183">
        <f>ROUND(IF(项目基本情况!$B$8="出让",SUMPRODUCT(PRODUCT(1+M38:M$52)),SUMPRODUCT(PRODUCT(1+M38:M$51))),4)</f>
        <v>1.0293000000000001</v>
      </c>
      <c r="U38" s="3183">
        <f>ROUND(IF(项目基本情况!$B$8="出让",SUMPRODUCT(PRODUCT(1+N38:N$52)),SUMPRODUCT(PRODUCT(1+N38:N$51))),4)</f>
        <v>1.0583</v>
      </c>
      <c r="V38" s="3183"/>
      <c r="W38" s="3183">
        <f t="shared" si="124"/>
        <v>1.0293000000000001</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104</v>
      </c>
      <c r="AH38" s="3458">
        <f t="shared" si="130"/>
        <v>102.93</v>
      </c>
      <c r="AI38" s="3458">
        <f t="shared" si="131"/>
        <v>105.83</v>
      </c>
      <c r="AJ38" s="3460"/>
      <c r="AK38" s="3458">
        <f t="shared" si="132"/>
        <v>102.93</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1.0468999999999999</v>
      </c>
      <c r="T39" s="3183">
        <f>ROUND(IF(项目基本情况!$B$8="出让",SUMPRODUCT(PRODUCT(1+M39:M$52)),SUMPRODUCT(PRODUCT(1+M39:M$51))),4)</f>
        <v>1.0347</v>
      </c>
      <c r="U39" s="3183">
        <f>ROUND(IF(项目基本情况!$B$8="出让",SUMPRODUCT(PRODUCT(1+N39:N$52)),SUMPRODUCT(PRODUCT(1+N39:N$51))),4)</f>
        <v>1.0895999999999999</v>
      </c>
      <c r="V39" s="3183"/>
      <c r="W39" s="3183">
        <f t="shared" si="124"/>
        <v>1.0347</v>
      </c>
      <c r="X39" s="3181"/>
      <c r="Y39" s="3184"/>
      <c r="Z39" s="3212">
        <f t="shared" si="173"/>
        <v>3.3E-3</v>
      </c>
      <c r="AA39" s="3214">
        <f t="shared" si="173"/>
        <v>2.3999999999999998E-3</v>
      </c>
      <c r="AB39" s="3184">
        <f t="shared" si="173"/>
        <v>6.1999999999999998E-3</v>
      </c>
      <c r="AC39" s="3213"/>
      <c r="AD39" s="3184">
        <f t="shared" si="128"/>
        <v>2.3999999999999998E-3</v>
      </c>
      <c r="AG39" s="3458">
        <f t="shared" si="129"/>
        <v>104.69</v>
      </c>
      <c r="AH39" s="3458">
        <f t="shared" si="130"/>
        <v>103.47</v>
      </c>
      <c r="AI39" s="3458">
        <f t="shared" si="131"/>
        <v>108.96</v>
      </c>
      <c r="AJ39" s="3460"/>
      <c r="AK39" s="3458">
        <f t="shared" si="132"/>
        <v>103.47</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1.0502</v>
      </c>
      <c r="T40" s="3183">
        <f>ROUND(IF(项目基本情况!$B$8="出让",SUMPRODUCT(PRODUCT(1+M40:M$52)),SUMPRODUCT(PRODUCT(1+M40:M$51))),4)</f>
        <v>1.0387999999999999</v>
      </c>
      <c r="U40" s="3183">
        <f>ROUND(IF(项目基本情况!$B$8="出让",SUMPRODUCT(PRODUCT(1+N40:N$52)),SUMPRODUCT(PRODUCT(1+N40:N$51))),4)</f>
        <v>1.0763</v>
      </c>
      <c r="V40" s="3183"/>
      <c r="W40" s="3183">
        <f t="shared" ref="W40" si="181">T40</f>
        <v>1.0387999999999999</v>
      </c>
      <c r="X40" s="3181"/>
      <c r="Y40" s="3184"/>
      <c r="Z40" s="3212"/>
      <c r="AA40" s="3214"/>
      <c r="AB40" s="3184"/>
      <c r="AC40" s="3213"/>
      <c r="AD40" s="3184"/>
      <c r="AG40" s="3458">
        <f t="shared" si="129"/>
        <v>105.02</v>
      </c>
      <c r="AH40" s="3458">
        <f t="shared" si="130"/>
        <v>103.88</v>
      </c>
      <c r="AI40" s="3458">
        <f t="shared" si="131"/>
        <v>107.63000000000001</v>
      </c>
      <c r="AJ40" s="3460"/>
      <c r="AK40" s="3458">
        <f t="shared" si="132"/>
        <v>103.88</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1.0476000000000001</v>
      </c>
      <c r="T41" s="3183">
        <f>ROUND(IF(项目基本情况!$B$8="出让",SUMPRODUCT(PRODUCT(1+M41:M$52)),SUMPRODUCT(PRODUCT(1+M41:M$51))),4)</f>
        <v>1.0346</v>
      </c>
      <c r="U41" s="3183">
        <f>ROUND(IF(项目基本情况!$B$8="出让",SUMPRODUCT(PRODUCT(1+N41:N$52)),SUMPRODUCT(PRODUCT(1+N41:N$51))),4)</f>
        <v>1.0831999999999999</v>
      </c>
      <c r="V41" s="3183"/>
      <c r="W41" s="3183">
        <f t="shared" ref="W41" si="183">T41</f>
        <v>1.0346</v>
      </c>
      <c r="X41" s="3181"/>
      <c r="Y41" s="3184"/>
      <c r="Z41" s="3212"/>
      <c r="AA41" s="3214"/>
      <c r="AB41" s="3184"/>
      <c r="AC41" s="3213"/>
      <c r="AD41" s="3184"/>
      <c r="AG41" s="3458">
        <f t="shared" si="129"/>
        <v>104.76</v>
      </c>
      <c r="AH41" s="3458">
        <f t="shared" si="130"/>
        <v>103.46</v>
      </c>
      <c r="AI41" s="3458">
        <f t="shared" si="131"/>
        <v>108.32</v>
      </c>
      <c r="AJ41" s="3460"/>
      <c r="AK41" s="3458">
        <f t="shared" si="132"/>
        <v>103.46</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1.0468</v>
      </c>
      <c r="T42" s="3183">
        <f>ROUND(IF(项目基本情况!$B$8="出让",SUMPRODUCT(PRODUCT(1+M42:M$52)),SUMPRODUCT(PRODUCT(1+M42:M$51))),4)</f>
        <v>1.0337000000000001</v>
      </c>
      <c r="U42" s="3183">
        <f>ROUND(IF(项目基本情况!$B$8="出让",SUMPRODUCT(PRODUCT(1+N42:N$52)),SUMPRODUCT(PRODUCT(1+N42:N$51))),4)</f>
        <v>1.0828</v>
      </c>
      <c r="V42" s="3183"/>
      <c r="W42" s="3183">
        <f t="shared" ref="W42:W44" si="188">T42</f>
        <v>1.0337000000000001</v>
      </c>
      <c r="X42" s="3181"/>
      <c r="Y42" s="3184"/>
      <c r="Z42" s="3212"/>
      <c r="AA42" s="3214"/>
      <c r="AB42" s="3184"/>
      <c r="AC42" s="3213"/>
      <c r="AD42" s="3184"/>
      <c r="AG42" s="3458">
        <f t="shared" si="129"/>
        <v>104.67999999999999</v>
      </c>
      <c r="AH42" s="3458">
        <f t="shared" si="130"/>
        <v>103.37</v>
      </c>
      <c r="AI42" s="3458">
        <f t="shared" si="131"/>
        <v>108.28</v>
      </c>
      <c r="AJ42" s="3460"/>
      <c r="AK42" s="3458">
        <f t="shared" si="132"/>
        <v>103.37</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1.0431999999999999</v>
      </c>
      <c r="T43" s="3183">
        <f>ROUND(IF(项目基本情况!$B$8="出让",SUMPRODUCT(PRODUCT(1+M43:M$52)),SUMPRODUCT(PRODUCT(1+M43:M$51))),4)</f>
        <v>1.0319</v>
      </c>
      <c r="U43" s="3183">
        <f>ROUND(IF(项目基本情况!$B$8="出让",SUMPRODUCT(PRODUCT(1+N43:N$52)),SUMPRODUCT(PRODUCT(1+N43:N$51))),4)</f>
        <v>1.0771999999999999</v>
      </c>
      <c r="V43" s="3183"/>
      <c r="W43" s="3183">
        <f t="shared" si="188"/>
        <v>1.0319</v>
      </c>
      <c r="X43" s="3181"/>
      <c r="Y43" s="3184"/>
      <c r="Z43" s="3212"/>
      <c r="AA43" s="3214"/>
      <c r="AB43" s="3184"/>
      <c r="AC43" s="3213"/>
      <c r="AD43" s="3184"/>
      <c r="AG43" s="3458">
        <f t="shared" si="129"/>
        <v>104.32</v>
      </c>
      <c r="AH43" s="3458">
        <f t="shared" si="130"/>
        <v>103.19</v>
      </c>
      <c r="AI43" s="3458">
        <f t="shared" si="131"/>
        <v>107.72</v>
      </c>
      <c r="AJ43" s="3460"/>
      <c r="AK43" s="3458">
        <f t="shared" si="132"/>
        <v>103.19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1.038</v>
      </c>
      <c r="T44" s="3183">
        <f>ROUND(IF(项目基本情况!$B$8="出让",SUMPRODUCT(PRODUCT(1+M44:M$52)),SUMPRODUCT(PRODUCT(1+M44:M$51))),4)</f>
        <v>1.0273000000000001</v>
      </c>
      <c r="U44" s="3183">
        <f>ROUND(IF(项目基本情况!$B$8="出让",SUMPRODUCT(PRODUCT(1+N44:N$52)),SUMPRODUCT(PRODUCT(1+N44:N$51))),4)</f>
        <v>1.0677000000000001</v>
      </c>
      <c r="V44" s="3183"/>
      <c r="W44" s="3183">
        <f t="shared" si="188"/>
        <v>1.0273000000000001</v>
      </c>
      <c r="X44" s="3181"/>
      <c r="Y44" s="3184"/>
      <c r="Z44" s="3212"/>
      <c r="AA44" s="3214"/>
      <c r="AB44" s="3184"/>
      <c r="AC44" s="3213"/>
      <c r="AD44" s="3184"/>
      <c r="AG44" s="3458">
        <f t="shared" si="129"/>
        <v>103.8</v>
      </c>
      <c r="AH44" s="3458">
        <f t="shared" si="130"/>
        <v>102.73</v>
      </c>
      <c r="AI44" s="3458">
        <f t="shared" si="131"/>
        <v>106.77000000000001</v>
      </c>
      <c r="AJ44" s="3460"/>
      <c r="AK44" s="3458">
        <f t="shared" si="132"/>
        <v>102.73</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1.0323</v>
      </c>
      <c r="T45" s="3183">
        <f>ROUND(IF(项目基本情况!$B$8="出让",SUMPRODUCT(PRODUCT(1+M45:M$52)),SUMPRODUCT(PRODUCT(1+M45:M$51))),4)</f>
        <v>1.0213000000000001</v>
      </c>
      <c r="U45" s="3183">
        <f>ROUND(IF(项目基本情况!$B$8="出让",SUMPRODUCT(PRODUCT(1+N45:N$52)),SUMPRODUCT(PRODUCT(1+N45:N$51))),4)</f>
        <v>1.0609</v>
      </c>
      <c r="V45" s="3183"/>
      <c r="W45" s="3183">
        <f t="shared" ref="W45:W52" si="190">T45</f>
        <v>1.0213000000000001</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103.23</v>
      </c>
      <c r="AH45" s="3458">
        <f t="shared" si="130"/>
        <v>102.13000000000001</v>
      </c>
      <c r="AI45" s="3458">
        <f t="shared" si="131"/>
        <v>106.08999999999999</v>
      </c>
      <c r="AJ45" s="3460"/>
      <c r="AK45" s="3458">
        <f t="shared" si="132"/>
        <v>102.13000000000001</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1.0277000000000001</v>
      </c>
      <c r="T46" s="3183">
        <f>ROUND(IF(项目基本情况!$B$8="出让",SUMPRODUCT(PRODUCT(1+M46:M$52)),SUMPRODUCT(PRODUCT(1+M46:M$51))),4)</f>
        <v>1.0192000000000001</v>
      </c>
      <c r="U46" s="3183">
        <f>ROUND(IF(项目基本情况!$B$8="出让",SUMPRODUCT(PRODUCT(1+N46:N$52)),SUMPRODUCT(PRODUCT(1+N46:N$51))),4)</f>
        <v>1.0569</v>
      </c>
      <c r="V46" s="3183"/>
      <c r="W46" s="3183">
        <f t="shared" si="190"/>
        <v>1.0192000000000001</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102.77000000000001</v>
      </c>
      <c r="AH46" s="3458">
        <f t="shared" si="130"/>
        <v>101.92000000000002</v>
      </c>
      <c r="AI46" s="3458">
        <f t="shared" si="131"/>
        <v>105.69</v>
      </c>
      <c r="AJ46" s="3460"/>
      <c r="AK46" s="3458">
        <f t="shared" si="132"/>
        <v>101.92000000000002</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1.0246</v>
      </c>
      <c r="T47" s="3183">
        <f>ROUND(IF(项目基本情况!$B$8="出让",SUMPRODUCT(PRODUCT(1+M47:M$52)),SUMPRODUCT(PRODUCT(1+M47:M$51))),4)</f>
        <v>1.0163</v>
      </c>
      <c r="U47" s="3183">
        <f>ROUND(IF(项目基本情况!$B$8="出让",SUMPRODUCT(PRODUCT(1+N47:N$52)),SUMPRODUCT(PRODUCT(1+N47:N$51))),4)</f>
        <v>1.0482</v>
      </c>
      <c r="V47" s="3183"/>
      <c r="W47" s="3183">
        <f t="shared" si="190"/>
        <v>1.0163</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102.46</v>
      </c>
      <c r="AH47" s="3458">
        <f t="shared" si="130"/>
        <v>101.63</v>
      </c>
      <c r="AI47" s="3458">
        <f t="shared" si="131"/>
        <v>104.82000000000001</v>
      </c>
      <c r="AJ47" s="3460"/>
      <c r="AK47" s="3458">
        <f t="shared" si="132"/>
        <v>101.63</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1.0258</v>
      </c>
      <c r="T48" s="3183">
        <f>ROUND(IF(项目基本情况!$B$8="出让",SUMPRODUCT(PRODUCT(1+M48:M$52)),SUMPRODUCT(PRODUCT(1+M48:M$51))),4)</f>
        <v>1.0176000000000001</v>
      </c>
      <c r="U48" s="3183">
        <f>ROUND(IF(项目基本情况!$B$8="出让",SUMPRODUCT(PRODUCT(1+N48:N$52)),SUMPRODUCT(PRODUCT(1+N48:N$51))),4)</f>
        <v>1.0427</v>
      </c>
      <c r="V48" s="3183"/>
      <c r="W48" s="3183">
        <f t="shared" si="190"/>
        <v>1.0176000000000001</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102.58</v>
      </c>
      <c r="AH48" s="3458">
        <f t="shared" si="130"/>
        <v>101.76</v>
      </c>
      <c r="AI48" s="3458">
        <f t="shared" si="131"/>
        <v>104.27</v>
      </c>
      <c r="AJ48" s="3460"/>
      <c r="AK48" s="3458">
        <f t="shared" si="132"/>
        <v>101.76</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1.0196000000000001</v>
      </c>
      <c r="T49" s="3183">
        <f>ROUND(IF(项目基本情况!$B$8="出让",SUMPRODUCT(PRODUCT(1+M49:M$52)),SUMPRODUCT(PRODUCT(1+M49:M$51))),4)</f>
        <v>1.0130999999999999</v>
      </c>
      <c r="U49" s="3183">
        <f>ROUND(IF(项目基本情况!$B$8="出让",SUMPRODUCT(PRODUCT(1+N49:N$52)),SUMPRODUCT(PRODUCT(1+N49:N$51))),4)</f>
        <v>1.0371999999999999</v>
      </c>
      <c r="V49" s="3183"/>
      <c r="W49" s="3183">
        <f t="shared" si="190"/>
        <v>1.0130999999999999</v>
      </c>
      <c r="X49" s="3181"/>
      <c r="Y49" s="3184"/>
      <c r="Z49" s="3212">
        <f t="shared" si="191"/>
        <v>4.8999999999999998E-3</v>
      </c>
      <c r="AA49" s="3214">
        <f t="shared" si="191"/>
        <v>3.3E-3</v>
      </c>
      <c r="AB49" s="3184">
        <f t="shared" si="191"/>
        <v>9.1999999999999998E-3</v>
      </c>
      <c r="AC49" s="3213"/>
      <c r="AD49" s="3184">
        <f t="shared" si="191"/>
        <v>3.3E-3</v>
      </c>
      <c r="AG49" s="3458">
        <f t="shared" si="129"/>
        <v>101.96000000000001</v>
      </c>
      <c r="AH49" s="3458">
        <f t="shared" si="130"/>
        <v>101.30999999999999</v>
      </c>
      <c r="AI49" s="3458">
        <f t="shared" si="131"/>
        <v>103.71999999999998</v>
      </c>
      <c r="AJ49" s="3460"/>
      <c r="AK49" s="3458">
        <f t="shared" si="132"/>
        <v>101.30999999999999</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1.0138</v>
      </c>
      <c r="T50" s="3183">
        <f>ROUND(IF(项目基本情况!$B$8="出让",SUMPRODUCT(PRODUCT(1+M50:M$52)),SUMPRODUCT(PRODUCT(1+M50:M$51))),4)</f>
        <v>1.0122</v>
      </c>
      <c r="U50" s="3183">
        <f>ROUND(IF(项目基本情况!$B$8="出让",SUMPRODUCT(PRODUCT(1+N50:N$52)),SUMPRODUCT(PRODUCT(1+N50:N$51))),4)</f>
        <v>1.0302</v>
      </c>
      <c r="V50" s="3183"/>
      <c r="W50" s="3183">
        <f t="shared" si="190"/>
        <v>1.0122</v>
      </c>
      <c r="X50" s="3181"/>
      <c r="Y50" s="3184"/>
      <c r="Z50" s="3212">
        <f t="shared" si="191"/>
        <v>4.5999999999999999E-3</v>
      </c>
      <c r="AA50" s="3214">
        <f t="shared" si="191"/>
        <v>4.1000000000000003E-3</v>
      </c>
      <c r="AB50" s="3184">
        <f t="shared" si="191"/>
        <v>0.01</v>
      </c>
      <c r="AC50" s="3213"/>
      <c r="AD50" s="3184">
        <f t="shared" si="191"/>
        <v>4.1000000000000003E-3</v>
      </c>
      <c r="AG50" s="3458">
        <f t="shared" si="129"/>
        <v>101.38000000000001</v>
      </c>
      <c r="AH50" s="3458">
        <f t="shared" si="130"/>
        <v>101.22</v>
      </c>
      <c r="AI50" s="3458">
        <f t="shared" si="131"/>
        <v>103.02</v>
      </c>
      <c r="AJ50" s="3460"/>
      <c r="AK50" s="3458">
        <f t="shared" si="132"/>
        <v>101.22</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1.0089999999999999</v>
      </c>
      <c r="T51" s="3183">
        <f>ROUND(IF(项目基本情况!$B$8="出让",SUMPRODUCT(PRODUCT(1+M51:M$52)),SUMPRODUCT(PRODUCT(1+M51:M$51))),4)</f>
        <v>1.0094000000000001</v>
      </c>
      <c r="U51" s="3183">
        <f>ROUND(IF(项目基本情况!$B$8="出让",SUMPRODUCT(PRODUCT(1+N51:N$52)),SUMPRODUCT(PRODUCT(1+N51:N$51))),4)</f>
        <v>1.0208999999999999</v>
      </c>
      <c r="V51" s="3183"/>
      <c r="W51" s="3183">
        <f t="shared" si="190"/>
        <v>1.0094000000000001</v>
      </c>
      <c r="X51" s="3181"/>
      <c r="Y51" s="3184"/>
      <c r="Z51" s="3212">
        <f t="shared" si="191"/>
        <v>4.4999999999999997E-3</v>
      </c>
      <c r="AA51" s="3214">
        <f t="shared" si="191"/>
        <v>4.7000000000000002E-3</v>
      </c>
      <c r="AB51" s="3184">
        <f t="shared" si="191"/>
        <v>1.04E-2</v>
      </c>
      <c r="AC51" s="3213"/>
      <c r="AD51" s="3184">
        <f t="shared" si="191"/>
        <v>4.7000000000000002E-3</v>
      </c>
      <c r="AG51" s="3458">
        <f>$AG$52*S51</f>
        <v>100.89999999999999</v>
      </c>
      <c r="AH51" s="3458">
        <f t="shared" ref="AH51:AK51" si="192">$AG$52*T51</f>
        <v>100.94000000000001</v>
      </c>
      <c r="AI51" s="3458">
        <f t="shared" si="192"/>
        <v>102.08999999999999</v>
      </c>
      <c r="AJ51" s="3460"/>
      <c r="AK51" s="3458">
        <f t="shared" si="192"/>
        <v>100.94000000000001</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1" t="s">
        <v>452</v>
      </c>
      <c r="C1" s="3821"/>
      <c r="D1" s="3821"/>
      <c r="E1" s="3821"/>
      <c r="F1" s="3821"/>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1.6117999999999999</v>
      </c>
      <c r="Y15" s="2210">
        <f>ROUND(IF(项目基本情况!B8="出让",SUMPRODUCT(PRODUCT(1+O15:O$40)),SUMPRODUCT(PRODUCT(1+O15:O$39))),4)</f>
        <v>1.3788</v>
      </c>
      <c r="Z15" s="2210">
        <f t="shared" ref="Z15" si="124">Y15</f>
        <v>1.3788</v>
      </c>
      <c r="AA15" s="2210">
        <f>ROUND(IF(项目基本情况!B8="出让",SUMPRODUCT(PRODUCT(1+P15:P$40)),SUMPRODUCT(PRODUCT(1+P15:P$39))),4)</f>
        <v>1.6872</v>
      </c>
      <c r="AB15" s="2210">
        <f>ROUND(IF(项目基本情况!B8="出让",SUMPRODUCT(PRODUCT(1+Q15:Q$40)),SUMPRODUCT(PRODUCT(1+Q15:Q$39))),4)</f>
        <v>1.4069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1.6068</v>
      </c>
      <c r="Y16" s="2210">
        <f>ROUND(IF(项目基本情况!B8="出让",SUMPRODUCT(PRODUCT(1+O16:O$40)),SUMPRODUCT(PRODUCT(1+O16:O$39))),4)</f>
        <v>1.3895999999999999</v>
      </c>
      <c r="Z16" s="2210">
        <f t="shared" ref="Z16" si="138">Y16</f>
        <v>1.3895999999999999</v>
      </c>
      <c r="AA16" s="2210">
        <f>ROUND(IF(项目基本情况!B8="出让",SUMPRODUCT(PRODUCT(1+P16:P$40)),SUMPRODUCT(PRODUCT(1+P16:P$39))),4)</f>
        <v>1.6788000000000001</v>
      </c>
      <c r="AB16" s="2210">
        <f>ROUND(IF(项目基本情况!B8="出让",SUMPRODUCT(PRODUCT(1+Q16:Q$40)),SUMPRODUCT(PRODUCT(1+Q16:Q$39))),4)</f>
        <v>1.4004000000000001</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1.6049</v>
      </c>
      <c r="Y17" s="2210">
        <f>ROUND(IF(项目基本情况!B8="出让",SUMPRODUCT(PRODUCT(1+O17:O$40)),SUMPRODUCT(PRODUCT(1+O17:O$39))),4)</f>
        <v>1.3952</v>
      </c>
      <c r="Z17" s="2210">
        <f t="shared" ref="Z17" si="149">Y17</f>
        <v>1.3952</v>
      </c>
      <c r="AA17" s="2210">
        <f>ROUND(IF(项目基本情况!B8="出让",SUMPRODUCT(PRODUCT(1+P17:P$40)),SUMPRODUCT(PRODUCT(1+P17:P$39))),4)</f>
        <v>1.6753</v>
      </c>
      <c r="AB17" s="2210">
        <f>ROUND(IF(项目基本情况!B8="出让",SUMPRODUCT(PRODUCT(1+Q17:Q$40)),SUMPRODUCT(PRODUCT(1+Q17:Q$39))),4)</f>
        <v>1.3966000000000001</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1.5976999999999999</v>
      </c>
      <c r="Y18" s="2210">
        <f>ROUND(IF(项目基本情况!B8="出让",SUMPRODUCT(PRODUCT(1+O18:O$40)),SUMPRODUCT(PRODUCT(1+O18:O$39))),4)</f>
        <v>1.3969</v>
      </c>
      <c r="Z18" s="2210">
        <f t="shared" ref="Z18" si="159">Y18</f>
        <v>1.3969</v>
      </c>
      <c r="AA18" s="2210">
        <f>ROUND(IF(项目基本情况!B8="出让",SUMPRODUCT(PRODUCT(1+P18:P$40)),SUMPRODUCT(PRODUCT(1+P18:P$39))),4)</f>
        <v>1.6662999999999999</v>
      </c>
      <c r="AB18" s="2210">
        <f>ROUND(IF(项目基本情况!B8="出让",SUMPRODUCT(PRODUCT(1+Q18:Q$40)),SUMPRODUCT(PRODUCT(1+Q18:Q$39))),4)</f>
        <v>1.3898999999999999</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1.5880000000000001</v>
      </c>
      <c r="Y19" s="2210">
        <f>ROUND(IF(项目基本情况!B8="出让",SUMPRODUCT(PRODUCT(1+O19:O$40)),SUMPRODUCT(PRODUCT(1+O19:O$39))),4)</f>
        <v>1.3875999999999999</v>
      </c>
      <c r="Z19" s="2210">
        <f t="shared" ref="Z19" si="169">Y19</f>
        <v>1.3875999999999999</v>
      </c>
      <c r="AA19" s="2210">
        <f>ROUND(IF(项目基本情况!B8="出让",SUMPRODUCT(PRODUCT(1+P19:P$40)),SUMPRODUCT(PRODUCT(1+P19:P$39))),4)</f>
        <v>1.6563000000000001</v>
      </c>
      <c r="AB19" s="2210">
        <f>ROUND(IF(项目基本情况!B8="出让",SUMPRODUCT(PRODUCT(1+Q19:Q$40)),SUMPRODUCT(PRODUCT(1+Q19:Q$39))),4)</f>
        <v>1.3756999999999999</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1.5641</v>
      </c>
      <c r="Y20" s="2210">
        <f>ROUND(IF(项目基本情况!B8="出让",SUMPRODUCT(PRODUCT(1+O20:O$40)),SUMPRODUCT(PRODUCT(1+O20:O$39))),4)</f>
        <v>1.3736999999999999</v>
      </c>
      <c r="Z20" s="2210">
        <f t="shared" ref="Z20" si="182">Y20</f>
        <v>1.3736999999999999</v>
      </c>
      <c r="AA20" s="2210">
        <f>ROUND(IF(项目基本情况!B8="出让",SUMPRODUCT(PRODUCT(1+P20:P$40)),SUMPRODUCT(PRODUCT(1+P20:P$39))),4)</f>
        <v>1.6298999999999999</v>
      </c>
      <c r="AB20" s="2210">
        <f>ROUND(IF(项目基本情况!B8="出让",SUMPRODUCT(PRODUCT(1+Q20:Q$40)),SUMPRODUCT(PRODUCT(1+Q20:Q$39))),4)</f>
        <v>1.3588</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29" t="s">
        <v>2839</v>
      </c>
      <c r="B1" s="3829"/>
      <c r="C1" s="3829"/>
      <c r="D1" s="3829"/>
      <c r="E1" s="3829"/>
      <c r="F1" s="3829"/>
      <c r="G1" s="383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2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2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45902</v>
      </c>
      <c r="D1" s="1302" t="s">
        <v>603</v>
      </c>
      <c r="E1" s="1297">
        <f>'数据-取费表'!B22</f>
        <v>2</v>
      </c>
      <c r="F1" s="1302" t="s">
        <v>604</v>
      </c>
      <c r="G1" s="1298">
        <f ca="1">IF(OR(C1&lt;C27,E1&lt;=1),INDIRECT("d"&amp;$K$1)/100,ROUND((D5+(E1-C5)*(D7-D5)/(C7-C5))/100,4))</f>
        <v>3.1300000000000001E-2</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8"/>
  <sheetViews>
    <sheetView topLeftCell="A52" workbookViewId="0">
      <selection activeCell="J18" sqref="J18"/>
    </sheetView>
  </sheetViews>
  <sheetFormatPr defaultRowHeight="13.5"/>
  <cols>
    <col min="1" max="1" width="24" style="3254" customWidth="1"/>
    <col min="2" max="2" width="11.875" style="3254" customWidth="1"/>
    <col min="3" max="4" width="10.75" style="3254" customWidth="1"/>
    <col min="5" max="16384" width="9" style="3254"/>
  </cols>
  <sheetData>
    <row r="2" spans="1:14">
      <c r="A2" s="3832" t="s">
        <v>3491</v>
      </c>
    </row>
    <row r="3" spans="1:14">
      <c r="A3" s="3831" t="s">
        <v>3482</v>
      </c>
      <c r="B3" s="3831" t="s">
        <v>3484</v>
      </c>
      <c r="C3" s="3831" t="s">
        <v>3485</v>
      </c>
      <c r="D3" s="3831" t="s">
        <v>3497</v>
      </c>
      <c r="E3" s="3831" t="s">
        <v>3486</v>
      </c>
    </row>
    <row r="4" spans="1:14">
      <c r="A4" s="3831" t="s">
        <v>3483</v>
      </c>
      <c r="B4" s="3254">
        <v>2800</v>
      </c>
      <c r="C4" s="3831">
        <f>3360*10000/B4</f>
        <v>12000</v>
      </c>
      <c r="D4" s="3831" t="s">
        <v>3498</v>
      </c>
      <c r="E4" s="3831" t="s">
        <v>3488</v>
      </c>
    </row>
    <row r="5" spans="1:14">
      <c r="A5" s="3831" t="s">
        <v>3487</v>
      </c>
      <c r="B5" s="3254">
        <v>2000</v>
      </c>
      <c r="C5" s="3254">
        <f>2800*10000/B5</f>
        <v>14000</v>
      </c>
      <c r="D5" s="3831" t="s">
        <v>3500</v>
      </c>
      <c r="E5" s="3831" t="s">
        <v>3494</v>
      </c>
      <c r="N5" s="3254">
        <f>333/B5</f>
        <v>0.16650000000000001</v>
      </c>
    </row>
    <row r="6" spans="1:14">
      <c r="A6" s="3831" t="s">
        <v>3489</v>
      </c>
      <c r="B6" s="3254">
        <v>2250</v>
      </c>
      <c r="C6" s="3254">
        <f>2700*10000/B6</f>
        <v>12000</v>
      </c>
      <c r="D6" s="3831" t="s">
        <v>3501</v>
      </c>
      <c r="E6" s="3831" t="s">
        <v>3490</v>
      </c>
    </row>
    <row r="7" spans="1:14">
      <c r="A7" s="3831" t="s">
        <v>3502</v>
      </c>
      <c r="B7" s="3254">
        <v>2220</v>
      </c>
      <c r="C7" s="3254">
        <f>3330*10000/B7</f>
        <v>15000</v>
      </c>
      <c r="D7" s="3831" t="s">
        <v>3503</v>
      </c>
      <c r="E7" s="3831" t="s">
        <v>3490</v>
      </c>
    </row>
    <row r="8" spans="1:14">
      <c r="A8" s="3831" t="s">
        <v>3492</v>
      </c>
      <c r="B8" s="3254">
        <v>3620.52</v>
      </c>
      <c r="C8" s="3833">
        <f>5070*10000/B8</f>
        <v>14003.513307480693</v>
      </c>
      <c r="D8" s="3831" t="s">
        <v>3499</v>
      </c>
      <c r="E8" s="3831" t="s">
        <v>3493</v>
      </c>
      <c r="N8" s="3254">
        <f>603/B8</f>
        <v>0.16655066123098339</v>
      </c>
    </row>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250:N284"/>
  <sheetViews>
    <sheetView topLeftCell="A73" workbookViewId="0">
      <selection activeCell="J54" sqref="J54"/>
    </sheetView>
  </sheetViews>
  <sheetFormatPr defaultRowHeight="13.5"/>
  <sheetData>
    <row r="250" spans="14:14">
      <c r="N250" s="3484" t="s">
        <v>3463</v>
      </c>
    </row>
    <row r="284" spans="13:13">
      <c r="M284" s="3484" t="s">
        <v>3463</v>
      </c>
    </row>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5"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9" t="str">
        <f>IF(项目基本情况!B9="房地产市场价值","估价结果一览表","结果表-2")</f>
        <v>结果表-2</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房地产价值</v>
      </c>
      <c r="I2" s="3500"/>
    </row>
    <row r="3" spans="1:9" ht="15">
      <c r="A3" s="3501"/>
      <c r="B3" s="3501"/>
      <c r="C3" s="3501"/>
      <c r="D3" s="854" t="s">
        <v>925</v>
      </c>
      <c r="E3" s="854" t="s">
        <v>931</v>
      </c>
      <c r="F3" s="854" t="s">
        <v>925</v>
      </c>
      <c r="G3" s="854" t="s">
        <v>926</v>
      </c>
      <c r="H3" s="854" t="s">
        <v>925</v>
      </c>
      <c r="I3" s="854" t="s">
        <v>926</v>
      </c>
    </row>
    <row r="4" spans="1:9" ht="45">
      <c r="A4" s="1505" t="str">
        <f>项目基本情况!S2</f>
        <v>北京市通州区经海五路1号院46号楼-1至6层5-101工业用房房地产</v>
      </c>
      <c r="B4" s="854">
        <f>项目基本情况!C17</f>
        <v>3830.64</v>
      </c>
      <c r="C4" s="854">
        <f>项目基本情况!C18</f>
        <v>0</v>
      </c>
      <c r="D4" s="854">
        <f ca="1">结果表!D118</f>
        <v>2345</v>
      </c>
      <c r="E4" s="854">
        <f ca="1">结果表!E118</f>
        <v>6121</v>
      </c>
      <c r="F4" s="854">
        <f ca="1">结果表!F118</f>
        <v>1973</v>
      </c>
      <c r="G4" s="854">
        <f ca="1">结果表!G118</f>
        <v>5151</v>
      </c>
      <c r="H4" s="854">
        <f ca="1">结果表!H118</f>
        <v>4318</v>
      </c>
      <c r="I4" s="854">
        <f ca="1">结果表!I118</f>
        <v>11272</v>
      </c>
    </row>
    <row r="5" spans="1:9" ht="30" customHeight="1">
      <c r="A5" s="3501" t="s">
        <v>927</v>
      </c>
      <c r="B5" s="3501"/>
      <c r="C5" s="3501"/>
      <c r="D5" s="3501" t="str">
        <f ca="1">结果表!D119</f>
        <v>贰仟叁佰肆拾伍万元整</v>
      </c>
      <c r="E5" s="3501"/>
      <c r="F5" s="3501" t="str">
        <f ca="1">结果表!F119</f>
        <v>壹仟玖佰柒拾叁万元整</v>
      </c>
      <c r="G5" s="3501"/>
      <c r="H5" s="3501" t="str">
        <f ca="1">结果表!H119</f>
        <v>肆仟叁佰壹拾捌万元整</v>
      </c>
      <c r="I5" s="3501"/>
    </row>
    <row r="6" spans="1:9" ht="15.75">
      <c r="A6" s="3502" t="str">
        <f>结果表!A120</f>
        <v>估价师知悉的法定优先受偿款</v>
      </c>
      <c r="B6" s="3502"/>
      <c r="C6" s="3502"/>
      <c r="D6" s="3502">
        <f>结果表!D120</f>
        <v>0</v>
      </c>
      <c r="E6" s="3502"/>
      <c r="F6" s="3502"/>
      <c r="G6" s="3502"/>
      <c r="H6" s="3502"/>
      <c r="I6" s="3502"/>
    </row>
    <row r="7" spans="1:9" ht="15">
      <c r="A7" s="3501" t="s">
        <v>927</v>
      </c>
      <c r="B7" s="3501"/>
      <c r="C7" s="3501"/>
      <c r="D7" s="3503" t="str">
        <f>结果表!D121</f>
        <v>零元整</v>
      </c>
      <c r="E7" s="3504"/>
      <c r="F7" s="3504"/>
      <c r="G7" s="3504"/>
      <c r="H7" s="3504"/>
      <c r="I7" s="3505"/>
    </row>
    <row r="8" spans="1:9" ht="15.75">
      <c r="A8" s="3502" t="str">
        <f>结果表!A122</f>
        <v>房地产抵押价值</v>
      </c>
      <c r="B8" s="3502"/>
      <c r="C8" s="3502"/>
      <c r="D8" s="3502">
        <f ca="1">结果表!D122</f>
        <v>4318</v>
      </c>
      <c r="E8" s="3502"/>
      <c r="F8" s="3502"/>
      <c r="G8" s="3502"/>
      <c r="H8" s="3502"/>
      <c r="I8" s="3502"/>
    </row>
    <row r="9" spans="1:9" ht="15">
      <c r="A9" s="3501" t="s">
        <v>927</v>
      </c>
      <c r="B9" s="3501"/>
      <c r="C9" s="3501"/>
      <c r="D9" s="3501" t="str">
        <f ca="1">结果表!D123</f>
        <v>肆仟叁佰壹拾捌万元整</v>
      </c>
      <c r="E9" s="3501"/>
      <c r="F9" s="3501"/>
      <c r="G9" s="3501"/>
      <c r="H9" s="3501"/>
      <c r="I9" s="3501"/>
    </row>
    <row r="10" spans="1:9" ht="15.75">
      <c r="A10" s="3502" t="str">
        <f>结果表!A124</f>
        <v/>
      </c>
      <c r="B10" s="3502"/>
      <c r="C10" s="3502"/>
      <c r="D10" s="3502" t="str">
        <f>结果表!D124</f>
        <v>——</v>
      </c>
      <c r="E10" s="3502"/>
      <c r="F10" s="3502"/>
      <c r="G10" s="3502"/>
      <c r="H10" s="3502"/>
      <c r="I10" s="3502"/>
    </row>
    <row r="11" spans="1:9" ht="15">
      <c r="A11" s="3501" t="s">
        <v>927</v>
      </c>
      <c r="B11" s="3501"/>
      <c r="C11" s="3501"/>
      <c r="D11" s="3501" t="e">
        <f>结果表!D125</f>
        <v>#VALUE!</v>
      </c>
      <c r="E11" s="3501"/>
      <c r="F11" s="3501"/>
      <c r="G11" s="3501"/>
      <c r="H11" s="3501"/>
      <c r="I11" s="3501"/>
    </row>
    <row r="12" spans="1:9" ht="15.75">
      <c r="A12" s="3502" t="str">
        <f>结果表!A126</f>
        <v/>
      </c>
      <c r="B12" s="3502"/>
      <c r="C12" s="3502"/>
      <c r="D12" s="3502" t="str">
        <f>结果表!D126</f>
        <v>——</v>
      </c>
      <c r="E12" s="3502"/>
      <c r="F12" s="3502"/>
      <c r="G12" s="3502"/>
      <c r="H12" s="3502"/>
      <c r="I12" s="3502"/>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8" t="s">
        <v>949</v>
      </c>
      <c r="B1" s="3508"/>
      <c r="C1" s="3508"/>
      <c r="D1" s="3508"/>
    </row>
    <row r="2" spans="1:4" ht="18">
      <c r="A2" s="3509" t="s">
        <v>933</v>
      </c>
      <c r="B2" s="3509"/>
      <c r="C2" s="3509"/>
      <c r="D2" s="350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9" t="s">
        <v>939</v>
      </c>
      <c r="B6" s="3509"/>
      <c r="C6" s="3509"/>
      <c r="D6" s="350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10" t="s">
        <v>942</v>
      </c>
      <c r="B11" s="3511"/>
      <c r="C11" s="3511"/>
      <c r="D11" s="3511"/>
    </row>
    <row r="12" spans="1:4" ht="15.75">
      <c r="A12" s="35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2"/>
      <c r="C12" s="3512"/>
      <c r="D12" s="3512"/>
    </row>
    <row r="13" spans="1:4" ht="30" customHeight="1">
      <c r="A13" s="3511" t="str">
        <f>IF(项目基本情况!B8="抵押","3.抵押双方在办理抵押登记手续时，应使用本公司出具的正式《房地产评估报告》，特提醒报告使用者注意。","——")</f>
        <v>——</v>
      </c>
      <c r="B13" s="3512"/>
      <c r="C13" s="3512"/>
      <c r="D13" s="3512"/>
    </row>
    <row r="14" spans="1:4" ht="15.75" customHeight="1">
      <c r="A14" s="3511" t="str">
        <f>IF(项目基本情况!B8="抵押","4.本次评估估价师所知悉的法定优先受偿款情况说明如下：","——")</f>
        <v>——</v>
      </c>
      <c r="B14" s="3512"/>
      <c r="C14" s="3512"/>
      <c r="D14" s="3512"/>
    </row>
    <row r="15" spans="1:4" ht="42" customHeight="1">
      <c r="A15" s="3511" t="str">
        <f>IF(项目基本情况!B8="抵押","（1）"&amp;CONCATENATE(项目基本情况!L20,项目基本情况!L21,项目基本情况!L22),"——")</f>
        <v>——</v>
      </c>
      <c r="B15" s="3511"/>
      <c r="C15" s="3511"/>
      <c r="D15" s="3511"/>
    </row>
    <row r="16" spans="1:4" ht="30" customHeight="1">
      <c r="A16" s="3514" t="s">
        <v>943</v>
      </c>
      <c r="B16" s="3514"/>
      <c r="C16" s="3514"/>
      <c r="D16" s="3514"/>
    </row>
    <row r="17" spans="1:4" ht="144" customHeight="1">
      <c r="A17" s="3514" t="s">
        <v>944</v>
      </c>
      <c r="B17" s="3514"/>
      <c r="C17" s="3514"/>
      <c r="D17" s="3514"/>
    </row>
    <row r="18" spans="1:4" ht="15.75" customHeight="1">
      <c r="A18" s="3511" t="str">
        <f>IF(项目基本情况!B8="抵押",结果表!K120,"——")</f>
        <v>——</v>
      </c>
      <c r="B18" s="3511"/>
      <c r="C18" s="3511"/>
      <c r="D18" s="3511"/>
    </row>
    <row r="19" spans="1:4" ht="46.5" customHeight="1">
      <c r="A19" s="35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11"/>
      <c r="C19" s="3511"/>
      <c r="D19" s="3511"/>
    </row>
    <row r="20" spans="1:4" ht="57.75" customHeight="1">
      <c r="A20" s="35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1"/>
      <c r="C20" s="3511"/>
      <c r="D20" s="3511"/>
    </row>
    <row r="21" spans="1:4" ht="57.75" customHeight="1">
      <c r="A21" s="35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5"/>
      <c r="C21" s="3515"/>
      <c r="D21" s="3515"/>
    </row>
    <row r="22" spans="1:4" ht="18.75" customHeight="1">
      <c r="A22" s="3516" t="s">
        <v>945</v>
      </c>
      <c r="B22" s="3516"/>
      <c r="C22" s="3516"/>
      <c r="D22" s="351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3">
        <v>42551</v>
      </c>
      <c r="D31" s="351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2" t="s">
        <v>956</v>
      </c>
      <c r="B15" s="3517" t="s">
        <v>109</v>
      </c>
      <c r="C15" s="3518"/>
    </row>
    <row r="16" spans="1:7" ht="13.5">
      <c r="A16" s="3523"/>
      <c r="B16" s="3517" t="s">
        <v>42</v>
      </c>
      <c r="C16" s="3518"/>
    </row>
    <row r="17" spans="1:3" ht="13.5">
      <c r="A17" s="3523"/>
      <c r="B17" s="3520" t="s">
        <v>957</v>
      </c>
      <c r="C17" s="1532" t="s">
        <v>956</v>
      </c>
    </row>
    <row r="18" spans="1:3" ht="13.5">
      <c r="A18" s="3523"/>
      <c r="B18" s="3520"/>
      <c r="C18" s="1532" t="s">
        <v>958</v>
      </c>
    </row>
    <row r="19" spans="1:3" ht="13.5">
      <c r="A19" s="3523"/>
      <c r="B19" s="3520"/>
      <c r="C19" s="1532" t="s">
        <v>959</v>
      </c>
    </row>
    <row r="20" spans="1:3" ht="13.5">
      <c r="A20" s="3524"/>
      <c r="B20" s="3519" t="s">
        <v>960</v>
      </c>
      <c r="C20" s="3518"/>
    </row>
    <row r="21" spans="1:3" ht="13.5">
      <c r="A21" s="1533" t="s">
        <v>961</v>
      </c>
      <c r="B21" s="1534"/>
      <c r="C21" s="1535"/>
    </row>
    <row r="22" spans="1:3" ht="13.5">
      <c r="A22" s="3521" t="s">
        <v>962</v>
      </c>
      <c r="B22" s="3519" t="s">
        <v>963</v>
      </c>
      <c r="C22" s="3518"/>
    </row>
    <row r="23" spans="1:3" ht="13.5">
      <c r="A23" s="3521"/>
      <c r="B23" s="3519" t="s">
        <v>964</v>
      </c>
      <c r="C23" s="3518"/>
    </row>
    <row r="24" spans="1:3" ht="13.5">
      <c r="A24" s="3521"/>
      <c r="B24" s="3519" t="s">
        <v>965</v>
      </c>
      <c r="C24" s="3518"/>
    </row>
    <row r="25" spans="1:3" ht="13.5">
      <c r="A25" s="3521"/>
      <c r="B25" s="3520" t="s">
        <v>966</v>
      </c>
      <c r="C25" s="1532" t="s">
        <v>967</v>
      </c>
    </row>
    <row r="26" spans="1:3" ht="13.5">
      <c r="A26" s="3521"/>
      <c r="B26" s="3520"/>
      <c r="C26" s="1532" t="s">
        <v>968</v>
      </c>
    </row>
    <row r="27" spans="1:3" ht="13.5">
      <c r="A27" s="3521"/>
      <c r="B27" s="3520"/>
      <c r="C27" s="1532" t="s">
        <v>969</v>
      </c>
    </row>
    <row r="28" spans="1:3" ht="13.5">
      <c r="A28" s="3521"/>
      <c r="B28" s="3520"/>
      <c r="C28" s="1532" t="s">
        <v>970</v>
      </c>
    </row>
    <row r="29" spans="1:3" ht="13.5">
      <c r="A29" s="3521"/>
      <c r="B29" s="3520"/>
      <c r="C29" s="1532" t="s">
        <v>971</v>
      </c>
    </row>
    <row r="30" spans="1:3" ht="13.5">
      <c r="A30" s="3521"/>
      <c r="B30" s="3520"/>
      <c r="C30" s="1532" t="s">
        <v>972</v>
      </c>
    </row>
    <row r="31" spans="1:3" ht="13.5">
      <c r="A31" s="3521"/>
      <c r="B31" s="3520"/>
      <c r="C31" s="1532" t="s">
        <v>973</v>
      </c>
    </row>
    <row r="32" spans="1:3" ht="13.5">
      <c r="A32" s="3521"/>
      <c r="B32" s="3520"/>
      <c r="C32" s="1532" t="s">
        <v>974</v>
      </c>
    </row>
    <row r="33" spans="1:3" ht="13.5">
      <c r="A33" s="3521"/>
      <c r="B33" s="352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5" t="s">
        <v>2160</v>
      </c>
      <c r="B17" s="3525"/>
      <c r="C17" s="3525"/>
      <c r="D17" s="3525"/>
      <c r="E17" s="3525"/>
      <c r="F17" s="3525"/>
      <c r="G17" s="3525"/>
      <c r="H17" s="3525"/>
    </row>
    <row r="18" spans="1:8" ht="24" customHeight="1">
      <c r="A18" s="3526" t="s">
        <v>2161</v>
      </c>
      <c r="B18" s="3526"/>
      <c r="C18" s="3526"/>
      <c r="D18" s="2343"/>
      <c r="E18" s="3527" t="s">
        <v>2162</v>
      </c>
      <c r="F18" s="3526"/>
      <c r="G18" s="352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比较法-工业</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市调</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2025-09-02T02:13:16Z</dcterms:modified>
</cp:coreProperties>
</file>