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5" yWindow="210" windowWidth="11565" windowHeight="9435" tabRatio="875" firstSheet="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总平图面积指标" sheetId="70" r:id="rId42"/>
  </sheets>
  <externalReferences>
    <externalReference r:id="rId43"/>
    <externalReference r:id="rId44"/>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8" hidden="1">土地案例!$H$1:$H$204</definedName>
    <definedName name="_xlnm._FilterDatabase" localSheetId="9" hidden="1">项目基本情况!$A$48:$N$48</definedName>
    <definedName name="八级">区片价!$P$1:$P$40</definedName>
    <definedName name="办公层高" localSheetId="18">'[1]比较法-办公'!$B$119:$M$119</definedName>
    <definedName name="办公层高">'不动产比较法-办公'!$B$119:$M$119</definedName>
    <definedName name="办公朝向" localSheetId="18">'[1]比较法-办公'!$B$91:$M$91</definedName>
    <definedName name="办公朝向">'不动产比较法-办公'!$B$91:$M$91</definedName>
    <definedName name="办公道路级别" localSheetId="18">'[1]比较法-办公'!$B$87:$M$87</definedName>
    <definedName name="办公道路级别">'不动产比较法-办公'!$B$87:$M$87</definedName>
    <definedName name="办公公共部分装修" localSheetId="18">'[1]比较法-办公'!$B$108:$M$108</definedName>
    <definedName name="办公公共部分装修">'不动产比较法-办公'!$B$108:$M$108</definedName>
    <definedName name="办公基础设施水平" localSheetId="18">'[1]比较法-办公'!$B$117:$M$117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'不动产比较法-办公'!$B$106:$M$106</definedName>
    <definedName name="办公建筑类型" localSheetId="18">'[1]比较法-办公'!$B$101:$M$101</definedName>
    <definedName name="办公建筑类型">'不动产比较法-办公'!$B$101:$M$101</definedName>
    <definedName name="办公交易情况" localSheetId="18">'[1]比较法-办公'!$A$62:$M$62</definedName>
    <definedName name="办公交易情况">'不动产比较法-办公'!$A$62:$M$62</definedName>
    <definedName name="办公楼层" localSheetId="18">'[1]比较法-办公'!$B$89:$M$89</definedName>
    <definedName name="办公楼层">'不动产比较法-办公'!$B$89:$M$89</definedName>
    <definedName name="办公内部装修" localSheetId="18">'[1]比较法-办公'!$B$123:$M$123</definedName>
    <definedName name="办公内部装修">'不动产比较法-办公'!$B$123:$M$123</definedName>
    <definedName name="办公物业管理" localSheetId="18">'[1]比较法-办公'!$B$115:$M$115</definedName>
    <definedName name="办公物业管理">'不动产比较法-办公'!$B$115:$M$115</definedName>
    <definedName name="办公用途" localSheetId="18">'[1]比较法-办公'!$B$64:$M$64</definedName>
    <definedName name="办公用途">'不动产比较法-办公'!$B$64:$M$64</definedName>
    <definedName name="仓储公共部分装修" localSheetId="18">'[1]比较法-仓储'!$B$77:$M$77</definedName>
    <definedName name="仓储公共部分装修">'不动产比较法-仓储'!$B$77:$M$77</definedName>
    <definedName name="仓储交易情况" localSheetId="18">'[1]比较法-仓储'!$A$49:$M$49</definedName>
    <definedName name="仓储交易情况">'不动产比较法-仓储'!$A$49:$M$49</definedName>
    <definedName name="仓储楼层" localSheetId="18">'[1]比较法-仓储'!$B$69:$M$69</definedName>
    <definedName name="仓储楼层">'不动产比较法-仓储'!$B$69:$M$69</definedName>
    <definedName name="仓储物业等级" localSheetId="18">'[1]比较法-仓储'!$B$82:$M$82</definedName>
    <definedName name="仓储物业等级">'不动产比较法-仓储'!$B$82:$M$82</definedName>
    <definedName name="仓储用途" localSheetId="18">'[1]比较法-仓储'!$B$51:$M$51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'不动产比较法-车位'!$B$83:$M$83</definedName>
    <definedName name="车位交易情况" localSheetId="18">'[1]比较法-车位'!$A$51:$M$51</definedName>
    <definedName name="车位交易情况">'不动产比较法-车位'!$A$51:$M$51</definedName>
    <definedName name="车位类型" localSheetId="18">'[1]比较法-车位'!$B$93:$M$93</definedName>
    <definedName name="车位类型">'不动产比较法-车位'!$B$93:$M$93</definedName>
    <definedName name="车位楼层" localSheetId="18">'[1]比较法-车位'!$B$71:$M$71</definedName>
    <definedName name="车位楼层">'不动产比较法-车位'!$B$71:$M$71</definedName>
    <definedName name="车位配套类型" localSheetId="18">'[1]比较法-车位'!$B$79:$M$79</definedName>
    <definedName name="车位配套类型">'不动产比较法-车位'!$B$79:$M$79</definedName>
    <definedName name="车位物业等级" localSheetId="18">'[1]比较法-车位'!$B$88:$M$88</definedName>
    <definedName name="车位物业等级">'不动产比较法-车位'!$B$88:$M$88</definedName>
    <definedName name="车位用途" localSheetId="18">'[1]比较法-车位'!$B$53:$M$53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[1]定义!$G$1:$G$4</definedName>
    <definedName name="法定最高年限">定义!$G$2:$G$4</definedName>
    <definedName name="工业公共部分装修" localSheetId="18">'[1]比较法-工业'!$B$95:$M$95</definedName>
    <definedName name="工业公共部分装修">'不动产比较法-工业'!$B$95:$M$95</definedName>
    <definedName name="工业基础设施水平" localSheetId="18">'[1]比较法-工业'!$B$102:$M$102</definedName>
    <definedName name="工业基础设施水平">'不动产比较法-工业'!$B$102:$M$102</definedName>
    <definedName name="工业建筑结构" localSheetId="18">'[1]比较法-工业'!$B$93:$M$93</definedName>
    <definedName name="工业建筑结构">'不动产比较法-工业'!$B$93:$M$93</definedName>
    <definedName name="工业建筑类型" localSheetId="18">'[1]比较法-工业'!$B$88:$M$88</definedName>
    <definedName name="工业建筑类型">'不动产比较法-工业'!$B$88:$M$88</definedName>
    <definedName name="工业交易情况" localSheetId="18">'[1]比较法-工业'!$A$55:$M$55</definedName>
    <definedName name="工业交易情况">'不动产比较法-工业'!$A$55:$M$55</definedName>
    <definedName name="工业内部装修" localSheetId="18">'[1]比较法-工业'!$B$104:$M$104</definedName>
    <definedName name="工业内部装修">'不动产比较法-工业'!$B$104:$M$104</definedName>
    <definedName name="工业物业管理" localSheetId="18">'[1]比较法-工业'!$B$100:$M$100</definedName>
    <definedName name="工业物业管理">'不动产比较法-工业'!$B$100:$M$100</definedName>
    <definedName name="工业用途" localSheetId="18">'[1]比较法-工业'!$B$57:$M$57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地价!$A$2:$A$29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'不动产比较法-商业'!$B$107:$M$107</definedName>
    <definedName name="商业基础设施水平" localSheetId="18">'[1]比较法-商业'!$B$112:$M$112</definedName>
    <definedName name="商业基础设施水平">'不动产比较法-商业'!$B$112:$M$112</definedName>
    <definedName name="商业建筑结构" localSheetId="18">'[1]比较法-商业'!$B$105:$M$105</definedName>
    <definedName name="商业建筑结构">'不动产比较法-商业'!$B$105:$M$105</definedName>
    <definedName name="商业交易情况" localSheetId="18">'[1]比较法-商业'!$A$61:$M$61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'[1]比较法-商业'!$B$120:$M$120</definedName>
    <definedName name="商业进深比">'不动产比较法-商业'!$B$120:$M$120</definedName>
    <definedName name="商业类型" localSheetId="18">'[1]比较法-商业'!$B$100:$M$100</definedName>
    <definedName name="商业类型">'不动产比较法-商业'!$B$100:$M$100</definedName>
    <definedName name="商业临街状况" localSheetId="18">'[1]比较法-商业'!$B$86:$M$86</definedName>
    <definedName name="商业临街状况">'不动产比较法-商业'!$B$86:$M$86</definedName>
    <definedName name="商业楼层" localSheetId="18">'[1]比较法-商业'!$B$92:$M$92</definedName>
    <definedName name="商业楼层">'不动产比较法-商业'!$B$92:$M$92</definedName>
    <definedName name="商业内部装修" localSheetId="18">'[1]比较法-商业'!$B$122:$M$122</definedName>
    <definedName name="商业内部装修">'不动产比较法-商业'!$B$122:$M$122</definedName>
    <definedName name="商业人流量" localSheetId="18">'[1]比较法-商业'!$B$90:$M$90</definedName>
    <definedName name="商业人流量">'不动产比较法-商业'!$B$90:$M$90</definedName>
    <definedName name="商业业态" localSheetId="18">'[1]比较法-商业'!$B$114:$M$114</definedName>
    <definedName name="商业业态">'不动产比较法-商业'!$B$114:$M$114</definedName>
    <definedName name="商业用途" localSheetId="1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'[1]比较法-仓储'!$B$89:$M$89</definedName>
    <definedName name="是否封闭">'不动产比较法-仓储'!$B$89:$M$89</definedName>
    <definedName name="是否直接入户" localSheetId="1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8">'[1]土地比较法-住宅、综合'!$A$73:$M$73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8">'[1]土地比较法-工业'!$B$99:$M$99</definedName>
    <definedName name="套工土地级别">'比较法-工业'!$B$101:$M$101</definedName>
    <definedName name="套工用途" localSheetId="18">'[1]土地比较法-工业'!$B$70:$M$70</definedName>
    <definedName name="套工用途">'比较法-工业'!$B$72:$M$72</definedName>
    <definedName name="套工宗地开发程度">'[1]土地比较法-工业'!$B$112:$M$112</definedName>
    <definedName name="套工宗地形状" localSheetId="18">'[1]土地比较法-工业'!$B$110:$M$110</definedName>
    <definedName name="套工宗地形状">'比较法-工业'!$B$112:$M$112</definedName>
    <definedName name="套综道路等级" localSheetId="18">'[1]土地比较法-住宅、综合'!$B$106:$M$106</definedName>
    <definedName name="套综道路等级">'比较法-住宅、综合'!$B$108:$M$108</definedName>
    <definedName name="套综工程地质条件" localSheetId="18">'[1]土地比较法-住宅、综合'!$B$125:$M$125</definedName>
    <definedName name="套综工程地质条件">'比较法-住宅、综合'!$B$127:$M$127</definedName>
    <definedName name="套综交易情况" localSheetId="18">'[1]土地比较法-住宅、综合'!$A$73:$M$73</definedName>
    <definedName name="套综交易情况">'比较法-住宅、综合'!$A$75:$M$75</definedName>
    <definedName name="套综临街宽度及深度" localSheetId="18">'[1]土地比较法-住宅、综合'!$B$121:$M$121</definedName>
    <definedName name="套综临街宽度及深度">'比较法-住宅、综合'!$B$123:$M$123</definedName>
    <definedName name="套综土地级别" localSheetId="18">'[1]土地比较法-住宅、综合'!$B$108:$M$108</definedName>
    <definedName name="套综土地级别">'比较法-住宅、综合'!$B$110:$M$110</definedName>
    <definedName name="套综用途" localSheetId="18">'[1]土地比较法-住宅、综合'!$B$75:$M$75</definedName>
    <definedName name="套综用途">'比较法-住宅、综合'!$B$77:$M$77</definedName>
    <definedName name="套综宗地内开发程度" localSheetId="18">'[1]土地比较法-住宅、综合'!$B$123:$M$123</definedName>
    <definedName name="套综宗地内开发程度">'比较法-住宅、综合'!$B$125:$M$125</definedName>
    <definedName name="套综宗地形状" localSheetId="18">'[1]土地比较法-住宅、综合'!$B$119:$M$119</definedName>
    <definedName name="套综宗地形状">'比较法-住宅、综合'!$B$121:$M$121</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定义!$A$1:$A$50</definedName>
    <definedName name="用途明细">[1]定义!$A$1:$A$50</definedName>
    <definedName name="有无电梯" localSheetId="18">'[1]比较法-仓储'!$B$84:$M$84</definedName>
    <definedName name="有无电梯">'不动产比较法-仓储'!$B$84:$M$84</definedName>
    <definedName name="主用途" localSheetId="18">[1]定义!$F$1:$F$10</definedName>
    <definedName name="主用途">定义!$F$1:$F$10</definedName>
    <definedName name="住宅朝向" localSheetId="18">'[1]比较法-住宅'!$B$88:$M$88</definedName>
    <definedName name="住宅朝向">'不动产比较法-住宅'!$B$88:$M$88</definedName>
    <definedName name="住宅房型" localSheetId="18">'[1]比较法-住宅'!$B$118:$M$118</definedName>
    <definedName name="住宅房型">'不动产比较法-住宅'!$B$118:$M$118</definedName>
    <definedName name="住宅公共部分装修" localSheetId="18">'[1]比较法-住宅'!$B$109:$M$109</definedName>
    <definedName name="住宅公共部分装修">'不动产比较法-住宅'!$B$109:$M$109</definedName>
    <definedName name="住宅基础设施水平" localSheetId="18">'[1]比较法-住宅'!$B$116:$M$116</definedName>
    <definedName name="住宅基础设施水平">'不动产比较法-住宅'!$B$116:$M$116</definedName>
    <definedName name="住宅建筑结构" localSheetId="18">'[1]比较法-住宅'!$B$105:$M$105</definedName>
    <definedName name="住宅建筑结构">'不动产比较法-住宅'!$B$105:$M$105</definedName>
    <definedName name="住宅建筑类型" localSheetId="18">'[1]比较法-住宅'!$B$100:$M$100</definedName>
    <definedName name="住宅建筑类型">'不动产比较法-住宅'!$B$100:$M$100</definedName>
    <definedName name="住宅建筑品质" localSheetId="18">'[1]比较法-住宅'!$B$107:$M$107</definedName>
    <definedName name="住宅建筑品质">'不动产比较法-住宅'!$B$107:$M$107</definedName>
    <definedName name="住宅交易情况" localSheetId="18">'[1]比较法-住宅'!$A$61:$M$61</definedName>
    <definedName name="住宅交易情况">'不动产比较法-住宅'!$A$61:$M$61</definedName>
    <definedName name="住宅楼层" localSheetId="18">'[1]比较法-住宅'!$B$86:$M$86</definedName>
    <definedName name="住宅楼层">'不动产比较法-住宅'!$B$86:$M$86</definedName>
    <definedName name="住宅内部装修" localSheetId="18">'[1]比较法-住宅'!$B$122:$M$122</definedName>
    <definedName name="住宅内部装修">'不动产比较法-住宅'!$B$122:$M$122</definedName>
    <definedName name="住宅物业管理" localSheetId="18">'[1]比较法-住宅'!$B$114:$M$114</definedName>
    <definedName name="住宅物业管理">'不动产比较法-住宅'!$B$114:$M$114</definedName>
    <definedName name="住宅用途" localSheetId="18">'[1]比较法-住宅'!$B$63:$M$63</definedName>
    <definedName name="住宅用途">'不动产比较法-住宅'!$B$63:$M$63</definedName>
    <definedName name="住宅主力户型面积">'不动产比较法-住宅'!$B$120:$M$120</definedName>
    <definedName name="注册房地产估价师" localSheetId="1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67" i="70" l="1"/>
  <c r="D66" i="70"/>
  <c r="D63" i="70"/>
  <c r="I66" i="70"/>
  <c r="C62" i="70"/>
  <c r="D16" i="66"/>
  <c r="D15" i="66"/>
  <c r="A3" i="3"/>
  <c r="AY3" i="3"/>
  <c r="D61" i="70"/>
  <c r="D59" i="70"/>
  <c r="D57" i="70"/>
  <c r="I57" i="70"/>
  <c r="I63" i="70"/>
  <c r="H63" i="70"/>
  <c r="C63" i="70"/>
  <c r="C61" i="70"/>
  <c r="C60" i="70"/>
  <c r="C59" i="70"/>
  <c r="C58" i="70"/>
  <c r="C57" i="70"/>
  <c r="I5" i="3"/>
  <c r="F19" i="6"/>
  <c r="K5" i="3"/>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AD56"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3" i="39"/>
  <c r="B2" i="52"/>
  <c r="E13" i="52"/>
  <c r="E4" i="4"/>
  <c r="B21" i="55"/>
  <c r="E9" i="52"/>
  <c r="C4" i="4"/>
  <c r="B20" i="55"/>
  <c r="D83" i="39"/>
  <c r="E83" i="39"/>
  <c r="F83" i="39"/>
  <c r="F13" i="39"/>
  <c r="AA13"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B84" i="39"/>
  <c r="F14" i="39"/>
  <c r="AA14" i="39"/>
  <c r="B86" i="39"/>
  <c r="F15" i="39"/>
  <c r="AA15" i="39"/>
  <c r="B88" i="39"/>
  <c r="F16" i="39"/>
  <c r="AA16" i="39"/>
  <c r="D91" i="39"/>
  <c r="E91" i="39"/>
  <c r="F17" i="39"/>
  <c r="AA17" i="39"/>
  <c r="D93" i="39"/>
  <c r="E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D122" i="39"/>
  <c r="F41" i="39"/>
  <c r="AA41" i="39"/>
  <c r="F42" i="39"/>
  <c r="AA42" i="39"/>
  <c r="D126" i="39"/>
  <c r="F43" i="39"/>
  <c r="AA43" i="39"/>
  <c r="F44" i="39"/>
  <c r="AA44" i="39"/>
  <c r="B129" i="39"/>
  <c r="F45" i="39"/>
  <c r="AA45" i="39"/>
  <c r="B131" i="39"/>
  <c r="F46" i="39"/>
  <c r="AA46" i="39"/>
  <c r="B133" i="39"/>
  <c r="F47" i="39"/>
  <c r="AA47" i="39"/>
  <c r="G13" i="39"/>
  <c r="H13" i="39"/>
  <c r="AB13" i="39"/>
  <c r="T48" i="39"/>
  <c r="G9" i="39"/>
  <c r="H9" i="39"/>
  <c r="AB9" i="39"/>
  <c r="H10" i="39"/>
  <c r="AB10" i="39"/>
  <c r="H11" i="39"/>
  <c r="AB11" i="39"/>
  <c r="H14" i="39"/>
  <c r="AB14" i="39"/>
  <c r="H15" i="39"/>
  <c r="AB15" i="39"/>
  <c r="H16" i="39"/>
  <c r="AB16" i="39"/>
  <c r="H17" i="39"/>
  <c r="AB17" i="39"/>
  <c r="H19" i="39"/>
  <c r="AB19" i="39"/>
  <c r="H21" i="39"/>
  <c r="AB21" i="39"/>
  <c r="H23" i="39"/>
  <c r="AB23" i="39"/>
  <c r="H25" i="39"/>
  <c r="AB25" i="39"/>
  <c r="E101"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E126" i="39"/>
  <c r="F126" i="39"/>
  <c r="G126" i="39"/>
  <c r="H43" i="39"/>
  <c r="AB43" i="39"/>
  <c r="H44" i="39"/>
  <c r="AB44" i="39"/>
  <c r="H45" i="39"/>
  <c r="AB45" i="39"/>
  <c r="H46" i="39"/>
  <c r="AB46" i="39"/>
  <c r="H47" i="39"/>
  <c r="AB47" i="39"/>
  <c r="I13" i="39"/>
  <c r="J13" i="39"/>
  <c r="AC13" i="39"/>
  <c r="V48" i="39"/>
  <c r="I9" i="39"/>
  <c r="J9" i="39"/>
  <c r="AC9" i="39"/>
  <c r="J10" i="39"/>
  <c r="AC10" i="39"/>
  <c r="J11" i="39"/>
  <c r="AC11"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H59" i="39"/>
  <c r="I59" i="39"/>
  <c r="C59" i="39"/>
  <c r="A6" i="1"/>
  <c r="A7" i="1"/>
  <c r="G1" i="15"/>
  <c r="F6" i="15"/>
  <c r="F8" i="15"/>
  <c r="F7" i="15"/>
  <c r="F9" i="15"/>
  <c r="C6" i="15"/>
  <c r="C1" i="65"/>
  <c r="N1" i="65"/>
  <c r="N4" i="65"/>
  <c r="C4" i="65"/>
  <c r="B39" i="1"/>
  <c r="F11" i="15"/>
  <c r="C10" i="15"/>
  <c r="C5" i="15"/>
  <c r="B43" i="1"/>
  <c r="B41" i="1"/>
  <c r="F32" i="15"/>
  <c r="C42" i="1"/>
  <c r="C32" i="15"/>
  <c r="F33" i="15"/>
  <c r="C33" i="15"/>
  <c r="BA5" i="3"/>
  <c r="E27" i="6"/>
  <c r="K20" i="6"/>
  <c r="L20" i="6"/>
  <c r="M20" i="6"/>
  <c r="I20" i="6"/>
  <c r="H20" i="6"/>
  <c r="R20" i="6"/>
  <c r="R7" i="1"/>
  <c r="F35" i="15"/>
  <c r="B52" i="1"/>
  <c r="F34" i="15"/>
  <c r="C34" i="15"/>
  <c r="C31" i="15"/>
  <c r="K7" i="1"/>
  <c r="M7" i="1"/>
  <c r="T4" i="1"/>
  <c r="K14" i="1"/>
  <c r="M14" i="1"/>
  <c r="S7" i="1"/>
  <c r="K19" i="6"/>
  <c r="S6" i="1"/>
  <c r="A8" i="1"/>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G19" i="4"/>
  <c r="F7" i="1"/>
  <c r="L48" i="15"/>
  <c r="M47" i="15"/>
  <c r="J50" i="15"/>
  <c r="J51" i="15"/>
  <c r="J53" i="15"/>
  <c r="F1" i="15"/>
  <c r="AE7" i="1"/>
  <c r="F41" i="15"/>
  <c r="C40" i="15"/>
  <c r="C9" i="12"/>
  <c r="C10" i="12"/>
  <c r="C6" i="12"/>
  <c r="K1" i="12"/>
  <c r="K6" i="1"/>
  <c r="M6" i="1"/>
  <c r="O6" i="1"/>
  <c r="P6" i="1"/>
  <c r="T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B2" i="12"/>
  <c r="D19" i="9"/>
  <c r="A44" i="9"/>
  <c r="C16" i="66"/>
  <c r="B16" i="66"/>
  <c r="G15" i="66"/>
  <c r="C15" i="66"/>
  <c r="B15" i="66"/>
  <c r="D10" i="43"/>
  <c r="C43" i="15"/>
  <c r="D8" i="43"/>
  <c r="D29" i="46"/>
  <c r="C9" i="43"/>
  <c r="C10" i="43"/>
  <c r="I7" i="39"/>
  <c r="G7" i="39"/>
  <c r="E7" i="39"/>
  <c r="N204" i="69"/>
  <c r="N203" i="69"/>
  <c r="N202" i="69"/>
  <c r="N201" i="69"/>
  <c r="N200" i="69"/>
  <c r="N199" i="69"/>
  <c r="N198" i="69"/>
  <c r="N197" i="69"/>
  <c r="N196" i="69"/>
  <c r="N195" i="69"/>
  <c r="N194" i="69"/>
  <c r="N193" i="69"/>
  <c r="N192" i="69"/>
  <c r="N191" i="69"/>
  <c r="N190" i="69"/>
  <c r="N189" i="69"/>
  <c r="N188" i="69"/>
  <c r="N187" i="69"/>
  <c r="N186" i="69"/>
  <c r="N185" i="69"/>
  <c r="N184" i="69"/>
  <c r="N183" i="69"/>
  <c r="N182" i="69"/>
  <c r="N181" i="69"/>
  <c r="N180" i="69"/>
  <c r="N179" i="69"/>
  <c r="N178" i="69"/>
  <c r="N177" i="69"/>
  <c r="N176" i="69"/>
  <c r="N175" i="69"/>
  <c r="N174" i="69"/>
  <c r="N173" i="69"/>
  <c r="N172" i="69"/>
  <c r="N171" i="69"/>
  <c r="N170" i="69"/>
  <c r="N169" i="69"/>
  <c r="N168" i="69"/>
  <c r="N167" i="69"/>
  <c r="N166" i="69"/>
  <c r="N165" i="69"/>
  <c r="N164" i="69"/>
  <c r="N163" i="69"/>
  <c r="N162" i="69"/>
  <c r="N161" i="69"/>
  <c r="N160" i="69"/>
  <c r="N159" i="69"/>
  <c r="N158" i="69"/>
  <c r="N157" i="69"/>
  <c r="N156" i="69"/>
  <c r="N155" i="69"/>
  <c r="N154" i="69"/>
  <c r="N153" i="69"/>
  <c r="N152" i="69"/>
  <c r="N151" i="69"/>
  <c r="N150" i="69"/>
  <c r="N149" i="69"/>
  <c r="N148" i="69"/>
  <c r="N147" i="69"/>
  <c r="N146" i="69"/>
  <c r="N145" i="69"/>
  <c r="N144" i="69"/>
  <c r="N143" i="69"/>
  <c r="N142" i="69"/>
  <c r="N141" i="69"/>
  <c r="N140" i="69"/>
  <c r="N139" i="69"/>
  <c r="N138" i="69"/>
  <c r="N137" i="69"/>
  <c r="N136" i="69"/>
  <c r="N135" i="69"/>
  <c r="N134" i="69"/>
  <c r="N133" i="69"/>
  <c r="N132" i="69"/>
  <c r="N131" i="69"/>
  <c r="N130" i="69"/>
  <c r="N129" i="69"/>
  <c r="N128" i="69"/>
  <c r="N127" i="69"/>
  <c r="N126" i="69"/>
  <c r="N125" i="69"/>
  <c r="N124" i="69"/>
  <c r="N123" i="69"/>
  <c r="N122" i="69"/>
  <c r="N121" i="69"/>
  <c r="N120" i="69"/>
  <c r="N119" i="69"/>
  <c r="N118" i="69"/>
  <c r="N117" i="69"/>
  <c r="N116" i="69"/>
  <c r="N115" i="69"/>
  <c r="N114" i="69"/>
  <c r="N113" i="69"/>
  <c r="N112" i="69"/>
  <c r="N111" i="69"/>
  <c r="N110" i="69"/>
  <c r="N109" i="69"/>
  <c r="N108" i="69"/>
  <c r="N107" i="69"/>
  <c r="N106" i="69"/>
  <c r="N105" i="69"/>
  <c r="N104" i="69"/>
  <c r="N103" i="69"/>
  <c r="N102" i="69"/>
  <c r="N101" i="69"/>
  <c r="N100" i="69"/>
  <c r="N99" i="69"/>
  <c r="N98" i="69"/>
  <c r="N97" i="69"/>
  <c r="N96" i="69"/>
  <c r="N95" i="69"/>
  <c r="N94" i="69"/>
  <c r="N93" i="69"/>
  <c r="N92" i="69"/>
  <c r="N91" i="69"/>
  <c r="N90" i="69"/>
  <c r="N89" i="69"/>
  <c r="N88" i="69"/>
  <c r="N87" i="69"/>
  <c r="N86" i="69"/>
  <c r="N85" i="69"/>
  <c r="N84" i="69"/>
  <c r="N83" i="69"/>
  <c r="N82" i="69"/>
  <c r="N81" i="69"/>
  <c r="N80" i="69"/>
  <c r="N79" i="69"/>
  <c r="N78" i="69"/>
  <c r="N77" i="69"/>
  <c r="N76" i="69"/>
  <c r="N75" i="69"/>
  <c r="N74" i="69"/>
  <c r="N73" i="69"/>
  <c r="N72" i="69"/>
  <c r="N71" i="69"/>
  <c r="N70" i="69"/>
  <c r="N69" i="69"/>
  <c r="N68" i="69"/>
  <c r="N67" i="69"/>
  <c r="N66" i="69"/>
  <c r="N65" i="69"/>
  <c r="N64" i="69"/>
  <c r="N63" i="69"/>
  <c r="N62" i="69"/>
  <c r="N61" i="69"/>
  <c r="N60" i="69"/>
  <c r="N59" i="69"/>
  <c r="N58" i="69"/>
  <c r="N57" i="69"/>
  <c r="N56" i="69"/>
  <c r="N55" i="69"/>
  <c r="N54" i="69"/>
  <c r="N53" i="69"/>
  <c r="N52" i="69"/>
  <c r="N51" i="69"/>
  <c r="N50" i="69"/>
  <c r="N49" i="69"/>
  <c r="N48" i="69"/>
  <c r="N47" i="69"/>
  <c r="N46" i="69"/>
  <c r="N45" i="69"/>
  <c r="N44" i="69"/>
  <c r="N43" i="69"/>
  <c r="N42" i="69"/>
  <c r="N41" i="69"/>
  <c r="N40" i="69"/>
  <c r="N39" i="69"/>
  <c r="N38" i="69"/>
  <c r="N37" i="69"/>
  <c r="N36" i="69"/>
  <c r="N35" i="69"/>
  <c r="N34" i="69"/>
  <c r="N33" i="69"/>
  <c r="N32" i="69"/>
  <c r="N31" i="69"/>
  <c r="N30" i="69"/>
  <c r="N29" i="69"/>
  <c r="N28" i="69"/>
  <c r="N27" i="69"/>
  <c r="N26" i="69"/>
  <c r="N25" i="69"/>
  <c r="N24" i="69"/>
  <c r="N23" i="69"/>
  <c r="N22" i="69"/>
  <c r="N21" i="69"/>
  <c r="N20" i="69"/>
  <c r="N19" i="69"/>
  <c r="N18" i="69"/>
  <c r="N17" i="69"/>
  <c r="N16" i="69"/>
  <c r="N15" i="69"/>
  <c r="N14" i="69"/>
  <c r="N13" i="69"/>
  <c r="N12" i="69"/>
  <c r="N11" i="69"/>
  <c r="N10" i="69"/>
  <c r="N9" i="69"/>
  <c r="N8" i="69"/>
  <c r="N7" i="69"/>
  <c r="N6" i="69"/>
  <c r="N5" i="69"/>
  <c r="X4" i="69"/>
  <c r="S4" i="69"/>
  <c r="R4" i="69"/>
  <c r="N4" i="69"/>
  <c r="X3" i="69"/>
  <c r="S3" i="69"/>
  <c r="R3" i="69"/>
  <c r="N3" i="69"/>
  <c r="X2" i="69"/>
  <c r="S2" i="69"/>
  <c r="R2" i="69"/>
  <c r="N2" i="69"/>
  <c r="B7" i="4"/>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E27" i="59"/>
  <c r="E28" i="59"/>
  <c r="E29"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19" i="4"/>
  <c r="F8" i="1"/>
  <c r="AP8" i="1"/>
  <c r="E19" i="4"/>
  <c r="G7" i="1"/>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N9" i="46"/>
  <c r="F69" i="46"/>
  <c r="H71"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G1" i="44"/>
  <c r="I4" i="6"/>
  <c r="G3" i="46"/>
  <c r="BL5" i="3"/>
  <c r="G28" i="12"/>
  <c r="G22" i="43"/>
  <c r="G26" i="12"/>
  <c r="D24" i="44"/>
  <c r="D26" i="44"/>
  <c r="G27" i="12"/>
  <c r="G23" i="43"/>
  <c r="G21" i="43"/>
  <c r="N8" i="46"/>
  <c r="N4" i="46"/>
  <c r="N1"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G66" i="36"/>
  <c r="J18" i="36"/>
  <c r="AE8" i="1"/>
  <c r="AE6" i="1"/>
  <c r="W18" i="36"/>
  <c r="AC18" i="36"/>
  <c r="AG6" i="1"/>
  <c r="D12" i="11"/>
  <c r="C12" i="11"/>
  <c r="D16" i="43"/>
  <c r="C16" i="43"/>
  <c r="L19" i="6"/>
  <c r="L27" i="6"/>
  <c r="B72" i="63"/>
  <c r="B70" i="63"/>
  <c r="E6" i="6"/>
  <c r="L38" i="9"/>
  <c r="B14" i="66"/>
  <c r="B1" i="66"/>
  <c r="C45" i="9"/>
  <c r="H14" i="66"/>
  <c r="B7" i="66"/>
  <c r="C7" i="66"/>
  <c r="R9" i="1"/>
  <c r="R8" i="1"/>
  <c r="M19" i="6"/>
  <c r="I19" i="6"/>
  <c r="H19" i="6"/>
  <c r="R19" i="6"/>
  <c r="R6" i="1"/>
  <c r="O7" i="1"/>
  <c r="P7" i="1"/>
  <c r="O9" i="1"/>
  <c r="P9" i="1"/>
  <c r="O11" i="1"/>
  <c r="P11" i="1"/>
  <c r="O12" i="1"/>
  <c r="P12" i="1"/>
  <c r="O13" i="1"/>
  <c r="P13" i="1"/>
  <c r="O14" i="1"/>
  <c r="P14" i="1"/>
  <c r="P16" i="1"/>
  <c r="Q1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11"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I4" i="65"/>
  <c r="E20" i="46"/>
  <c r="O28" i="46"/>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8" i="66"/>
  <c r="R21" i="6"/>
  <c r="A6" i="51"/>
  <c r="B7" i="63"/>
  <c r="A6" i="64"/>
  <c r="A20" i="64"/>
  <c r="A20" i="51"/>
  <c r="B15" i="63"/>
  <c r="N5" i="54"/>
  <c r="B43" i="63"/>
  <c r="T13" i="1"/>
  <c r="M16" i="1"/>
  <c r="T9" i="1"/>
  <c r="T11" i="1"/>
  <c r="T12" i="1"/>
  <c r="O16"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M6"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3" i="65"/>
  <c r="M26" i="15"/>
  <c r="B9" i="67"/>
  <c r="B8" i="67"/>
  <c r="C19" i="44"/>
  <c r="F39" i="44"/>
  <c r="M24" i="15"/>
  <c r="F12" i="67"/>
  <c r="M25" i="44"/>
  <c r="E13" i="67"/>
  <c r="M28" i="44"/>
  <c r="M23" i="15"/>
  <c r="F28" i="44"/>
  <c r="J15" i="15"/>
  <c r="L49" i="44"/>
  <c r="N3" i="65"/>
  <c r="M29" i="15"/>
  <c r="B13" i="67"/>
  <c r="N5" i="65"/>
  <c r="M8" i="15"/>
  <c r="F14" i="67"/>
  <c r="M9" i="15"/>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M7" i="15"/>
  <c r="J6" i="15"/>
  <c r="J20" i="15"/>
  <c r="L44" i="9"/>
  <c r="Q73" i="44"/>
  <c r="F65" i="15"/>
  <c r="J54" i="44"/>
  <c r="J58" i="44"/>
  <c r="J56" i="44"/>
  <c r="J59" i="44"/>
  <c r="Q52" i="44"/>
  <c r="L57" i="44"/>
  <c r="J60" i="44"/>
  <c r="I55" i="44"/>
  <c r="J61" i="44"/>
  <c r="Q50" i="44"/>
  <c r="F62" i="15"/>
  <c r="C61" i="15"/>
  <c r="C29" i="44"/>
  <c r="F67" i="15"/>
  <c r="F50" i="15"/>
  <c r="C8" i="44"/>
  <c r="F70" i="15"/>
  <c r="Q72" i="15"/>
  <c r="M9" i="44"/>
  <c r="F68" i="15"/>
  <c r="J22" i="44"/>
  <c r="C36" i="44"/>
  <c r="L59" i="15"/>
  <c r="L58" i="15"/>
  <c r="F64" i="15"/>
  <c r="F63" i="15"/>
  <c r="L60" i="44"/>
  <c r="L59" i="44"/>
  <c r="E3" i="65"/>
  <c r="F58" i="15"/>
  <c r="M17" i="15"/>
  <c r="C18" i="44"/>
  <c r="M19" i="44"/>
  <c r="F13" i="44"/>
  <c r="C12" i="44"/>
  <c r="C7" i="44"/>
  <c r="C40" i="44"/>
  <c r="L52" i="44"/>
  <c r="L58" i="44"/>
  <c r="L61" i="44"/>
  <c r="L47" i="44"/>
  <c r="C19" i="43"/>
  <c r="C25" i="43"/>
  <c r="C24" i="43"/>
  <c r="C21" i="44"/>
  <c r="F17" i="11"/>
  <c r="C17" i="11"/>
  <c r="C19" i="11"/>
  <c r="Q75" i="44"/>
  <c r="Q62" i="44"/>
  <c r="Q75" i="15"/>
  <c r="Q62" i="15"/>
  <c r="C34" i="44"/>
  <c r="Q63" i="44"/>
  <c r="Q76" i="44"/>
  <c r="Q74" i="15"/>
  <c r="Q61" i="15"/>
  <c r="J18" i="15"/>
  <c r="P28" i="46"/>
  <c r="M28" i="46"/>
  <c r="N28" i="46"/>
  <c r="C48" i="15"/>
  <c r="Q54" i="44"/>
  <c r="F1" i="44"/>
  <c r="J8" i="44"/>
  <c r="M11" i="15"/>
  <c r="J10" i="15"/>
  <c r="J5" i="15"/>
  <c r="M13" i="44"/>
  <c r="J12" i="44"/>
  <c r="Q53" i="15"/>
  <c r="J26" i="15"/>
  <c r="J29" i="15"/>
  <c r="J24" i="15"/>
  <c r="C52" i="15"/>
  <c r="C47" i="15"/>
  <c r="J20" i="44"/>
  <c r="J7" i="44"/>
  <c r="C20" i="11"/>
  <c r="C21" i="11"/>
  <c r="C22" i="11"/>
  <c r="C23" i="11"/>
  <c r="B2" i="11"/>
  <c r="C22" i="44"/>
  <c r="F21" i="43"/>
  <c r="F26" i="44"/>
  <c r="C26" i="44"/>
  <c r="C25" i="44"/>
  <c r="Q69"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L46"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B2" i="15"/>
  <c r="B3" i="15"/>
  <c r="Q66" i="15"/>
  <c r="J42" i="15"/>
  <c r="J43" i="15"/>
  <c r="C46" i="15"/>
  <c r="B5" i="44"/>
  <c r="B3" i="44"/>
  <c r="B4" i="44"/>
  <c r="Q67" i="15"/>
  <c r="Q58" i="15"/>
  <c r="Q63" i="15"/>
  <c r="Q76" i="15"/>
  <c r="G16"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D5" i="66"/>
  <c r="C5" i="66"/>
  <c r="C44" i="9"/>
  <c r="G14" i="66"/>
  <c r="B6" i="66"/>
  <c r="D6" i="66"/>
  <c r="C6" i="66"/>
  <c r="J59" i="39"/>
  <c r="D44" i="9"/>
  <c r="O39" i="9"/>
  <c r="K29" i="9"/>
  <c r="K30" i="9"/>
  <c r="R6" i="54"/>
  <c r="B50" i="63"/>
  <c r="N69" i="9"/>
  <c r="M83" i="9"/>
  <c r="N83" i="9"/>
  <c r="M84" i="9"/>
  <c r="N84" i="9"/>
  <c r="M85" i="9"/>
  <c r="N85" i="9"/>
  <c r="M86" i="9"/>
  <c r="N86" i="9"/>
  <c r="M87" i="9"/>
  <c r="N87" i="9"/>
  <c r="M88" i="9"/>
  <c r="N88" i="9"/>
  <c r="N89" i="9"/>
  <c r="O89" i="9"/>
  <c r="F44" i="9"/>
  <c r="E44" i="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B3" i="39"/>
  <c r="C20" i="9"/>
  <c r="G20" i="9"/>
  <c r="B4" i="39"/>
  <c r="C21" i="9"/>
  <c r="G21" i="9"/>
  <c r="D22" i="9"/>
  <c r="L43" i="9"/>
  <c r="N43" i="9"/>
  <c r="G22" i="9"/>
  <c r="C35" i="9"/>
  <c r="F42" i="9"/>
  <c r="O43" i="9"/>
  <c r="C34" i="9"/>
  <c r="M38" i="9"/>
  <c r="K27" i="9"/>
  <c r="E42" i="9"/>
  <c r="P5" i="54"/>
  <c r="B46" i="63"/>
  <c r="N68" i="9"/>
  <c r="R5" i="54"/>
  <c r="B48" i="63"/>
  <c r="O38" i="9"/>
  <c r="K26" i="9"/>
  <c r="K25" i="9"/>
  <c r="C33" i="9"/>
  <c r="N38" i="9"/>
  <c r="K28" i="9"/>
  <c r="D42" i="9"/>
  <c r="Q5" i="54"/>
  <c r="B47" i="63"/>
  <c r="E14" i="66"/>
  <c r="F14" i="66"/>
  <c r="D63" i="9"/>
  <c r="C82" i="9"/>
  <c r="C81" i="9"/>
  <c r="C85" i="9"/>
  <c r="C86" i="9"/>
  <c r="D72" i="9"/>
  <c r="D70" i="9"/>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X5" i="59"/>
  <c r="Y5" i="59"/>
  <c r="Z5" i="59"/>
  <c r="AA5" i="59"/>
  <c r="AB5" i="59"/>
  <c r="X6" i="59"/>
  <c r="Y6" i="59"/>
  <c r="Z6" i="59"/>
  <c r="AA6" i="59"/>
  <c r="AB6" i="59"/>
  <c r="C19" i="46"/>
  <c r="C29" i="46"/>
  <c r="E29" i="46"/>
  <c r="C33" i="46"/>
  <c r="E33" i="46"/>
  <c r="C34" i="46"/>
  <c r="E34" i="46"/>
  <c r="C35" i="46"/>
  <c r="E35" i="46"/>
  <c r="C36" i="46"/>
  <c r="E36" i="46"/>
  <c r="C37" i="46"/>
  <c r="E37" i="46"/>
  <c r="C38" i="46"/>
  <c r="E38" i="46"/>
  <c r="C39" i="46"/>
  <c r="E39" i="46"/>
  <c r="C26" i="46"/>
  <c r="B2" i="46"/>
  <c r="B7" i="67"/>
  <c r="B2" i="67"/>
  <c r="C30" i="46"/>
  <c r="E30" i="46"/>
  <c r="G33" i="46"/>
  <c r="I33" i="46"/>
  <c r="G34" i="46"/>
  <c r="I34" i="46"/>
  <c r="G35" i="46"/>
  <c r="I35" i="46"/>
  <c r="G36" i="46"/>
  <c r="I36" i="46"/>
  <c r="G37" i="46"/>
  <c r="I37" i="46"/>
  <c r="G38" i="46"/>
  <c r="I38" i="46"/>
  <c r="G39" i="46"/>
  <c r="I39" i="46"/>
  <c r="C27" i="46"/>
  <c r="E7" i="67"/>
  <c r="E3" i="67"/>
  <c r="B3" i="67"/>
  <c r="F7" i="67"/>
  <c r="E4" i="67"/>
  <c r="B4" i="67"/>
  <c r="B4" i="46"/>
  <c r="B3" i="46"/>
  <c r="D4" i="46"/>
  <c r="T4" i="46"/>
  <c r="V4" i="46"/>
  <c r="T2" i="46"/>
  <c r="V2" i="46"/>
  <c r="T3" i="46"/>
  <c r="V3" i="46"/>
  <c r="T16" i="46"/>
  <c r="V16" i="46"/>
  <c r="T14" i="46"/>
  <c r="V14" i="46"/>
  <c r="T12" i="46"/>
  <c r="V12" i="46"/>
  <c r="T13" i="46"/>
  <c r="V13" i="46"/>
  <c r="T10" i="46"/>
  <c r="V10"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<sst xmlns="http://schemas.openxmlformats.org/spreadsheetml/2006/main" count="8922" uniqueCount="3721">
  <si>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</si>
  <si>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</si>
  <si>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</si>
  <si>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</si>
  <si>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</si>
  <si>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</si>
  <si>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</si>
  <si>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</si>
  <si>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</si>
  <si>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</si>
  <si>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</si>
  <si>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</si>
  <si>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</si>
  <si>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</si>
  <si>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</si>
  <si>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</si>
  <si>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</si>
  <si>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</si>
  <si>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</si>
  <si>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</si>
  <si>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</si>
  <si>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</si>
  <si>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</si>
  <si>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</si>
  <si>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</si>
  <si>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</si>
  <si>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</si>
  <si>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</si>
  <si>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</si>
  <si>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</si>
  <si>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</si>
  <si>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</si>
  <si>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</si>
  <si>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</si>
  <si>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</si>
  <si>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</si>
  <si>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</si>
  <si>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</si>
  <si>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</si>
  <si>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</si>
  <si>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</si>
  <si>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</si>
  <si>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</si>
  <si>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</si>
  <si>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</si>
  <si>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</si>
  <si>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</si>
  <si>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</si>
  <si>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</si>
  <si>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</si>
  <si>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</si>
  <si>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</si>
  <si>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</si>
  <si>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</si>
  <si>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</si>
  <si>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</si>
  <si>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</si>
  <si>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</si>
  <si>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</si>
  <si>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</si>
  <si>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</si>
  <si>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</si>
  <si>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</si>
  <si>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</si>
  <si>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</si>
  <si>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</si>
  <si>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</si>
  <si>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</si>
  <si>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</si>
  <si>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</si>
  <si>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</si>
  <si>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</si>
  <si>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</si>
  <si>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</si>
  <si>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</si>
  <si>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</si>
  <si>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</si>
  <si>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</si>
  <si>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</si>
  <si>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</si>
  <si>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</si>
  <si>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</si>
  <si>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</si>
  <si>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</si>
  <si>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</si>
  <si>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</si>
  <si>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</si>
  <si>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</si>
  <si>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</si>
  <si>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</si>
  <si>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</si>
  <si>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</si>
  <si>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</si>
  <si>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</si>
  <si>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</si>
  <si>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</si>
  <si>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</si>
  <si>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</si>
  <si>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</si>
  <si>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</si>
  <si>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</si>
  <si>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</si>
  <si>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</si>
  <si>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</si>
  <si>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</si>
  <si>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</si>
  <si>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</si>
  <si>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</si>
  <si>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</si>
  <si>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</si>
  <si>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</si>
  <si>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</si>
  <si>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</si>
  <si>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</si>
  <si>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</si>
  <si>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</si>
  <si>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</si>
  <si>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</si>
  <si>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</si>
  <si>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</si>
  <si>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</si>
  <si>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</si>
  <si>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</si>
  <si>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</si>
  <si>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</si>
  <si>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</si>
  <si>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</si>
  <si>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</si>
  <si>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</si>
  <si>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</si>
  <si>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</si>
  <si>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</si>
  <si>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</si>
  <si>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</si>
  <si>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</si>
  <si>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</si>
  <si>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</si>
  <si>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</si>
  <si>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</si>
  <si>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</si>
  <si>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</si>
  <si>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</si>
  <si>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</si>
  <si>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</si>
  <si>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</si>
  <si>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</si>
  <si>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</si>
  <si>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</si>
  <si>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</si>
  <si>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</si>
  <si>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</si>
  <si>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</si>
  <si>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</si>
  <si>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</si>
  <si>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</si>
  <si>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</si>
  <si>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</si>
  <si>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</si>
  <si>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</si>
  <si>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</si>
  <si>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</si>
  <si>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</si>
  <si>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</si>
  <si>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</si>
  <si>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</si>
  <si>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</si>
  <si>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</si>
  <si>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</si>
  <si>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</si>
  <si>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</si>
  <si>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</si>
  <si>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</si>
  <si>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</si>
  <si>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</si>
  <si>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</si>
  <si>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</si>
  <si>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</si>
  <si>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</si>
  <si>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</si>
  <si>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</si>
  <si>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</si>
  <si>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</si>
  <si>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</si>
  <si>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</si>
  <si>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</si>
  <si>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</si>
  <si>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</si>
  <si>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</si>
  <si>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</si>
  <si>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</si>
  <si>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</si>
  <si>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</si>
  <si>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</si>
  <si>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</si>
  <si>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</si>
  <si>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</si>
  <si>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</si>
  <si>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</si>
  <si>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</si>
  <si>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</si>
  <si>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</si>
  <si>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</si>
  <si>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</si>
  <si>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</si>
  <si>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</si>
  <si>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</si>
  <si>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</si>
  <si>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</si>
  <si>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</si>
  <si>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</si>
  <si>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</si>
  <si>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</si>
  <si>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</si>
  <si>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</si>
  <si>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</si>
  <si>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</si>
  <si>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</si>
  <si>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</si>
  <si>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</si>
  <si>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</si>
  <si>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</si>
  <si>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</si>
  <si>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</si>
  <si>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</si>
  <si>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</si>
  <si>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</si>
  <si>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</si>
  <si>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</si>
  <si>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</si>
  <si>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</si>
  <si>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</si>
  <si>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</si>
  <si>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</si>
  <si>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</si>
  <si>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</si>
  <si>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</si>
  <si>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</si>
  <si>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</si>
  <si>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</si>
  <si>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</si>
  <si>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</si>
  <si>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</si>
  <si>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</si>
  <si>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</si>
  <si>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</si>
  <si>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</si>
  <si>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</si>
  <si>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</si>
  <si>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</si>
  <si>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</si>
  <si>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</si>
  <si>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</si>
  <si>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</si>
  <si>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</si>
  <si>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</si>
  <si>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</si>
  <si>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</si>
  <si>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</si>
  <si>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</si>
  <si>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</si>
  <si>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</si>
  <si>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</si>
  <si>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</si>
  <si>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</si>
  <si>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</si>
  <si>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</si>
  <si>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</si>
  <si>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</si>
  <si>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</si>
  <si>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</si>
  <si>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</si>
  <si>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</si>
  <si>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</si>
  <si>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</si>
  <si>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</si>
  <si>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</si>
  <si>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</si>
  <si>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</si>
  <si>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</si>
  <si>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</si>
  <si>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</si>
  <si>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</si>
  <si>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</si>
  <si>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</si>
  <si>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</si>
  <si>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</si>
  <si>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</si>
  <si>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</si>
  <si>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</si>
  <si>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</si>
  <si>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</si>
  <si>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</si>
  <si>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</si>
  <si>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</si>
  <si>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</si>
  <si>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</si>
  <si>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</si>
  <si>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</si>
  <si>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</si>
  <si>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</si>
  <si>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</si>
  <si>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</si>
  <si>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</si>
  <si>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</si>
  <si>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</si>
  <si>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</si>
  <si>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</si>
  <si>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</si>
  <si>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</si>
  <si>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</si>
  <si>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</si>
  <si>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</si>
  <si>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</si>
  <si>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</si>
  <si>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</si>
  <si>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</si>
  <si>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</si>
  <si>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</si>
  <si>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</si>
  <si>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</si>
  <si>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</si>
  <si>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</si>
  <si>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</si>
  <si>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</si>
  <si>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</si>
  <si>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</si>
  <si>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</si>
  <si>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</si>
  <si>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</si>
  <si>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</si>
  <si>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</si>
  <si>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</si>
  <si>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</si>
  <si>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</si>
  <si>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</si>
  <si>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</si>
  <si>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</si>
  <si>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</si>
  <si>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</si>
  <si>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</si>
  <si>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</si>
  <si>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</si>
  <si>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</si>
  <si>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</si>
  <si>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</si>
  <si>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</si>
  <si>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</si>
  <si>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</si>
  <si>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</si>
  <si>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</si>
  <si>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</si>
  <si>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</si>
  <si>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</si>
  <si>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</si>
  <si>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</si>
  <si>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</si>
  <si>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</si>
  <si>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</si>
  <si>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</si>
  <si>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</si>
  <si>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</si>
  <si>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</si>
  <si>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</si>
  <si>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</si>
  <si>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</si>
  <si>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</si>
  <si>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</si>
  <si>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</si>
  <si>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</si>
  <si>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</si>
  <si>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</si>
  <si>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</si>
  <si>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</si>
  <si>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</si>
  <si>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</si>
  <si>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</si>
  <si>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</si>
  <si>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</si>
  <si>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</si>
  <si>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</si>
  <si>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</si>
  <si>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</si>
  <si>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</si>
  <si>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</si>
  <si>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</si>
  <si>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</si>
  <si>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</si>
  <si>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</si>
  <si>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</si>
  <si>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</si>
  <si>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</si>
  <si>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</si>
  <si>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</si>
  <si>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</si>
  <si>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</si>
  <si>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</si>
  <si>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</si>
  <si>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</si>
  <si>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</si>
  <si>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</si>
  <si>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</si>
  <si>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</si>
  <si>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</si>
  <si>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</si>
  <si>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</si>
  <si>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</si>
  <si>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</si>
  <si>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</si>
  <si>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</si>
  <si>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</si>
  <si>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</si>
  <si>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</si>
  <si>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</si>
  <si>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</si>
  <si>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</si>
  <si>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</si>
  <si>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</si>
  <si>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</si>
  <si>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</si>
  <si>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</si>
  <si>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</si>
  <si>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</si>
  <si>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</si>
  <si>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</si>
  <si>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</si>
  <si>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</si>
  <si>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</si>
  <si>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</si>
  <si>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</si>
  <si>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</si>
  <si>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</si>
  <si>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</si>
  <si>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</si>
  <si>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</si>
  <si>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</si>
  <si>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</si>
  <si>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</si>
  <si>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</si>
  <si>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</si>
  <si>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</si>
  <si>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</si>
  <si>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</si>
  <si>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</si>
  <si>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</si>
  <si>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</si>
  <si>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</si>
  <si>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</si>
  <si>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</si>
  <si>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</si>
  <si>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</si>
  <si>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</si>
  <si>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</si>
  <si>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</si>
  <si>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</si>
  <si>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</si>
  <si>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</si>
  <si>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</si>
  <si>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</si>
  <si>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</si>
  <si>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</si>
  <si>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</si>
  <si>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</si>
  <si>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</si>
  <si>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</si>
  <si>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</si>
  <si>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</si>
  <si>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</si>
  <si>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</si>
  <si>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</si>
  <si>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</si>
  <si>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</si>
  <si>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</si>
  <si>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</si>
  <si>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</si>
  <si>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</si>
  <si>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</si>
  <si>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</si>
  <si>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</si>
  <si>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</si>
  <si>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</si>
  <si>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</si>
  <si>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</si>
  <si>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</si>
  <si>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</si>
  <si>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</si>
  <si>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</si>
  <si>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</si>
  <si>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</si>
  <si>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</si>
  <si>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</si>
  <si>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</si>
  <si>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</si>
  <si>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</si>
  <si>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</si>
  <si>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</si>
  <si>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</si>
  <si>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</si>
  <si>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</si>
  <si>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</si>
  <si>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</si>
  <si>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</si>
  <si>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</si>
  <si>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</si>
  <si>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</si>
  <si>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</si>
  <si>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</si>
  <si>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</si>
  <si>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</si>
  <si>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</si>
  <si>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</si>
  <si>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</si>
  <si>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</si>
  <si>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</si>
  <si>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</si>
  <si>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</si>
  <si>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</si>
  <si>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</si>
  <si>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</si>
  <si>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</si>
  <si>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</si>
  <si>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</si>
  <si>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</si>
  <si>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</si>
  <si>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</si>
  <si>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</si>
  <si>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</si>
  <si>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</si>
  <si>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</si>
  <si>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</si>
  <si>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</si>
  <si>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</si>
  <si>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</si>
  <si>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</si>
  <si>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</si>
  <si>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</si>
  <si>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</si>
  <si>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</si>
  <si>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</si>
  <si>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</si>
  <si>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</si>
  <si>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</si>
  <si>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</si>
  <si>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</si>
  <si>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</si>
  <si>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</si>
  <si>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</si>
  <si>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</si>
  <si>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</si>
  <si>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</si>
  <si>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</si>
  <si>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</si>
  <si>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</si>
  <si>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</si>
  <si>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</si>
  <si>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</si>
  <si>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</si>
  <si>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</si>
  <si>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</si>
  <si>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</si>
  <si>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</si>
  <si>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</si>
  <si>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</si>
  <si>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</si>
  <si>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</si>
  <si>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</si>
  <si>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</si>
  <si>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</si>
  <si>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</si>
  <si>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</si>
  <si>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</si>
  <si>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</si>
  <si>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</si>
  <si>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</si>
  <si>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</si>
  <si>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</si>
  <si>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</si>
  <si>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</si>
  <si>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</si>
  <si>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</si>
  <si>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</si>
  <si>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</si>
  <si>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</si>
  <si>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</si>
  <si>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</si>
  <si>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</si>
  <si>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</si>
  <si>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</si>
  <si>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</si>
  <si>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</si>
  <si>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</si>
  <si>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</si>
  <si>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</si>
  <si>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</si>
  <si>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</si>
  <si>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</si>
  <si>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</si>
  <si>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</si>
  <si>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</si>
  <si>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</si>
  <si>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</si>
  <si>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</si>
  <si>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</si>
  <si>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</si>
  <si>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</si>
  <si>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</si>
  <si>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</si>
  <si>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</si>
  <si>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</si>
  <si>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</si>
  <si>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</si>
  <si>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</si>
  <si>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</si>
  <si>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</si>
  <si>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</si>
  <si>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</si>
  <si>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</si>
  <si>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</si>
  <si>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</si>
  <si>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</si>
  <si>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</si>
  <si>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</si>
  <si>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</si>
  <si>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</si>
  <si>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</si>
  <si>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</si>
  <si>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</si>
  <si>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</si>
  <si>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</si>
  <si>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</si>
  <si>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</si>
  <si>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</si>
  <si>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</si>
  <si>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</si>
  <si>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</si>
  <si>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</si>
  <si>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</si>
  <si>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</si>
  <si>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</si>
  <si>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</si>
  <si>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</si>
  <si>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</si>
  <si>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</si>
  <si>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</si>
  <si>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</si>
  <si>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</si>
  <si>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</si>
  <si>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</si>
  <si>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</si>
  <si>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</si>
  <si>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</si>
  <si>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</si>
  <si>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</si>
  <si>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</si>
  <si>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</si>
  <si>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</si>
  <si>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</si>
  <si>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</si>
  <si>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</si>
  <si>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</si>
  <si>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</si>
  <si>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</si>
  <si>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</si>
  <si>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</si>
  <si>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</si>
  <si>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</si>
  <si>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</si>
  <si>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</si>
  <si>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</si>
  <si>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</si>
  <si>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</si>
  <si>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</si>
  <si>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</si>
  <si>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</si>
  <si>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</si>
  <si>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</si>
  <si>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</si>
  <si>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</si>
  <si>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</si>
  <si>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</si>
  <si>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</si>
  <si>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</si>
  <si>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</si>
  <si>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</si>
  <si>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</si>
  <si>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</si>
  <si>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</si>
  <si>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</si>
  <si>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</si>
  <si>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</si>
  <si>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</si>
  <si>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</si>
  <si>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</si>
  <si>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</si>
  <si>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</si>
  <si>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</si>
  <si>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</si>
  <si>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</si>
  <si>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</si>
  <si>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</si>
  <si>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</si>
  <si>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</si>
  <si>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</si>
  <si>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</si>
  <si>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</si>
  <si>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</si>
  <si>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</si>
  <si>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</si>
  <si>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</si>
  <si>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</si>
  <si>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</si>
  <si>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</si>
  <si>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</si>
  <si>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</si>
  <si>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</si>
  <si>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</si>
  <si>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</si>
  <si>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</si>
  <si>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</si>
  <si>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</si>
  <si>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</si>
  <si>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</si>
  <si>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</si>
  <si>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</si>
  <si>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</si>
  <si>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</si>
  <si>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</si>
  <si>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</si>
  <si>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</si>
  <si>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</si>
  <si>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</si>
  <si>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</si>
  <si>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</si>
  <si>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</si>
  <si>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</si>
  <si>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</si>
  <si>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</si>
  <si>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</si>
  <si>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</si>
  <si>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</si>
  <si>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</si>
  <si>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</si>
  <si>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</si>
  <si>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</si>
  <si>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</si>
  <si>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</si>
  <si>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</si>
  <si>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</si>
  <si>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</si>
  <si>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</si>
  <si>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</si>
  <si>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</si>
  <si>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</si>
  <si>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</si>
  <si>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</si>
  <si>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</si>
  <si>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</si>
  <si>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</si>
  <si>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</si>
  <si>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</si>
  <si>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</si>
  <si>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</si>
  <si>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</si>
  <si>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</si>
  <si>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</si>
  <si>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</si>
  <si>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</si>
  <si>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</si>
  <si>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</si>
  <si>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</si>
  <si>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</si>
  <si>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</si>
  <si>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</si>
  <si>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</si>
  <si>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</si>
  <si>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</si>
  <si>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</si>
  <si>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</si>
  <si>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</si>
  <si>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</si>
  <si>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</si>
  <si>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</si>
  <si>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</si>
  <si>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</si>
  <si>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</si>
  <si>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</si>
  <si>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</si>
  <si>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</si>
  <si>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</si>
  <si>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</si>
  <si>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</si>
  <si>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</si>
  <si>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</si>
  <si>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</si>
  <si>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</si>
  <si>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</si>
  <si>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</si>
  <si>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</si>
  <si>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</si>
  <si>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</si>
  <si>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</si>
  <si>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</si>
  <si>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</si>
  <si>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</si>
  <si>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</si>
  <si>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</si>
  <si>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</si>
  <si>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</si>
  <si>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</si>
  <si>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</si>
  <si>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</si>
  <si>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</si>
  <si>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</si>
  <si>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</si>
  <si>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</si>
  <si>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</si>
  <si>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</si>
  <si>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</si>
  <si>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</si>
  <si>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</si>
  <si>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</si>
  <si>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</si>
  <si>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</si>
  <si>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</si>
  <si>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</si>
  <si>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</si>
  <si>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</si>
  <si>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</si>
  <si>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</si>
  <si>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</si>
  <si>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</si>
  <si>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</si>
  <si>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</si>
  <si>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</si>
  <si>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</si>
  <si>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</si>
  <si>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</si>
  <si>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</si>
  <si>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</si>
  <si>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</si>
  <si>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</si>
  <si>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</si>
  <si>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</si>
  <si>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</si>
  <si>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</si>
  <si>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</si>
  <si>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</si>
  <si>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</si>
  <si>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</si>
  <si>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</si>
  <si>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</si>
  <si>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</si>
  <si>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</si>
  <si>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</si>
  <si>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</si>
  <si>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</si>
  <si>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</si>
  <si>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</si>
  <si>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</si>
  <si>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</si>
  <si>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</si>
  <si>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</si>
  <si>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</si>
  <si>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</si>
  <si>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</si>
  <si>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</si>
  <si>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</si>
  <si>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</si>
  <si>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</si>
  <si>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</si>
  <si>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</si>
  <si>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</si>
  <si>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</si>
  <si>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</si>
  <si>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</si>
  <si>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</si>
  <si>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</si>
  <si>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</si>
  <si>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</si>
  <si>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</si>
  <si>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</si>
  <si>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</si>
  <si>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</si>
  <si>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</si>
  <si>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</si>
  <si>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</si>
  <si>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</si>
  <si>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</si>
  <si>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</si>
  <si>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</si>
  <si>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</si>
  <si>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</si>
  <si>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</si>
  <si>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</si>
  <si>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</si>
  <si>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</si>
  <si>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</si>
  <si>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</si>
  <si>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</si>
  <si>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</si>
  <si>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</si>
  <si>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</si>
  <si>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</si>
  <si>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</si>
  <si>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</si>
  <si>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</si>
  <si>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</si>
  <si>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</si>
  <si>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</si>
  <si>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</si>
  <si>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</si>
  <si>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</si>
  <si>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</si>
  <si>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</si>
  <si>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</si>
  <si>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</si>
  <si>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</si>
  <si>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</si>
  <si>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</si>
  <si>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</si>
  <si>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</si>
  <si>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</si>
  <si>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</si>
  <si>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</si>
  <si>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</si>
  <si>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</si>
  <si>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</si>
  <si>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</si>
  <si>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</si>
  <si>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</si>
  <si>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</si>
  <si>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</si>
  <si>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</si>
  <si>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</si>
  <si>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</si>
  <si>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</si>
  <si>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</si>
  <si>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</si>
  <si>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</si>
  <si>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</si>
  <si>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</si>
  <si>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</si>
  <si>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</si>
  <si>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</si>
  <si>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</si>
  <si>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</si>
  <si>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</si>
  <si>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</si>
  <si>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</si>
  <si>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</si>
  <si>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</si>
  <si>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</si>
  <si>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</si>
  <si>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</si>
  <si>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</si>
  <si>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</si>
  <si>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</si>
  <si>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</si>
  <si>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</si>
  <si>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</si>
  <si>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</si>
  <si>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</si>
  <si>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</si>
  <si>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</si>
  <si>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</si>
  <si>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</si>
  <si>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</si>
  <si>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</si>
  <si>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</si>
  <si>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</si>
  <si>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</si>
  <si>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</si>
  <si>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</si>
  <si>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</si>
  <si>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</si>
  <si>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</si>
  <si>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</si>
  <si>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</si>
  <si>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</si>
  <si>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</si>
  <si>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</si>
  <si>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</si>
  <si>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</si>
  <si>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</si>
  <si>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</si>
  <si>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</si>
  <si>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</si>
  <si>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</si>
  <si>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</si>
  <si>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</si>
  <si>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</si>
  <si>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</si>
  <si>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</si>
  <si>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</si>
  <si>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</si>
  <si>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</si>
  <si>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</si>
  <si>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</si>
  <si>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</si>
  <si>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</si>
  <si>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</si>
  <si>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</si>
  <si>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</si>
  <si>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</si>
  <si>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</si>
  <si>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</si>
  <si>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</si>
  <si>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</si>
  <si>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</si>
  <si>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</si>
  <si>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</si>
  <si>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</si>
  <si>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</si>
  <si>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</si>
  <si>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</si>
  <si>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</si>
  <si>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</si>
  <si>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</si>
  <si>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</si>
  <si>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</si>
  <si>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</si>
  <si>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</si>
  <si>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</si>
  <si>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</si>
  <si>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</si>
  <si>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</si>
  <si>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</si>
  <si>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</si>
  <si>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</si>
  <si>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</si>
  <si>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</si>
  <si>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</si>
  <si>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</si>
  <si>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</si>
  <si>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</si>
  <si>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</si>
  <si>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</si>
  <si>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</si>
  <si>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</si>
  <si>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</si>
  <si>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</si>
  <si>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</si>
  <si>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</si>
  <si>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</si>
  <si>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</si>
  <si>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</si>
  <si>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</si>
  <si>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</si>
  <si>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</si>
  <si>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</si>
  <si>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</si>
  <si>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</si>
  <si>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</si>
  <si>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</si>
  <si>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</si>
  <si>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</si>
  <si>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</si>
  <si>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</si>
  <si>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</si>
  <si>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</si>
  <si>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</si>
  <si>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</si>
  <si>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</si>
  <si>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</si>
  <si>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</si>
  <si>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</si>
  <si>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</si>
  <si>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</si>
  <si>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</si>
  <si>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</si>
  <si>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</si>
  <si>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</si>
  <si>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</si>
  <si>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</si>
  <si>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</si>
  <si>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</si>
  <si>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</si>
  <si>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</si>
  <si>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</si>
  <si>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</si>
  <si>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</si>
  <si>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</si>
  <si>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</si>
  <si>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</si>
  <si>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</si>
  <si>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</si>
  <si>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</si>
  <si>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</si>
  <si>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</si>
  <si>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</si>
  <si>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</si>
  <si>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</si>
  <si>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</si>
  <si>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</si>
  <si>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</si>
  <si>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</si>
  <si>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</si>
  <si>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</si>
  <si>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</si>
  <si>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</si>
  <si>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</si>
  <si>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</si>
  <si>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</si>
  <si>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</si>
  <si>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</si>
  <si>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</si>
  <si>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</si>
  <si>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</si>
  <si>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</si>
  <si>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</si>
  <si>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</si>
  <si>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</si>
  <si>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</si>
  <si>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</si>
  <si>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</si>
  <si>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</si>
  <si>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</si>
  <si>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</si>
  <si>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</si>
  <si>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</si>
  <si>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</si>
  <si>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</si>
  <si>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</si>
  <si>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</si>
  <si>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</si>
  <si>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</si>
  <si>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</si>
  <si>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</si>
  <si>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</si>
  <si>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</si>
  <si>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</si>
  <si>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</si>
  <si>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</si>
  <si>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</si>
  <si>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</si>
  <si>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</si>
  <si>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</si>
  <si>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</si>
  <si>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</si>
  <si>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</si>
  <si>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</si>
  <si>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</si>
  <si>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</si>
  <si>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</si>
  <si>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</si>
  <si>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</si>
  <si>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</si>
  <si>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</si>
  <si>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</si>
  <si>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</si>
  <si>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</si>
  <si>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</si>
  <si>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</si>
  <si>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</si>
  <si>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</si>
  <si>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</si>
  <si>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</si>
  <si>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</si>
  <si>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</si>
  <si>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</si>
  <si>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</si>
  <si>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</si>
  <si>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</si>
  <si>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</si>
  <si>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</si>
  <si>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</si>
  <si>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</si>
  <si>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</si>
  <si>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</si>
  <si>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</si>
  <si>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</si>
  <si>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</si>
  <si>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</si>
  <si>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</si>
  <si>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</si>
  <si>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</si>
  <si>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</si>
  <si>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</si>
  <si>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</si>
  <si>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</si>
  <si>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</si>
  <si>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</si>
  <si>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</si>
  <si>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</si>
  <si>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</si>
  <si>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</si>
  <si>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</si>
  <si>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</si>
  <si>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</si>
  <si>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</si>
  <si>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</si>
  <si>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</si>
  <si>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</si>
  <si>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</si>
  <si>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</si>
  <si>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</si>
  <si>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</si>
  <si>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</si>
  <si>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</si>
  <si>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</si>
  <si>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</si>
  <si>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</si>
  <si>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</si>
  <si>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</si>
  <si>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</si>
  <si>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</si>
  <si>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</si>
  <si>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</si>
  <si>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</si>
  <si>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</si>
  <si>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</si>
  <si>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</si>
  <si>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</si>
  <si>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</si>
  <si>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</si>
  <si>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</si>
  <si>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</si>
  <si>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</si>
  <si>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</si>
  <si>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</si>
  <si>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</si>
  <si>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</si>
  <si>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</si>
  <si>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</si>
  <si>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</si>
  <si>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</si>
  <si>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</si>
  <si>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</si>
  <si>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</si>
  <si>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</si>
  <si>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</si>
  <si>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</si>
  <si>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</si>
  <si>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</si>
  <si>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</si>
  <si>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</si>
  <si>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</si>
  <si>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</si>
  <si>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</si>
  <si>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</si>
  <si>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</si>
  <si>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</si>
  <si>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</si>
  <si>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</si>
  <si>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</si>
  <si>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</si>
  <si>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</si>
  <si>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</si>
  <si>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</si>
  <si>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</si>
  <si>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</si>
  <si>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</si>
  <si>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</si>
  <si>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</si>
  <si>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</si>
  <si>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</si>
  <si>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</si>
  <si>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</si>
  <si>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</si>
  <si>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</si>
  <si>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</si>
  <si>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</si>
  <si>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</si>
  <si>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</si>
  <si>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</si>
  <si>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</si>
  <si>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</si>
  <si>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</si>
  <si>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</si>
  <si>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</si>
  <si>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</si>
  <si>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</si>
  <si>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</si>
  <si>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</si>
  <si>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</si>
  <si>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</si>
  <si>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</si>
  <si>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</si>
  <si>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</si>
  <si>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</si>
  <si>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</si>
  <si>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</si>
  <si>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</si>
  <si>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</si>
  <si>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</si>
  <si>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</si>
  <si>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</si>
  <si>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</si>
  <si>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</si>
  <si>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</si>
  <si>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</si>
  <si>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</si>
  <si>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</si>
  <si>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</si>
  <si>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</si>
  <si>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</si>
  <si>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</si>
  <si>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</si>
  <si>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</si>
  <si>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</si>
  <si>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</si>
  <si>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</si>
  <si>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</si>
  <si>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</si>
  <si>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</si>
  <si>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</si>
  <si>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</si>
  <si>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</si>
  <si>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</si>
  <si>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</si>
  <si>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</si>
  <si>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</si>
  <si>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</si>
  <si>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</si>
  <si>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</si>
  <si>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</si>
  <si>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</si>
  <si>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</si>
  <si>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</si>
  <si>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</si>
  <si>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</si>
  <si>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</si>
  <si>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</si>
  <si>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</si>
  <si>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</si>
  <si>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</si>
  <si>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</si>
  <si>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</si>
  <si>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</si>
  <si>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</si>
  <si>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</si>
  <si>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</si>
  <si>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</si>
  <si>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</si>
  <si>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</si>
  <si>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</si>
  <si>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</si>
  <si>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</si>
  <si>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</si>
  <si>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</si>
  <si>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</si>
  <si>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</si>
  <si>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</si>
  <si>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</si>
  <si>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</si>
  <si>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</si>
  <si>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</si>
  <si>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</si>
  <si>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</si>
  <si>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</si>
  <si>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</si>
  <si>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</si>
  <si>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</si>
  <si>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</si>
  <si>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</si>
  <si>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</si>
  <si>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</si>
  <si>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</si>
  <si>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</si>
  <si>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</si>
  <si>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</si>
  <si>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</si>
  <si>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</si>
  <si>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</si>
  <si>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</si>
  <si>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</si>
  <si>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</si>
  <si>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</si>
  <si>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</si>
  <si>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</si>
  <si>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</si>
  <si>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</si>
  <si>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</si>
  <si>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</si>
  <si>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</si>
  <si>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</si>
  <si>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</si>
  <si>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</si>
  <si>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</si>
  <si>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</si>
  <si>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</si>
  <si>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</si>
  <si>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</si>
  <si>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</si>
  <si>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</si>
  <si>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</si>
  <si>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</si>
  <si>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</si>
  <si>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</si>
  <si>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</si>
  <si>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</si>
  <si>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</si>
  <si>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</si>
  <si>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</si>
  <si>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</si>
  <si>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</si>
  <si>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</si>
  <si>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</si>
  <si>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</si>
  <si>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</si>
  <si>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</si>
  <si>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</si>
  <si>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</si>
  <si>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</si>
  <si>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</si>
  <si>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</si>
  <si>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</si>
  <si>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</si>
  <si>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</si>
  <si>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</si>
  <si>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</si>
  <si>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</si>
  <si>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</si>
  <si>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</si>
  <si>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</si>
  <si>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</si>
  <si>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</si>
  <si>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</si>
  <si>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</si>
  <si>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</si>
  <si>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</si>
  <si>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</si>
  <si>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</si>
  <si>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</si>
  <si>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</si>
  <si>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</si>
  <si>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</si>
  <si>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</si>
  <si>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</si>
  <si>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</si>
  <si>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</si>
  <si>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</si>
  <si>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</si>
  <si>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</si>
  <si>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</si>
  <si>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</si>
  <si>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</si>
  <si>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</si>
  <si>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</si>
  <si>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</si>
  <si>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</si>
  <si>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</si>
  <si>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</si>
  <si>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</si>
  <si>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</si>
  <si>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</si>
  <si>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</si>
  <si>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</si>
  <si>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</si>
  <si>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</si>
  <si>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</si>
  <si>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</si>
  <si>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</si>
  <si>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</si>
  <si>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</si>
  <si>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</si>
  <si>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</si>
  <si>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</si>
  <si>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</si>
  <si>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</si>
  <si>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</si>
  <si>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</si>
  <si>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</si>
  <si>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</si>
  <si>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</si>
  <si>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</si>
  <si>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</si>
  <si>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</si>
  <si>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</si>
  <si>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</si>
  <si>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</si>
  <si>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</si>
  <si>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</si>
  <si>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</si>
  <si>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</si>
  <si>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</si>
  <si>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</si>
  <si>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</si>
  <si>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</si>
  <si>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</si>
  <si>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</si>
  <si>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</si>
  <si>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</si>
  <si>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</si>
  <si>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</si>
  <si>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</si>
  <si>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</si>
  <si>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</si>
  <si>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</si>
  <si>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</si>
  <si>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</si>
  <si>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</si>
  <si>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</si>
  <si>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</si>
  <si>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</si>
  <si>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</si>
  <si>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</si>
  <si>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</si>
  <si>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</si>
  <si>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</si>
  <si>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</si>
  <si>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</si>
  <si>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</si>
  <si>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</si>
  <si>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</si>
  <si>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</si>
  <si>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</si>
  <si>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</si>
  <si>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</si>
  <si>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</si>
  <si>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</si>
  <si>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</si>
  <si>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</si>
  <si>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</si>
  <si>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</si>
  <si>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</si>
  <si>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</si>
  <si>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</si>
  <si>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</si>
  <si>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</si>
  <si>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</si>
  <si>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</si>
  <si>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</si>
  <si>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</si>
  <si>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</si>
  <si>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</si>
  <si>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</si>
  <si>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</si>
  <si>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</si>
  <si>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</si>
  <si>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</si>
  <si>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</si>
  <si>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</si>
  <si>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</si>
  <si>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</si>
  <si>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</si>
  <si>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</si>
  <si>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</si>
  <si>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</si>
  <si>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</si>
  <si>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</si>
  <si>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</si>
  <si>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</si>
  <si>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</si>
  <si>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</si>
  <si>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</si>
  <si>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</si>
  <si>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</si>
  <si>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</si>
  <si>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</si>
  <si>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</si>
  <si>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</si>
  <si>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</si>
  <si>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</si>
  <si>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</si>
  <si>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</si>
  <si>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</si>
  <si>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</si>
  <si>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</si>
  <si>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</si>
  <si>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</si>
  <si>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</si>
  <si>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</si>
  <si>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</si>
  <si>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</si>
  <si>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</si>
  <si>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</si>
  <si>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</si>
  <si>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</si>
  <si>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</si>
  <si>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</si>
  <si>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</si>
  <si>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</si>
  <si>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</si>
  <si>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</si>
  <si>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</si>
  <si>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</si>
  <si>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</si>
  <si>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</si>
  <si>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</si>
  <si>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</si>
  <si>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</si>
  <si>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</si>
  <si>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</si>
  <si>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</si>
  <si>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</si>
  <si>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</si>
  <si>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</si>
  <si>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</si>
  <si>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</si>
  <si>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</si>
  <si>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</si>
  <si>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</si>
  <si>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</si>
  <si>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</si>
  <si>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</si>
  <si>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</si>
  <si>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</si>
  <si>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</si>
  <si>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</si>
  <si>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</si>
  <si>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</si>
  <si>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</si>
  <si>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</si>
  <si>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</si>
  <si>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</si>
  <si>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</si>
  <si>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</si>
  <si>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</si>
  <si>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</si>
  <si>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</si>
  <si>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</si>
  <si>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</si>
  <si>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</si>
  <si>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</si>
  <si>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</si>
  <si>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</si>
  <si>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</si>
  <si>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</si>
  <si>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</si>
  <si>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</si>
  <si>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</si>
  <si>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</si>
  <si>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</si>
  <si>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</si>
  <si>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</si>
  <si>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</si>
  <si>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</si>
  <si>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</si>
  <si>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</si>
  <si>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</si>
  <si>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</si>
  <si>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</si>
  <si>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</si>
  <si>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</si>
  <si>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</si>
  <si>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</si>
  <si>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</si>
  <si>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</si>
  <si>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</si>
  <si>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</si>
  <si>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</si>
  <si>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</si>
  <si>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</si>
  <si>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</si>
  <si>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</si>
  <si>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</si>
  <si>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</si>
  <si>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</si>
  <si>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</si>
  <si>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</si>
  <si>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</si>
  <si>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</si>
  <si>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</si>
  <si>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</si>
  <si>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</si>
  <si>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</si>
  <si>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</si>
  <si>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</si>
  <si>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</si>
  <si>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</si>
  <si>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</si>
  <si>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</si>
  <si>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</si>
  <si>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</si>
  <si>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</si>
  <si>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</si>
  <si>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</si>
  <si>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</si>
  <si>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</si>
  <si>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</si>
  <si>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</si>
  <si>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</si>
  <si>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</si>
  <si>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</si>
  <si>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</si>
  <si>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</si>
  <si>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</si>
  <si>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</si>
  <si>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</si>
  <si>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</si>
  <si>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</si>
  <si>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</si>
  <si>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</si>
  <si>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</si>
  <si>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</si>
  <si>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</si>
  <si>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</si>
  <si>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</si>
  <si>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</si>
  <si>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</si>
  <si>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</si>
  <si>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</si>
  <si>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</si>
  <si>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</si>
  <si>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</si>
  <si>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</si>
  <si>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</si>
  <si>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</si>
  <si>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</si>
  <si>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</si>
  <si>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</si>
  <si>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</si>
  <si>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</si>
  <si>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</si>
  <si>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</si>
  <si>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</si>
  <si>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</si>
  <si>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</si>
  <si>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</si>
  <si>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</si>
  <si>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</si>
  <si>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</si>
  <si>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</si>
  <si>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</si>
  <si>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</si>
  <si>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</si>
  <si>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</si>
  <si>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</si>
  <si>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</si>
  <si>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</si>
  <si>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</si>
  <si>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</si>
  <si>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</si>
  <si>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</si>
  <si>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</si>
  <si>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</si>
  <si>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</si>
  <si>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</si>
  <si>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</si>
  <si>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</si>
  <si>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</si>
  <si>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</si>
  <si>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</si>
  <si>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</si>
  <si>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</si>
  <si>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</si>
  <si>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</si>
  <si>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</si>
  <si>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</si>
  <si>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</si>
  <si>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</si>
  <si>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</si>
  <si>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</si>
  <si>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</si>
  <si>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</si>
  <si>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</si>
  <si>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</si>
  <si>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</si>
  <si>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</si>
  <si>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</si>
  <si>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</si>
  <si>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</si>
  <si>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</si>
  <si>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</si>
  <si>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</si>
  <si>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</si>
  <si>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</si>
  <si>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</si>
  <si>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</si>
  <si>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</si>
  <si>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</si>
  <si>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</si>
  <si>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</si>
  <si>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</si>
  <si>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</si>
  <si>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</si>
  <si>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</si>
  <si>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</si>
  <si>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</si>
  <si>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</si>
  <si>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</si>
  <si>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</si>
  <si>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</si>
  <si>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</si>
  <si>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</si>
  <si>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</si>
  <si>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</si>
  <si>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</si>
  <si>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</si>
  <si>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</si>
  <si>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</si>
  <si>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</si>
  <si>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</si>
  <si>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</si>
  <si>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</si>
  <si>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</si>
  <si>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</si>
  <si>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</si>
  <si>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</si>
  <si>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</si>
  <si>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</si>
  <si>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</si>
  <si>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</si>
  <si>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</si>
  <si>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</si>
  <si>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</si>
  <si>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</si>
  <si>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</si>
  <si>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</si>
  <si>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</si>
  <si>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</si>
  <si>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</si>
  <si>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</si>
  <si>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</si>
  <si>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</si>
  <si>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</si>
  <si>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</si>
  <si>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</si>
  <si>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</si>
  <si>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</si>
  <si>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</si>
  <si>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</si>
  <si>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</si>
  <si>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</si>
  <si>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</si>
  <si>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</si>
  <si>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</si>
  <si>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</si>
  <si>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</si>
  <si>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</si>
  <si>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</si>
  <si>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</si>
  <si>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</si>
  <si>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</si>
  <si>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</si>
  <si>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</si>
  <si>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</si>
  <si>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</si>
  <si>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</si>
  <si>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</si>
  <si>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</si>
  <si>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</si>
  <si>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</si>
  <si>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</si>
  <si>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</si>
  <si>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</si>
  <si>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</si>
  <si>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</si>
  <si>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</si>
  <si>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</si>
  <si>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</si>
  <si>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</si>
  <si>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</si>
  <si>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</si>
  <si>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</si>
  <si>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</si>
  <si>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</si>
  <si>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</si>
  <si>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</si>
  <si>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</si>
  <si>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</si>
  <si>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</si>
  <si>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</si>
  <si>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</si>
  <si>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</si>
  <si>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</si>
  <si>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</si>
  <si>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</si>
  <si>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</si>
  <si>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</si>
  <si>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</si>
  <si>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</si>
  <si>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</si>
  <si>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</si>
  <si>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</si>
  <si>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</si>
  <si>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</si>
  <si>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</si>
  <si>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</si>
  <si>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</si>
  <si>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</si>
  <si>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</si>
  <si>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</si>
  <si>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</si>
  <si>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</si>
  <si>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</si>
  <si>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</si>
  <si>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</si>
  <si>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</si>
  <si>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</si>
  <si>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</si>
  <si>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</si>
  <si>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</si>
  <si>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</si>
  <si>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</si>
  <si>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</si>
  <si>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</si>
  <si>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</si>
  <si>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</si>
  <si>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</si>
  <si>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</si>
  <si>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</si>
  <si>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</si>
  <si>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</si>
  <si>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</si>
  <si>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</si>
  <si>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</si>
  <si>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</si>
  <si>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</si>
  <si>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</si>
  <si>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</si>
  <si>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</si>
  <si>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</si>
  <si>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</si>
  <si>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</si>
  <si>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</si>
  <si>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</si>
  <si>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</si>
  <si>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</si>
  <si>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</si>
  <si>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</si>
  <si>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</si>
  <si>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</si>
  <si>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</si>
  <si>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</si>
  <si>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</si>
  <si>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</si>
  <si>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</si>
  <si>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</si>
  <si>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</si>
  <si>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</si>
  <si>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</si>
  <si>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</si>
  <si>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</si>
  <si>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</si>
  <si>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</si>
  <si>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</si>
  <si>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</si>
  <si>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</si>
  <si>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</si>
  <si>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</si>
  <si>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</si>
  <si>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</si>
  <si>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</si>
  <si>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</si>
  <si>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</si>
  <si>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</si>
  <si>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</si>
  <si>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</si>
  <si>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</si>
  <si>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</si>
  <si>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</si>
  <si>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</si>
  <si>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</si>
  <si>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</si>
  <si>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</si>
  <si>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</si>
  <si>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</si>
  <si>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</si>
  <si>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</si>
  <si>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</si>
  <si>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</si>
  <si>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</si>
  <si>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</si>
  <si>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</si>
  <si>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</si>
  <si>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</si>
  <si>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</si>
  <si>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</si>
  <si>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</si>
  <si>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</si>
  <si>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</si>
  <si>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</si>
  <si>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</si>
  <si>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</si>
  <si>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</si>
  <si>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</si>
  <si>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</si>
  <si>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</si>
  <si>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</si>
  <si>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</si>
  <si>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</si>
  <si>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</si>
  <si>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</si>
  <si>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</si>
  <si>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</si>
  <si>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</si>
  <si>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</si>
  <si>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</si>
  <si>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</si>
  <si>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</si>
  <si>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</si>
  <si>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</si>
  <si>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</si>
  <si>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</si>
  <si>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</si>
  <si>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</si>
  <si>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</si>
  <si>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</si>
  <si>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</si>
  <si>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</si>
  <si>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</si>
  <si>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</si>
  <si>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</si>
  <si>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</si>
  <si>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</si>
  <si>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</si>
  <si>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</si>
  <si>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</si>
  <si>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</si>
  <si>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</si>
  <si>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</si>
  <si>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</si>
  <si>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</si>
  <si>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</si>
  <si>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</si>
  <si>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</si>
  <si>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</si>
  <si>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</si>
  <si>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</si>
  <si>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</si>
  <si>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</si>
  <si>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</si>
  <si>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</si>
  <si>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</si>
  <si>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</si>
  <si>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</si>
  <si>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</si>
  <si>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</si>
  <si>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</si>
  <si>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</si>
  <si>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</si>
  <si>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</si>
  <si>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</si>
  <si>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</si>
  <si>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</si>
  <si>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</si>
  <si>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</si>
  <si>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</si>
  <si>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</si>
  <si>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</si>
  <si>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</si>
  <si>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</si>
  <si>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</si>
  <si>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</si>
  <si>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</si>
  <si>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</si>
  <si>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</si>
  <si>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</si>
  <si>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</si>
  <si>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</si>
  <si>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</si>
  <si>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</si>
  <si>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</si>
  <si>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</si>
  <si>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</si>
  <si>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</si>
  <si>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</si>
  <si>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</si>
  <si>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</si>
  <si>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</si>
  <si>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</si>
  <si>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</si>
  <si>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</si>
  <si>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</si>
  <si>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</si>
  <si>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</si>
  <si>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</si>
  <si>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</si>
  <si>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</si>
  <si>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</si>
  <si>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</si>
  <si>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</si>
  <si>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</si>
  <si>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</si>
  <si>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</si>
  <si>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</si>
  <si>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</si>
  <si>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</si>
  <si>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</si>
  <si>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</si>
  <si>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</si>
  <si>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</si>
  <si>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</si>
  <si>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</si>
  <si>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</si>
  <si>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</si>
  <si>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</si>
  <si>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</si>
  <si>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</si>
  <si>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</si>
  <si>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</si>
  <si>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</si>
  <si>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</si>
  <si>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</si>
  <si>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</si>
  <si>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</si>
  <si>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</si>
  <si>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</si>
  <si>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</si>
  <si>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</si>
  <si>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</si>
  <si>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</si>
  <si>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</si>
  <si>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</si>
  <si>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</si>
  <si>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</si>
  <si>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</si>
  <si>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</si>
  <si>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</si>
  <si>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</si>
  <si>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</si>
  <si>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</si>
  <si>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</si>
  <si>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</si>
  <si>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</si>
  <si>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</si>
  <si>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</si>
  <si>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</si>
  <si>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</si>
  <si>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</si>
  <si>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</si>
  <si>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</si>
  <si>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</si>
  <si>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</si>
  <si>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</si>
  <si>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</si>
  <si>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</si>
  <si>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</si>
  <si>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</si>
  <si>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</si>
  <si>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</si>
  <si>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</si>
  <si>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</si>
  <si>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</si>
  <si>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</si>
  <si>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</si>
  <si>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</si>
  <si>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</si>
  <si>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</si>
  <si>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</si>
  <si>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</si>
  <si>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</si>
  <si>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</si>
  <si>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</si>
  <si>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</si>
  <si>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</si>
  <si>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</si>
  <si>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</si>
  <si>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</si>
  <si>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</si>
  <si>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</si>
  <si>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</si>
  <si>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</si>
  <si>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</si>
  <si>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</si>
  <si>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</si>
  <si>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</si>
  <si>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</si>
  <si>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</si>
  <si>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</si>
  <si>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</si>
  <si>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</si>
  <si>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</si>
  <si>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</si>
  <si>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</si>
  <si>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</si>
  <si>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</si>
  <si>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</si>
  <si>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</si>
  <si>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</si>
  <si>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</si>
  <si>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</si>
  <si>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</si>
  <si>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</si>
  <si>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</si>
  <si>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</si>
  <si>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</si>
  <si>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</si>
  <si>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</si>
  <si>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</si>
  <si>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</si>
  <si>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</si>
  <si>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</si>
  <si>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</si>
  <si>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</si>
  <si>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</si>
  <si>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</si>
  <si>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</si>
  <si>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</si>
  <si>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</si>
  <si>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</si>
  <si>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</si>
  <si>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</si>
  <si>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</si>
  <si>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</si>
  <si>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</si>
  <si>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</si>
  <si>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</si>
  <si>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</si>
  <si>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</si>
  <si>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</si>
  <si>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</si>
  <si>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</si>
  <si>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</si>
  <si>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</si>
  <si>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</si>
  <si>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</si>
  <si>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</si>
  <si>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</si>
  <si>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</si>
  <si>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</si>
  <si>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</si>
  <si>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</si>
  <si>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</si>
  <si>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</si>
  <si>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</si>
  <si>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</si>
  <si>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</si>
  <si>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</si>
  <si>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</si>
  <si>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</si>
  <si>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</si>
  <si>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</si>
  <si>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</si>
  <si>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</si>
  <si>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</si>
  <si>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</si>
  <si>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</si>
  <si>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</si>
  <si>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</si>
  <si>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</si>
  <si>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</si>
  <si>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</si>
  <si>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</si>
  <si>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</si>
  <si>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</si>
  <si>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</si>
  <si>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</si>
  <si>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</si>
  <si>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</si>
  <si>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</si>
  <si>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</si>
  <si>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</si>
  <si>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</si>
  <si>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</si>
  <si>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</si>
  <si>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</si>
  <si>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</si>
  <si>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</si>
  <si>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</si>
  <si>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</si>
  <si>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</si>
  <si>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</si>
  <si>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</si>
  <si>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</si>
  <si>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</si>
  <si>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</si>
  <si>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</si>
  <si>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</si>
  <si>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</si>
  <si>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</si>
  <si>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</si>
  <si>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</si>
  <si>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</si>
  <si>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</si>
  <si>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</si>
  <si>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</si>
  <si>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</si>
  <si>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</si>
  <si>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</si>
  <si>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</si>
  <si>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</si>
  <si>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</si>
  <si>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</si>
  <si>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</si>
  <si>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</si>
  <si>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</si>
  <si>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</si>
  <si>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</si>
  <si>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</si>
  <si>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</si>
  <si>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</si>
  <si>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</si>
  <si>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</si>
  <si>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</si>
  <si>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</si>
  <si>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</si>
  <si>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</si>
  <si>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</si>
  <si>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</si>
  <si>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</si>
  <si>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</si>
  <si>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</si>
  <si>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</si>
  <si>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</si>
  <si>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</si>
  <si>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</si>
  <si>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</si>
  <si>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</si>
  <si>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</si>
  <si>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</si>
  <si>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</si>
  <si>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</si>
  <si>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</si>
  <si>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</si>
  <si>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</si>
  <si>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</si>
  <si>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</si>
  <si>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</si>
  <si>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</si>
  <si>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</si>
  <si>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</si>
  <si>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</si>
  <si>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</si>
  <si>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</si>
  <si>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</si>
  <si>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</si>
  <si>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</si>
  <si>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</si>
  <si>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</si>
  <si>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</si>
  <si>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</si>
  <si>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</si>
  <si>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</si>
  <si>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</si>
  <si>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</si>
  <si>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</si>
  <si>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</si>
  <si>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</si>
  <si>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</si>
  <si>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</si>
  <si>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</si>
  <si>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</si>
  <si>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</si>
  <si>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</si>
  <si>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</si>
  <si>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</si>
  <si>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</si>
  <si>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</si>
  <si>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</si>
  <si>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</si>
  <si>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</si>
  <si>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</si>
  <si>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</si>
  <si>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</si>
  <si>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</si>
  <si>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</si>
  <si>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</si>
  <si>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</si>
  <si>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</si>
  <si>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</si>
  <si>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</si>
  <si>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</si>
  <si>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</si>
  <si>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</si>
  <si>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</si>
  <si>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</si>
  <si>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</si>
  <si>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</si>
  <si>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</si>
  <si>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</si>
  <si>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</si>
  <si>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</si>
  <si>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</si>
  <si>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</si>
  <si>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</si>
  <si>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</si>
  <si>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</si>
  <si>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</si>
  <si>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</si>
  <si>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</si>
  <si>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</si>
  <si>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</si>
  <si>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</si>
  <si>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</si>
  <si>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</si>
  <si>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</si>
  <si>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</si>
  <si>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</si>
  <si>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</si>
  <si>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</si>
  <si>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</si>
  <si>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</si>
  <si>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</si>
  <si>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</si>
  <si>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</si>
  <si>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</si>
  <si>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</si>
  <si>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</si>
  <si>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</si>
  <si>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</si>
  <si>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</si>
  <si>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</si>
  <si>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</si>
  <si>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</si>
  <si>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</si>
  <si>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</si>
  <si>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</si>
  <si>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</si>
  <si>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</si>
  <si>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</si>
  <si>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</si>
  <si>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</si>
  <si>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</si>
  <si>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</si>
  <si>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</si>
  <si>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</si>
  <si>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</si>
  <si>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</si>
  <si>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</si>
  <si>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</si>
  <si>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</si>
  <si>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</si>
  <si>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</si>
  <si>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</si>
  <si>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</si>
  <si>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</si>
  <si>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</si>
  <si>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</si>
  <si>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</si>
  <si>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</si>
  <si>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</si>
  <si>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</si>
  <si>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</si>
  <si>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</si>
  <si>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</si>
  <si>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</si>
  <si>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</si>
  <si>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</si>
  <si>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</si>
  <si>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</si>
  <si>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</si>
  <si>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</si>
  <si>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</si>
  <si>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</si>
  <si>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</si>
  <si>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</si>
  <si>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</si>
  <si>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</si>
  <si>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</si>
  <si>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</si>
  <si>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</si>
  <si>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</si>
  <si>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</si>
  <si>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</si>
  <si>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</si>
  <si>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</si>
  <si>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</si>
  <si>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</si>
  <si>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</si>
  <si>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</si>
  <si>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</si>
  <si>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</si>
  <si>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</si>
  <si>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</si>
  <si>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</si>
  <si>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</si>
  <si>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</si>
  <si>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</si>
  <si>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</si>
  <si>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</si>
  <si>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</si>
  <si>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</si>
  <si>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</si>
  <si>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</si>
  <si>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</si>
  <si>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</si>
  <si>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</si>
  <si>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</si>
  <si>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</si>
  <si>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</si>
  <si>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</si>
  <si>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</si>
  <si>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</si>
  <si>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</si>
  <si>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</si>
  <si>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</si>
  <si>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</si>
  <si>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</si>
  <si>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</si>
  <si>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</si>
  <si>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</si>
  <si>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</si>
  <si>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</si>
  <si>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</si>
  <si>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</si>
  <si>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</si>
  <si>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</si>
  <si>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</si>
  <si>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</si>
  <si>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</si>
  <si>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</si>
  <si>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</si>
  <si>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</si>
  <si>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</si>
  <si>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</si>
  <si>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</si>
  <si>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</si>
  <si>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</si>
  <si>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</si>
  <si>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</si>
  <si>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</si>
  <si>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</si>
  <si>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</si>
  <si>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</si>
  <si>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</si>
  <si>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</si>
  <si>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</si>
  <si>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</si>
  <si>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</si>
  <si>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</si>
  <si>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</si>
  <si>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</si>
  <si>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</si>
  <si>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</si>
  <si>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</si>
  <si>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</si>
  <si>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</si>
  <si>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</si>
  <si>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</si>
  <si>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</si>
  <si>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</si>
  <si>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</si>
  <si>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</si>
  <si>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</si>
  <si>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</si>
  <si>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</si>
  <si>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</si>
  <si>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</si>
  <si>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</si>
  <si>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</si>
  <si>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</si>
  <si>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</si>
  <si>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</si>
  <si>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</si>
  <si>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</si>
  <si>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</si>
  <si>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</si>
  <si>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</si>
  <si>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</si>
  <si>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</si>
  <si>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</si>
  <si>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</si>
  <si>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</si>
  <si>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</si>
  <si>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</si>
  <si>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</si>
  <si>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</si>
  <si>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</si>
  <si>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</si>
  <si>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</si>
  <si>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</si>
  <si>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</si>
  <si>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</si>
  <si>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</si>
  <si>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</si>
  <si>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</si>
  <si>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</si>
  <si>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</si>
  <si>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</si>
  <si>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</si>
  <si>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</si>
  <si>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</si>
  <si>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</si>
  <si>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</si>
  <si>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</si>
  <si>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</si>
  <si>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</si>
  <si>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</si>
  <si>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</si>
  <si>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</si>
  <si>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</si>
  <si>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</si>
  <si>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</si>
  <si>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</si>
  <si>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</si>
  <si>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</si>
  <si>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</si>
  <si>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</si>
  <si>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</si>
  <si>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</si>
  <si>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</si>
  <si>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</si>
  <si>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</si>
  <si>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</si>
  <si>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</si>
  <si>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</si>
  <si>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</si>
  <si>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</si>
  <si>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</si>
  <si>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</si>
  <si>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</si>
  <si>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</si>
  <si>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</si>
  <si>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</si>
  <si>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</si>
  <si>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</si>
  <si>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</si>
  <si>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</si>
  <si>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</si>
  <si>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</si>
  <si>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</si>
  <si>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</si>
  <si>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</si>
  <si>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</si>
  <si>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</si>
  <si>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</si>
  <si>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</si>
  <si>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</si>
  <si>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</si>
  <si>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</si>
  <si>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</si>
  <si>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</si>
  <si>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</si>
  <si>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</si>
  <si>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</si>
  <si>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</si>
  <si>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</si>
  <si>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</si>
  <si>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</si>
  <si>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</si>
  <si>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</si>
  <si>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</si>
  <si>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</si>
  <si>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</si>
  <si>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</si>
  <si>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</si>
  <si>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</si>
  <si>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</si>
  <si>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</si>
  <si>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</si>
  <si>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</si>
  <si>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</si>
  <si>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</si>
  <si>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</si>
  <si>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</si>
  <si>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</si>
  <si>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</si>
  <si>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</si>
  <si>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</si>
  <si>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</si>
  <si>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</si>
  <si>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</si>
  <si>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</si>
  <si>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</si>
  <si>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</si>
  <si>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</si>
  <si>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</si>
  <si>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</si>
  <si>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</si>
  <si>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</si>
  <si>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</si>
  <si>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</si>
  <si>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</si>
  <si>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</si>
  <si>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</si>
  <si>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</si>
  <si>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</si>
  <si>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</si>
  <si>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</si>
  <si>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</si>
  <si>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</si>
  <si>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</si>
  <si>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</si>
  <si>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</si>
  <si>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</si>
  <si>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</si>
  <si>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</si>
  <si>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</si>
  <si>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</si>
  <si>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</si>
  <si>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</si>
  <si>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</si>
  <si>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</si>
  <si>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</si>
  <si>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</si>
  <si>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</si>
  <si>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</si>
  <si>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</si>
  <si>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</si>
  <si>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</si>
  <si>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</si>
  <si>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</si>
  <si>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</si>
  <si>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</si>
  <si>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</si>
  <si>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</si>
  <si>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</si>
  <si>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</si>
  <si>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</si>
  <si>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</si>
  <si>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</si>
  <si>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</si>
  <si>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</si>
  <si>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</si>
  <si>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</si>
  <si>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</si>
  <si>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</si>
  <si>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</si>
  <si>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</si>
  <si>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</si>
  <si>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</si>
  <si>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</si>
  <si>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</si>
  <si>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</si>
  <si>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</si>
  <si>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</si>
  <si>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</si>
  <si>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</si>
  <si>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</si>
  <si>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</si>
  <si>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</si>
  <si>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</si>
  <si>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</si>
  <si>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</si>
  <si>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</si>
  <si>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</si>
  <si>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</si>
  <si>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</si>
  <si>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</si>
  <si>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</si>
  <si>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</si>
  <si>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</si>
  <si>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</si>
  <si>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</si>
  <si>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</si>
  <si>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</si>
  <si>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</si>
  <si>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</si>
  <si>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</si>
  <si>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</si>
  <si>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</si>
  <si>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</si>
  <si>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</si>
  <si>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</si>
  <si>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</si>
  <si>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</si>
  <si>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</si>
  <si>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</si>
  <si>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</si>
  <si>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</si>
  <si>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</si>
  <si>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</si>
  <si>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</si>
  <si>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</si>
  <si>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</si>
  <si>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</si>
  <si>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</si>
  <si>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</si>
  <si>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</si>
  <si>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</si>
  <si>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</si>
  <si>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</si>
  <si>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</si>
  <si>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</si>
  <si>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</si>
  <si>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</si>
  <si>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</si>
  <si>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</si>
  <si>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</si>
  <si>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</si>
  <si>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</si>
  <si>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</si>
  <si>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</si>
  <si>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</si>
  <si>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</si>
  <si>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</si>
  <si>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</si>
  <si>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</si>
  <si>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</si>
  <si>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</si>
  <si>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</si>
  <si>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</si>
  <si>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</si>
  <si>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</si>
  <si>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</si>
  <si>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</si>
  <si>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</si>
  <si>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</si>
  <si>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</si>
  <si>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</si>
  <si>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</si>
  <si>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</si>
  <si>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</si>
  <si>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</si>
  <si>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</si>
  <si>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</si>
  <si>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</si>
  <si>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</si>
  <si>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</si>
  <si>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</si>
  <si>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</si>
  <si>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</si>
  <si>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</si>
  <si>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</si>
  <si>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</si>
  <si>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</si>
  <si>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</si>
  <si>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</si>
  <si>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</si>
  <si>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</si>
  <si>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</si>
  <si>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</si>
  <si>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</si>
  <si>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</si>
  <si>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</si>
  <si>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</si>
  <si>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</si>
  <si>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</si>
  <si>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</si>
  <si>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</si>
  <si>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</si>
  <si>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</si>
  <si>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</si>
  <si>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</si>
  <si>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</si>
  <si>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</si>
  <si>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</si>
  <si>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</si>
  <si>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</si>
  <si>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</si>
  <si>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</si>
  <si>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</si>
  <si>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</si>
  <si>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</si>
  <si>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</si>
  <si>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</si>
  <si>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</si>
  <si>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</si>
  <si>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</si>
  <si>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</si>
  <si>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</si>
  <si>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</si>
  <si>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</si>
  <si>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</si>
  <si>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</si>
  <si>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</si>
  <si>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</si>
  <si>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</si>
  <si>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</si>
  <si>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</si>
  <si>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</si>
  <si>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</si>
  <si>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</si>
  <si>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</si>
  <si>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</si>
  <si>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</si>
  <si>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</si>
  <si>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</si>
  <si>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</si>
  <si>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</si>
  <si>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</si>
  <si>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</si>
  <si>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</si>
  <si>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</si>
  <si>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</si>
  <si>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</si>
  <si>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</si>
  <si>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</si>
  <si>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</si>
  <si>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</si>
  <si>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</si>
  <si>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</si>
  <si>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</si>
  <si>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</si>
  <si>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</si>
  <si>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</si>
  <si>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</si>
  <si>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</si>
  <si>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</si>
  <si>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</si>
  <si>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</si>
  <si>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</si>
  <si>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</si>
  <si>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</si>
  <si>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</si>
  <si>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</si>
  <si>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</si>
  <si>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</si>
  <si>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</si>
  <si>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</si>
  <si>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</si>
  <si>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</si>
  <si>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</si>
  <si>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</si>
  <si>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</si>
  <si>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</si>
  <si>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</si>
  <si>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</si>
  <si>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</si>
  <si>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</si>
  <si>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</si>
  <si>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</si>
  <si>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</si>
  <si>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</si>
  <si>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</si>
  <si>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</si>
  <si>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</si>
  <si>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</si>
  <si>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</si>
  <si>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</si>
  <si>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</si>
  <si>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</si>
  <si>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</si>
  <si>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</si>
  <si>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</si>
  <si>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</si>
  <si>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</si>
  <si>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</si>
  <si>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</si>
  <si>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</si>
  <si>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</si>
  <si>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</si>
  <si>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</si>
  <si>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</si>
  <si>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</si>
  <si>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</si>
  <si>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</si>
  <si>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</si>
  <si>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</si>
  <si>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</si>
  <si>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</si>
  <si>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</si>
  <si>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</si>
  <si>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</si>
  <si>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</si>
  <si>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</si>
  <si>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</si>
  <si>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</si>
  <si>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</si>
  <si>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</si>
  <si>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</si>
  <si>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</si>
  <si>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</si>
  <si>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</si>
  <si>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</si>
  <si>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</si>
  <si>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</si>
  <si>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</si>
  <si>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</si>
  <si>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</si>
  <si>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</si>
  <si>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</si>
  <si>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</si>
  <si>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</si>
  <si>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</si>
  <si>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</si>
  <si>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</si>
  <si>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</si>
  <si>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</si>
  <si>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</si>
  <si>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</si>
  <si>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</si>
  <si>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</si>
  <si>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</si>
  <si>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</si>
  <si>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</si>
  <si>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</si>
  <si>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</si>
  <si>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</si>
  <si>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</si>
  <si>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</si>
  <si>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</si>
  <si>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</si>
  <si>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</si>
  <si>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</si>
  <si>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</si>
  <si>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</si>
  <si>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</si>
  <si>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</si>
  <si>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</si>
  <si>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</si>
  <si>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</si>
  <si>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</si>
  <si>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</si>
  <si>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</si>
  <si>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</si>
  <si>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</si>
  <si>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</si>
  <si>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</si>
  <si>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</si>
  <si>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</si>
  <si>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</si>
  <si>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</si>
  <si>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</si>
  <si>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</si>
  <si>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</si>
  <si>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</si>
  <si>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</si>
  <si>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</si>
  <si>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</si>
  <si>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</si>
  <si>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</si>
  <si>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</si>
  <si>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</si>
  <si>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</si>
  <si>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t>估价对象所在区域基础设施水平七通</t>
    <phoneticPr fontId="3" type="noConversion"/>
  </si>
  <si>
    <t>支路</t>
    <phoneticPr fontId="3" type="noConversion"/>
  </si>
  <si>
    <t>较一致</t>
    <phoneticPr fontId="21" type="noConversion"/>
  </si>
  <si>
    <t>单面临街</t>
  </si>
  <si>
    <t>吴薇</t>
  </si>
  <si>
    <t>郑燚</t>
  </si>
  <si>
    <t>北京京投兴海房地产有限公司</t>
  </si>
  <si>
    <t>交行公主坟支行</t>
    <phoneticPr fontId="6" type="noConversion"/>
  </si>
  <si>
    <t>抵押价格</t>
  </si>
  <si>
    <t>市场价格</t>
  </si>
  <si>
    <t>企业</t>
  </si>
  <si>
    <t>海淀区地铁16号线北安河 车辆段综合利用项目HD00-0700-0001、0002、0003、0004地块A334托幼用地、F3其他类多功能用地、R2二类居住用地项目（现状结构转换层）</t>
  </si>
  <si>
    <t>住宅、商业、办公、地下车库</t>
  </si>
  <si>
    <t>《国有土地使用证》[京（2019）海不动产权第0034866、0034867、0034868号]</t>
    <phoneticPr fontId="6" type="noConversion"/>
  </si>
  <si>
    <t>《建设工程规划许可证》[建字第2019规自（海）建字0077、0078号]及附件附图、《总平面图》</t>
    <phoneticPr fontId="6" type="noConversion"/>
  </si>
  <si>
    <t>一致</t>
  </si>
  <si>
    <t>商业</t>
  </si>
  <si>
    <t>车库</t>
  </si>
  <si>
    <t>仓储</t>
  </si>
  <si>
    <t>符合</t>
  </si>
  <si>
    <t>住宅69.2年、商业39.2年、办公、地下车库49.2年</t>
    <phoneticPr fontId="6" type="noConversion"/>
  </si>
  <si>
    <t>《国有土地使用证》[京（2019）海不动产权第0034866、0034867、0034868号]</t>
    <phoneticPr fontId="3" type="noConversion"/>
  </si>
  <si>
    <t>《建设工程规划许可证》[建字第2019规自（海）建字0077、0078号]及附件附图、《总平面图》</t>
    <phoneticPr fontId="3" type="noConversion"/>
  </si>
  <si>
    <t>否</t>
  </si>
  <si>
    <t>居住项目</t>
  </si>
  <si>
    <t>无</t>
  </si>
  <si>
    <t>场地平整</t>
  </si>
  <si>
    <t>平整</t>
  </si>
  <si>
    <t>通路</t>
  </si>
  <si>
    <t>通电</t>
  </si>
  <si>
    <t>通讯</t>
  </si>
  <si>
    <t>通上水</t>
  </si>
  <si>
    <t>通下水</t>
  </si>
  <si>
    <t>通热</t>
  </si>
  <si>
    <t>Ⅸ-01</t>
  </si>
  <si>
    <t>A-1#住宅楼</t>
  </si>
  <si>
    <t>A-2#住宅楼</t>
  </si>
  <si>
    <t>A-3#住宅楼</t>
  </si>
  <si>
    <t>A-4#住宅楼</t>
  </si>
  <si>
    <t>A-5#住宅楼</t>
  </si>
  <si>
    <t>A-6#住宅楼</t>
  </si>
  <si>
    <t>A-7#住宅楼</t>
  </si>
  <si>
    <t>A-8#住宅楼</t>
  </si>
  <si>
    <t>A-9#住宅楼</t>
  </si>
  <si>
    <t>A-10#住宅楼</t>
  </si>
  <si>
    <t>A-11#住宅楼</t>
  </si>
  <si>
    <t>A-12#住宅楼</t>
  </si>
  <si>
    <t>A-13#住宅楼</t>
  </si>
  <si>
    <t>A-14#住宅楼</t>
  </si>
  <si>
    <t>A-15#住宅楼</t>
  </si>
  <si>
    <t>A-16#住宅楼</t>
  </si>
  <si>
    <t>A-17#住宅楼</t>
  </si>
  <si>
    <t>A-18#住宅楼</t>
  </si>
  <si>
    <t>地上</t>
  </si>
  <si>
    <t>洋房</t>
  </si>
  <si>
    <t>住宅</t>
    <phoneticPr fontId="7" type="noConversion"/>
  </si>
  <si>
    <t>估价对象周边居住用地比例较小、居住小区规模和社区发展完善程度一般，综合评价居住社区成熟度一般</t>
    <phoneticPr fontId="3" type="noConversion"/>
  </si>
  <si>
    <t>周边商业氛围较差，人流量一般，商业繁华度一般</t>
    <phoneticPr fontId="3" type="noConversion"/>
  </si>
  <si>
    <t>估价对象周边道路状况较通达、公共交通通达情况一般、停车较便捷，综合评价交通便捷度一般</t>
    <phoneticPr fontId="3" type="noConversion"/>
  </si>
  <si>
    <t>估价对象所在区域公共配套设施程度一般</t>
    <phoneticPr fontId="3" type="noConversion"/>
  </si>
  <si>
    <t>主干道</t>
  </si>
  <si>
    <t>主干道</t>
    <phoneticPr fontId="3" type="noConversion"/>
  </si>
  <si>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</si>
  <si>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</si>
  <si>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</si>
  <si>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</si>
  <si>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</si>
  <si>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</si>
  <si>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</si>
  <si>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</si>
  <si>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</si>
  <si>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</si>
  <si>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</si>
  <si>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</si>
  <si>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</si>
  <si>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溢价率</t>
  </si>
  <si>
    <t>土地星级</t>
  </si>
  <si>
    <r>
      <rPr>
        <sz val="10"/>
        <rFont val="宋体"/>
        <family val="3"/>
        <charset val="134"/>
      </rPr>
      <t>案例</t>
    </r>
    <phoneticPr fontId="228" type="noConversion"/>
  </si>
  <si>
    <r>
      <rPr>
        <sz val="10"/>
        <rFont val="宋体"/>
        <family val="3"/>
        <charset val="134"/>
      </rPr>
      <t>土地面积</t>
    </r>
    <phoneticPr fontId="228" type="noConversion"/>
  </si>
  <si>
    <r>
      <rPr>
        <sz val="10"/>
        <rFont val="宋体"/>
        <family val="3"/>
        <charset val="134"/>
      </rPr>
      <t>建筑面积</t>
    </r>
    <phoneticPr fontId="228" type="noConversion"/>
  </si>
  <si>
    <r>
      <rPr>
        <sz val="10"/>
        <rFont val="宋体"/>
        <family val="3"/>
        <charset val="134"/>
      </rPr>
      <t>保障房面积</t>
    </r>
    <phoneticPr fontId="228" type="noConversion"/>
  </si>
  <si>
    <t>限价（元/㎡）</t>
    <phoneticPr fontId="228" type="noConversion"/>
  </si>
  <si>
    <r>
      <rPr>
        <sz val="10"/>
        <rFont val="宋体"/>
        <family val="3"/>
        <charset val="134"/>
      </rPr>
      <t>自住房面积</t>
    </r>
    <phoneticPr fontId="228" type="noConversion"/>
  </si>
  <si>
    <r>
      <rPr>
        <sz val="10"/>
        <rFont val="宋体"/>
        <family val="3"/>
        <charset val="134"/>
      </rPr>
      <t>自住房价格</t>
    </r>
    <phoneticPr fontId="228" type="noConversion"/>
  </si>
  <si>
    <t>成交价格</t>
    <phoneticPr fontId="228" type="noConversion"/>
  </si>
  <si>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</si>
  <si>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</si>
  <si>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</si>
  <si>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</si>
  <si>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</si>
  <si>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</si>
  <si>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</si>
  <si>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A</t>
    <phoneticPr fontId="228" type="noConversion"/>
  </si>
  <si>
    <t>北京市朝阳区东坝乡驹子房1106-720地块F1住宅混合公建用地、1106-721地块A33基础教育用地</t>
  </si>
  <si>
    <t>f1≤3,a33≤0.9</t>
  </si>
  <si>
    <t>2019-08-29</t>
  </si>
  <si>
    <t>北京房地置业发展有限公司</t>
  </si>
  <si>
    <t>5星</t>
  </si>
  <si>
    <t>B</t>
    <phoneticPr fontId="228" type="noConversion"/>
  </si>
  <si>
    <t>——</t>
    <phoneticPr fontId="228" type="noConversion"/>
  </si>
  <si>
    <t>北京市朝阳区孙河乡北甸西村、北甸东村、西甸村、孙河村2902-31地块R2二类居住用地</t>
  </si>
  <si>
    <t>住宅用地</t>
  </si>
  <si>
    <t>≤1.1</t>
  </si>
  <si>
    <t>2019-05-28</t>
  </si>
  <si>
    <t>苏州恒相房地产开发有限公司</t>
  </si>
  <si>
    <t>C</t>
    <phoneticPr fontId="228" type="noConversion"/>
  </si>
  <si>
    <t>——</t>
    <phoneticPr fontId="228" type="noConversion"/>
  </si>
  <si>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</si>
  <si>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</si>
  <si>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</si>
  <si>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</si>
  <si>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</si>
  <si>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</si>
  <si>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</si>
  <si>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</si>
  <si>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</si>
  <si>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</si>
  <si>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r>
      <rPr>
        <sz val="10"/>
        <rFont val="宋体"/>
        <family val="3"/>
        <charset val="134"/>
      </rPr>
      <t>案例</t>
    </r>
    <phoneticPr fontId="228" type="noConversion"/>
  </si>
  <si>
    <t>北京市朝阳区崔各庄乡2909-0603地块F1住宅混合公建用地</t>
  </si>
  <si>
    <t>北京金地鸿鹄企业管理咨询有限公司和北京首都开发股份有限公司联合体</t>
  </si>
  <si>
    <t>A</t>
    <phoneticPr fontId="228" type="noConversion"/>
  </si>
  <si>
    <t>北京市朝阳区崔各庄乡马泉营村29-L02等地块R2二类居住用地、A33基础教育用地、A8社区综合服务设施用地</t>
  </si>
  <si>
    <t>2018-09-13</t>
  </si>
  <si>
    <t>北京中海地产有限公司</t>
  </si>
  <si>
    <t>3星</t>
  </si>
  <si>
    <t>B</t>
    <phoneticPr fontId="228" type="noConversion"/>
  </si>
  <si>
    <t>北京市朝阳区豆各庄乡水牛坊村1306-635地块R2二类居住用地、1306-636地块A8社区综合服务用地</t>
  </si>
  <si>
    <t>2018-01-25</t>
  </si>
  <si>
    <t>中铁房地产集团北方有限公司</t>
  </si>
  <si>
    <t>C</t>
    <phoneticPr fontId="228" type="noConversion"/>
  </si>
  <si>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</si>
  <si>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</si>
  <si>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</si>
  <si>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</si>
  <si>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</si>
  <si>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</si>
  <si>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</si>
  <si>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</si>
  <si>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</si>
  <si>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</si>
  <si>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</si>
  <si>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</si>
  <si>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</si>
  <si>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</si>
  <si>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</si>
  <si>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</si>
  <si>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</si>
  <si>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</si>
  <si>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</si>
  <si>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</si>
  <si>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</si>
  <si>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</si>
  <si>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</si>
  <si>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</si>
  <si>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</si>
  <si>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</si>
  <si>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</si>
  <si>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</si>
  <si>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</si>
  <si>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</si>
  <si>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</si>
  <si>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</si>
  <si>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</si>
  <si>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</si>
  <si>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</si>
  <si>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</si>
  <si>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</si>
  <si>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</si>
  <si>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</si>
  <si>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</si>
  <si>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</si>
  <si>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</si>
  <si>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</si>
  <si>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</si>
  <si>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</si>
  <si>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</si>
  <si>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</si>
  <si>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</si>
  <si>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</si>
  <si>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</si>
  <si>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</si>
  <si>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</si>
  <si>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</si>
  <si>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</si>
  <si>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</si>
  <si>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</si>
  <si>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</si>
  <si>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</si>
  <si>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</si>
  <si>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</si>
  <si>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</si>
  <si>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</si>
  <si>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</si>
  <si>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</si>
  <si>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</si>
  <si>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</si>
  <si>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</si>
  <si>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</si>
  <si>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</si>
  <si>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</si>
  <si>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</si>
  <si>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</si>
  <si>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</si>
  <si>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</si>
  <si>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</si>
  <si>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</si>
  <si>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</si>
  <si>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</si>
  <si>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</si>
  <si>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</si>
  <si>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</si>
  <si>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</si>
  <si>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</si>
  <si>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</si>
  <si>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</si>
  <si>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</si>
  <si>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</si>
  <si>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</si>
  <si>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</si>
  <si>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</si>
  <si>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</si>
  <si>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</si>
  <si>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</si>
  <si>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</si>
  <si>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</si>
  <si>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</si>
  <si>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</si>
  <si>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</si>
  <si>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</si>
  <si>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</si>
  <si>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</si>
  <si>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</si>
  <si>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</si>
  <si>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</si>
  <si>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</si>
  <si>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</si>
  <si>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</si>
  <si>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</si>
  <si>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</si>
  <si>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</si>
  <si>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</si>
  <si>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</si>
  <si>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</si>
  <si>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</si>
  <si>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</si>
  <si>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</si>
  <si>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</si>
  <si>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</si>
  <si>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</si>
  <si>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</si>
  <si>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</si>
  <si>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</si>
  <si>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</si>
  <si>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</si>
  <si>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</si>
  <si>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</si>
  <si>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</si>
  <si>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</si>
  <si>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</si>
  <si>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</si>
  <si>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</si>
  <si>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</si>
  <si>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</si>
  <si>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</si>
  <si>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</si>
  <si>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</si>
  <si>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</si>
  <si>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</si>
  <si>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</si>
  <si>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</si>
  <si>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</si>
  <si>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</si>
  <si>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</si>
  <si>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</si>
  <si>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</si>
  <si>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</si>
  <si>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</si>
  <si>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</si>
  <si>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</si>
  <si>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</si>
  <si>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</si>
  <si>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</si>
  <si>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</si>
  <si>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</si>
  <si>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</si>
  <si>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</si>
  <si>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</si>
  <si>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</si>
  <si>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</si>
  <si>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</si>
  <si>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</si>
  <si>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</si>
  <si>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</si>
  <si>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</si>
  <si>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</si>
  <si>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</si>
  <si>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</si>
  <si>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</si>
  <si>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</si>
  <si>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</si>
  <si>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</si>
  <si>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</si>
  <si>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</si>
  <si>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</si>
  <si>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</si>
  <si>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</si>
  <si>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</si>
  <si>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</si>
  <si>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</si>
  <si>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</si>
  <si>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</si>
  <si>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</si>
  <si>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</si>
  <si>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</si>
  <si>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</si>
  <si>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</si>
  <si>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</si>
  <si>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</si>
  <si>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</si>
  <si>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</si>
  <si>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</si>
  <si>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</si>
  <si>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</si>
  <si>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</si>
  <si>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</si>
  <si>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</si>
  <si>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</si>
  <si>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</si>
  <si>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</si>
  <si>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</si>
  <si>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</si>
  <si>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</si>
  <si>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</si>
  <si>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</si>
  <si>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</si>
  <si>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</si>
  <si>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</si>
  <si>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</si>
  <si>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</si>
  <si>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</si>
  <si>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</si>
  <si>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</si>
  <si>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</si>
  <si>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</si>
  <si>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</si>
  <si>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</si>
  <si>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</si>
  <si>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</si>
  <si>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</si>
  <si>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</si>
  <si>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</si>
  <si>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</si>
  <si>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</si>
  <si>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</si>
  <si>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</si>
  <si>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</si>
  <si>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</si>
  <si>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</si>
  <si>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</si>
  <si>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</si>
  <si>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</si>
  <si>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</si>
  <si>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</si>
  <si>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</si>
  <si>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</si>
  <si>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</si>
  <si>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</si>
  <si>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</si>
  <si>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</si>
  <si>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</si>
  <si>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</si>
  <si>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</si>
  <si>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</si>
  <si>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</si>
  <si>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</si>
  <si>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</si>
  <si>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</si>
  <si>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</si>
  <si>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</si>
  <si>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</si>
  <si>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</si>
  <si>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</si>
  <si>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</si>
  <si>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</si>
  <si>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</si>
  <si>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</si>
  <si>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</si>
  <si>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</si>
  <si>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</si>
  <si>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</si>
  <si>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</si>
  <si>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</si>
  <si>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</si>
  <si>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</si>
  <si>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</si>
  <si>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</si>
  <si>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</si>
  <si>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</si>
  <si>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</si>
  <si>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</si>
  <si>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</si>
  <si>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</si>
  <si>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</si>
  <si>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</si>
  <si>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</si>
  <si>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</si>
  <si>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</si>
  <si>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</si>
  <si>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</si>
  <si>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</si>
  <si>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</si>
  <si>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</si>
  <si>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</si>
  <si>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</si>
  <si>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</si>
  <si>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</si>
  <si>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</si>
  <si>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</si>
  <si>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</si>
  <si>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</si>
  <si>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</si>
  <si>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</si>
  <si>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</si>
  <si>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</si>
  <si>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</si>
  <si>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</si>
  <si>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</si>
  <si>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</si>
  <si>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</si>
  <si>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</si>
  <si>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</si>
  <si>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</si>
  <si>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</si>
  <si>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</si>
  <si>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</si>
  <si>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</si>
  <si>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</si>
  <si>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</si>
  <si>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</si>
  <si>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</si>
  <si>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</si>
  <si>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</si>
  <si>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</si>
  <si>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</si>
  <si>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</si>
  <si>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</si>
  <si>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</si>
  <si>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</si>
  <si>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</si>
  <si>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</si>
  <si>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</si>
  <si>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</si>
  <si>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</si>
  <si>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</si>
  <si>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</si>
  <si>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</si>
  <si>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</si>
  <si>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</si>
  <si>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</si>
  <si>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</si>
  <si>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</si>
  <si>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</si>
  <si>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</si>
  <si>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</si>
  <si>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</si>
  <si>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</si>
  <si>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</si>
  <si>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</si>
  <si>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</si>
  <si>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</si>
  <si>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</si>
  <si>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</si>
  <si>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</si>
  <si>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</si>
  <si>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</si>
  <si>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</si>
  <si>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</si>
  <si>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</si>
  <si>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</si>
  <si>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</si>
  <si>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</si>
  <si>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</si>
  <si>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</si>
  <si>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</si>
  <si>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</si>
  <si>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</si>
  <si>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</si>
  <si>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</si>
  <si>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</si>
  <si>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</si>
  <si>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</si>
  <si>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</si>
  <si>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</si>
  <si>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</si>
  <si>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</si>
  <si>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</si>
  <si>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</si>
  <si>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</si>
  <si>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</si>
  <si>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</si>
  <si>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</si>
  <si>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</si>
  <si>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</si>
  <si>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</si>
  <si>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</si>
  <si>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</si>
  <si>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</si>
  <si>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</si>
  <si>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</si>
  <si>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</si>
  <si>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</si>
  <si>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</si>
  <si>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</si>
  <si>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</si>
  <si>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</si>
  <si>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</si>
  <si>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</si>
  <si>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</si>
  <si>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</si>
  <si>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</si>
  <si>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</si>
  <si>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</si>
  <si>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</si>
  <si>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</si>
  <si>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</si>
  <si>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</si>
  <si>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</si>
  <si>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</si>
  <si>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</si>
  <si>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</si>
  <si>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</si>
  <si>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</si>
  <si>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</si>
  <si>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</si>
  <si>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</si>
  <si>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</si>
  <si>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</si>
  <si>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</si>
  <si>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</si>
  <si>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</si>
  <si>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</si>
  <si>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</si>
  <si>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</si>
  <si>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</si>
  <si>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</si>
  <si>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</si>
  <si>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</si>
  <si>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</si>
  <si>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</si>
  <si>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</si>
  <si>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</si>
  <si>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</si>
  <si>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</si>
  <si>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</si>
  <si>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</si>
  <si>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</si>
  <si>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</si>
  <si>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</si>
  <si>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</si>
  <si>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</si>
  <si>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</si>
  <si>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</si>
  <si>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</si>
  <si>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</si>
  <si>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</si>
  <si>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</si>
  <si>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</si>
  <si>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</si>
  <si>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</si>
  <si>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</si>
  <si>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</si>
  <si>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</si>
  <si>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</si>
  <si>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</si>
  <si>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</si>
  <si>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</si>
  <si>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</si>
  <si>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</si>
  <si>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</si>
  <si>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</si>
  <si>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</si>
  <si>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</si>
  <si>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</si>
  <si>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</si>
  <si>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</si>
  <si>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</si>
  <si>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</si>
  <si>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</si>
  <si>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</si>
  <si>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</si>
  <si>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</si>
  <si>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</si>
  <si>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</si>
  <si>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</si>
  <si>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</si>
  <si>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</si>
  <si>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</si>
  <si>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</si>
  <si>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</si>
  <si>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</si>
  <si>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</si>
  <si>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</si>
  <si>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</si>
  <si>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</si>
  <si>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</si>
  <si>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</si>
  <si>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</si>
  <si>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</si>
  <si>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</si>
  <si>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</si>
  <si>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</si>
  <si>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</si>
  <si>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</si>
  <si>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</si>
  <si>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</si>
  <si>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</si>
  <si>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</si>
  <si>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</si>
  <si>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</si>
  <si>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</si>
  <si>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</si>
  <si>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</si>
  <si>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</si>
  <si>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</si>
  <si>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</si>
  <si>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</si>
  <si>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</si>
  <si>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</si>
  <si>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</si>
  <si>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</si>
  <si>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</si>
  <si>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</si>
  <si>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</si>
  <si>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</si>
  <si>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</si>
  <si>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</si>
  <si>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</si>
  <si>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</si>
  <si>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</si>
  <si>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</si>
  <si>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</si>
  <si>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</si>
  <si>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</si>
  <si>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</si>
  <si>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</si>
  <si>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</si>
  <si>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一般</t>
  </si>
  <si>
    <t>住宅</t>
    <phoneticPr fontId="3" type="noConversion"/>
  </si>
  <si>
    <t>限价房</t>
    <phoneticPr fontId="3" type="noConversion"/>
  </si>
  <si>
    <t>定向安置房</t>
    <phoneticPr fontId="3" type="noConversion"/>
  </si>
  <si>
    <t>人才租赁住房</t>
    <phoneticPr fontId="3" type="noConversion"/>
  </si>
  <si>
    <t>次干道</t>
    <phoneticPr fontId="3" type="noConversion"/>
  </si>
  <si>
    <t>规则</t>
    <phoneticPr fontId="3" type="noConversion"/>
  </si>
  <si>
    <t>较规则</t>
    <phoneticPr fontId="3" type="noConversion"/>
  </si>
  <si>
    <t>较不规则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</si>
  <si>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</si>
  <si>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</si>
  <si>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</si>
  <si>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</si>
  <si>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</si>
  <si>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较适宜</t>
  </si>
  <si>
    <t>较适宜</t>
    <phoneticPr fontId="26" type="noConversion"/>
  </si>
  <si>
    <t>较好</t>
  </si>
  <si>
    <t>较好</t>
    <phoneticPr fontId="26" type="noConversion"/>
  </si>
  <si>
    <t>区域自然环境较好；人文环境一般；综合评价环境状况较好</t>
    <phoneticPr fontId="3" type="noConversion"/>
  </si>
  <si>
    <t>七通</t>
  </si>
  <si>
    <t>北清路</t>
    <phoneticPr fontId="26" type="noConversion"/>
  </si>
  <si>
    <t>楼面地价</t>
  </si>
  <si>
    <t>规则</t>
  </si>
  <si>
    <t>六通</t>
  </si>
  <si>
    <t>较规则</t>
  </si>
  <si>
    <t>三通</t>
  </si>
  <si>
    <t>支路</t>
  </si>
  <si>
    <t>稻香湖路</t>
    <phoneticPr fontId="26" type="noConversion"/>
  </si>
  <si>
    <t>安宁庄东路</t>
    <phoneticPr fontId="26" type="noConversion"/>
  </si>
  <si>
    <t>黑泉路</t>
    <phoneticPr fontId="26" type="noConversion"/>
  </si>
  <si>
    <t>不动产收益法</t>
  </si>
  <si>
    <t>土地（套用方法）</t>
  </si>
  <si>
    <t>自定义</t>
  </si>
  <si>
    <t>按租金收入计税</t>
  </si>
  <si>
    <t>钢混</t>
  </si>
  <si>
    <t>居住用地（指二类居住用地）</t>
  </si>
  <si>
    <t>有</t>
  </si>
  <si>
    <t>500米范围内</t>
  </si>
  <si>
    <t>与级别开发程度不一致</t>
  </si>
  <si>
    <t>容积率修正</t>
  </si>
  <si>
    <t>不临58条商业街</t>
  </si>
  <si>
    <t>项目全部</t>
  </si>
  <si>
    <t>土地</t>
  </si>
  <si>
    <t>比较法-住宅、综合</t>
  </si>
  <si>
    <t>剩余法-待开发</t>
  </si>
  <si>
    <t>限价房</t>
    <phoneticPr fontId="26" type="noConversion"/>
  </si>
  <si>
    <t>限价房</t>
    <phoneticPr fontId="26" type="noConversion"/>
  </si>
  <si>
    <t>人才租赁住房</t>
    <phoneticPr fontId="26" type="noConversion"/>
  </si>
  <si>
    <t>A-19#住宅楼</t>
    <phoneticPr fontId="3" type="noConversion"/>
  </si>
  <si>
    <t>A-20#住宅楼</t>
  </si>
  <si>
    <t>A-21#住宅楼</t>
  </si>
  <si>
    <t>A-22#住宅楼</t>
  </si>
  <si>
    <t>A-23#住宅楼</t>
  </si>
  <si>
    <t>A-24#住宅楼</t>
  </si>
  <si>
    <t>A-25#住宅楼</t>
  </si>
  <si>
    <t>A-26#住宅楼</t>
  </si>
  <si>
    <t>A-27#住宅楼</t>
  </si>
  <si>
    <t>A-28#住宅楼</t>
  </si>
  <si>
    <t>A-29#住宅楼</t>
  </si>
  <si>
    <t>A-30#住宅楼</t>
  </si>
  <si>
    <t>A-31#住宅楼</t>
  </si>
  <si>
    <t>A-32#住宅楼</t>
  </si>
  <si>
    <t>A-33#住宅楼</t>
  </si>
  <si>
    <t>A-34#住宅楼</t>
  </si>
  <si>
    <t>A-35#住宅楼</t>
  </si>
  <si>
    <t>A-36#住宅楼</t>
  </si>
  <si>
    <t>A-37#住宅楼</t>
  </si>
  <si>
    <t>A-38#住宅楼</t>
  </si>
  <si>
    <t>A-39#住宅楼</t>
  </si>
  <si>
    <t>A-40#住宅楼</t>
  </si>
  <si>
    <t>A-41#住宅楼</t>
  </si>
  <si>
    <t>A-42#住宅楼</t>
  </si>
  <si>
    <t>转换层</t>
    <phoneticPr fontId="3" type="noConversion"/>
  </si>
  <si>
    <t>0004地块</t>
    <phoneticPr fontId="3" type="noConversion"/>
  </si>
  <si>
    <t>总计</t>
  </si>
  <si>
    <t>地下</t>
  </si>
  <si>
    <t>非经营用途</t>
  </si>
  <si>
    <t>住宅</t>
    <phoneticPr fontId="228" type="noConversion"/>
  </si>
  <si>
    <t>商业</t>
    <phoneticPr fontId="228" type="noConversion"/>
  </si>
  <si>
    <t>办公</t>
    <phoneticPr fontId="228" type="noConversion"/>
  </si>
  <si>
    <t>办公（车库）</t>
    <phoneticPr fontId="228" type="noConversion"/>
  </si>
  <si>
    <t>地下车库</t>
    <phoneticPr fontId="228" type="noConversion"/>
  </si>
  <si>
    <t>估价对象1</t>
    <phoneticPr fontId="228" type="noConversion"/>
  </si>
  <si>
    <t>估价对象2</t>
    <phoneticPr fontId="228" type="noConversion"/>
  </si>
  <si>
    <t>估价对象3</t>
    <phoneticPr fontId="228" type="noConversion"/>
  </si>
  <si>
    <t>合计</t>
    <phoneticPr fontId="228" type="noConversion"/>
  </si>
  <si>
    <t>估价对象1</t>
    <phoneticPr fontId="228"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</si>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</sst>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5"/>
      <color rgb="FF000000"/>
      <name val="仿宋_GB2312"/>
      <family val="3"/>
      <charset val="134"/>
    </font>
    <font>
      <sz val="11"/>
      <color rgb="FFFF0000"/>
      <name val="宋体"/>
      <family val="2"/>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rgb="FF000000"/>
      </top>
      <bottom/>
      <diagonal/>
    </border>
    <border>
      <left/>
      <right style="medium">
        <color rgb="FF000000"/>
      </right>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 fillId="0" borderId="0">
      <alignment vertical="center"/>
    </xf>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6" fontId="86" fillId="0" borderId="2" xfId="0" applyNumberFormat="1" applyFont="1" applyBorder="1" applyAlignment="1" applyProtection="1">
      <alignment vertical="center" wrapText="1"/>
      <protection locked="0"/>
    </xf>
    <xf numFmtId="176" fontId="158" fillId="0" borderId="2" xfId="0" applyNumberFormat="1" applyFont="1" applyBorder="1" applyAlignment="1" applyProtection="1">
      <alignment vertical="center" wrapText="1"/>
      <protection locked="0"/>
    </xf>
    <xf numFmtId="176" fontId="76" fillId="0" borderId="2" xfId="0" applyNumberFormat="1" applyFont="1" applyBorder="1" applyAlignment="1" applyProtection="1">
      <alignment horizontal="center" vertical="center" wrapText="1"/>
      <protection locked="0"/>
    </xf>
    <xf numFmtId="0" fontId="86" fillId="0" borderId="0" xfId="16"/>
    <xf numFmtId="0" fontId="86" fillId="0" borderId="2" xfId="16" applyFill="1" applyBorder="1" applyAlignment="1">
      <alignment horizontal="center" vertical="center"/>
    </xf>
    <xf numFmtId="0" fontId="127" fillId="0" borderId="2" xfId="16" applyFont="1" applyFill="1" applyBorder="1" applyAlignment="1">
      <alignment horizontal="center" vertical="center"/>
    </xf>
    <xf numFmtId="0" fontId="145" fillId="0" borderId="2" xfId="1" applyFont="1" applyBorder="1" applyAlignment="1">
      <alignment horizontal="center" vertical="center"/>
    </xf>
    <xf numFmtId="0" fontId="145" fillId="0" borderId="0" xfId="1">
      <alignment vertical="center"/>
    </xf>
    <xf numFmtId="0" fontId="145" fillId="0" borderId="2" xfId="1" applyBorder="1" applyAlignment="1">
      <alignment horizontal="center" vertical="center"/>
    </xf>
    <xf numFmtId="0" fontId="86" fillId="6" borderId="0" xfId="16" applyFill="1"/>
    <xf numFmtId="0" fontId="145" fillId="6" borderId="0" xfId="1" applyFill="1">
      <alignment vertical="center"/>
    </xf>
    <xf numFmtId="0" fontId="86" fillId="0" borderId="0" xfId="16" applyFill="1"/>
    <xf numFmtId="0" fontId="145" fillId="0" borderId="0" xfId="1" applyFill="1">
      <alignment vertical="center"/>
    </xf>
    <xf numFmtId="0" fontId="158" fillId="0" borderId="0" xfId="16" applyFont="1"/>
    <xf numFmtId="0" fontId="147" fillId="0" borderId="0" xfId="1"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205" fillId="0" borderId="2" xfId="1"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5" fillId="0" borderId="66" xfId="0" applyFont="1" applyBorder="1" applyAlignment="1">
      <alignment vertical="center" wrapText="1"/>
    </xf>
    <xf numFmtId="0" fontId="275" fillId="0" borderId="158" xfId="0" applyFont="1" applyBorder="1" applyAlignment="1">
      <alignment vertical="center" wrapText="1"/>
    </xf>
    <xf numFmtId="0" fontId="275" fillId="0" borderId="162" xfId="0" applyFont="1" applyBorder="1" applyAlignment="1">
      <alignment vertical="center" wrapText="1"/>
    </xf>
    <xf numFmtId="0" fontId="275" fillId="0" borderId="163" xfId="0" applyFont="1" applyBorder="1" applyAlignment="1">
      <alignment vertical="center" wrapText="1"/>
    </xf>
    <xf numFmtId="177" fontId="158" fillId="0" borderId="2" xfId="2" applyNumberFormat="1" applyFont="1" applyFill="1" applyBorder="1" applyAlignment="1" applyProtection="1">
      <alignment horizontal="center" vertical="center"/>
      <protection locked="0"/>
    </xf>
    <xf numFmtId="179" fontId="76" fillId="3" borderId="5" xfId="0" applyNumberFormat="1" applyFont="1" applyFill="1" applyBorder="1" applyAlignment="1" applyProtection="1">
      <alignment horizontal="center" vertical="center" wrapText="1"/>
      <protection locked="0"/>
    </xf>
    <xf numFmtId="0" fontId="276" fillId="0" borderId="2" xfId="14" applyFont="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165" xfId="0" applyFont="1" applyBorder="1" applyAlignment="1">
      <alignment vertical="center" wrapText="1"/>
    </xf>
    <xf numFmtId="0" fontId="275" fillId="0" borderId="161" xfId="0" applyFont="1" applyBorder="1" applyAlignment="1">
      <alignment vertical="center" wrapText="1"/>
    </xf>
    <xf numFmtId="0" fontId="275" fillId="0" borderId="160" xfId="0" applyFont="1" applyBorder="1" applyAlignment="1">
      <alignment vertical="center" wrapText="1"/>
    </xf>
    <xf numFmtId="0" fontId="275" fillId="0" borderId="166" xfId="0" applyFont="1" applyBorder="1" applyAlignment="1">
      <alignment horizontal="center" vertical="center" wrapText="1"/>
    </xf>
    <xf numFmtId="0" fontId="275" fillId="0" borderId="163" xfId="0" applyFont="1" applyBorder="1" applyAlignment="1">
      <alignment horizontal="center" vertical="center" wrapText="1"/>
    </xf>
    <xf numFmtId="0" fontId="275" fillId="0" borderId="115" xfId="0" applyFont="1" applyBorder="1" applyAlignment="1">
      <alignment horizontal="center" vertical="center" wrapText="1"/>
    </xf>
    <xf numFmtId="0" fontId="275" fillId="0" borderId="116" xfId="0" applyFont="1" applyBorder="1" applyAlignment="1">
      <alignment horizontal="center" vertical="center" wrapText="1"/>
    </xf>
    <xf numFmtId="0" fontId="275" fillId="0" borderId="154" xfId="0" applyFont="1" applyBorder="1" applyAlignment="1">
      <alignment horizontal="center" vertical="center" wrapText="1"/>
    </xf>
    <xf numFmtId="0" fontId="275" fillId="0" borderId="157" xfId="0" applyFont="1" applyBorder="1" applyAlignment="1">
      <alignment vertical="center" wrapText="1"/>
    </xf>
    <xf numFmtId="0" fontId="275" fillId="0" borderId="158" xfId="0" applyFont="1" applyBorder="1" applyAlignment="1">
      <alignment vertical="center" wrapText="1"/>
    </xf>
    <xf numFmtId="0" fontId="275" fillId="0" borderId="154" xfId="0" applyFont="1" applyBorder="1" applyAlignment="1">
      <alignment vertical="center" wrapText="1"/>
    </xf>
    <xf numFmtId="0" fontId="275" fillId="0" borderId="155" xfId="0" applyFont="1" applyBorder="1" applyAlignment="1">
      <alignment vertical="center" wrapText="1"/>
    </xf>
    <xf numFmtId="0" fontId="275" fillId="0" borderId="164" xfId="0" applyFont="1" applyBorder="1" applyAlignment="1">
      <alignment vertical="center" wrapText="1"/>
    </xf>
    <xf numFmtId="0" fontId="275" fillId="0" borderId="159" xfId="0" applyFont="1" applyBorder="1" applyAlignment="1">
      <alignment vertical="center" wrapText="1"/>
    </xf>
    <xf numFmtId="0" fontId="275" fillId="0" borderId="156" xfId="0" applyFont="1" applyBorder="1" applyAlignment="1">
      <alignment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225</xdr:row>
      <xdr:rowOff>0</xdr:rowOff>
    </xdr:from>
    <xdr:to>
      <xdr:col>0</xdr:col>
      <xdr:colOff>9524</xdr:colOff>
      <xdr:row>225</xdr:row>
      <xdr:rowOff>9524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44400"/>
          <a:ext cx="9524" cy="9524"/>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515850"/>
          <a:ext cx="9524" cy="9524"/>
        </a:xfrm>
        <a:prstGeom prst="rect">
          <a:avLst/>
        </a:prstGeom>
      </xdr:spPr>
    </xdr:pic>
    <xdr:clientData/>
  </xdr:twoCellAnchor>
  <xdr:twoCellAnchor editAs="oneCell">
    <xdr:from>
      <xdr:col>0</xdr:col>
      <xdr:colOff>0</xdr:colOff>
      <xdr:row>204</xdr:row>
      <xdr:rowOff>104775</xdr:rowOff>
    </xdr:from>
    <xdr:to>
      <xdr:col>9</xdr:col>
      <xdr:colOff>698413</xdr:colOff>
      <xdr:row>223</xdr:row>
      <xdr:rowOff>104043</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48725"/>
          <a:ext cx="6937288" cy="3256818"/>
        </a:xfrm>
        <a:prstGeom prst="rect">
          <a:avLst/>
        </a:prstGeom>
      </xdr:spPr>
    </xdr:pic>
    <xdr:clientData/>
  </xdr:twoCellAnchor>
  <xdr:twoCellAnchor editAs="oneCell">
    <xdr:from>
      <xdr:col>9</xdr:col>
      <xdr:colOff>628650</xdr:colOff>
      <xdr:row>204</xdr:row>
      <xdr:rowOff>104775</xdr:rowOff>
    </xdr:from>
    <xdr:to>
      <xdr:col>25</xdr:col>
      <xdr:colOff>84444</xdr:colOff>
      <xdr:row>221</xdr:row>
      <xdr:rowOff>171078</xdr:rowOff>
    </xdr:to>
    <xdr:pic>
      <xdr:nvPicPr>
        <xdr:cNvPr id="5" name="图片 4"/>
        <xdr:cNvPicPr>
          <a:picLocks noChangeAspect="1"/>
        </xdr:cNvPicPr>
      </xdr:nvPicPr>
      <xdr:blipFill>
        <a:blip xmlns:r="http://schemas.openxmlformats.org/officeDocument/2006/relationships" r:embed="rId3"/>
        <a:stretch>
          <a:fillRect/>
        </a:stretch>
      </xdr:blipFill>
      <xdr:spPr>
        <a:xfrm>
          <a:off x="6867525" y="8848725"/>
          <a:ext cx="10257144" cy="2980953"/>
        </a:xfrm>
        <a:prstGeom prst="rect">
          <a:avLst/>
        </a:prstGeom>
      </xdr:spPr>
    </xdr:pic>
    <xdr:clientData/>
  </xdr:twoCellAnchor>
  <xdr:twoCellAnchor editAs="oneCell">
    <xdr:from>
      <xdr:col>0</xdr:col>
      <xdr:colOff>0</xdr:colOff>
      <xdr:row>224</xdr:row>
      <xdr:rowOff>123825</xdr:rowOff>
    </xdr:from>
    <xdr:to>
      <xdr:col>9</xdr:col>
      <xdr:colOff>718700</xdr:colOff>
      <xdr:row>243</xdr:row>
      <xdr:rowOff>132617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296775"/>
          <a:ext cx="6957575" cy="3266342"/>
        </a:xfrm>
        <a:prstGeom prst="rect">
          <a:avLst/>
        </a:prstGeom>
      </xdr:spPr>
    </xdr:pic>
    <xdr:clientData/>
  </xdr:twoCellAnchor>
  <xdr:twoCellAnchor editAs="oneCell">
    <xdr:from>
      <xdr:col>9</xdr:col>
      <xdr:colOff>581025</xdr:colOff>
      <xdr:row>224</xdr:row>
      <xdr:rowOff>133350</xdr:rowOff>
    </xdr:from>
    <xdr:to>
      <xdr:col>23</xdr:col>
      <xdr:colOff>351276</xdr:colOff>
      <xdr:row>241</xdr:row>
      <xdr:rowOff>161557</xdr:rowOff>
    </xdr:to>
    <xdr:pic>
      <xdr:nvPicPr>
        <xdr:cNvPr id="7" name="图片 6"/>
        <xdr:cNvPicPr>
          <a:picLocks noChangeAspect="1"/>
        </xdr:cNvPicPr>
      </xdr:nvPicPr>
      <xdr:blipFill>
        <a:blip xmlns:r="http://schemas.openxmlformats.org/officeDocument/2006/relationships" r:embed="rId5"/>
        <a:stretch>
          <a:fillRect/>
        </a:stretch>
      </xdr:blipFill>
      <xdr:spPr>
        <a:xfrm>
          <a:off x="6819900" y="12306300"/>
          <a:ext cx="9200001" cy="2942857"/>
        </a:xfrm>
        <a:prstGeom prst="rect">
          <a:avLst/>
        </a:prstGeom>
      </xdr:spPr>
    </xdr:pic>
    <xdr:clientData/>
  </xdr:twoCellAnchor>
  <xdr:twoCellAnchor editAs="oneCell">
    <xdr:from>
      <xdr:col>0</xdr:col>
      <xdr:colOff>0</xdr:colOff>
      <xdr:row>244</xdr:row>
      <xdr:rowOff>133350</xdr:rowOff>
    </xdr:from>
    <xdr:to>
      <xdr:col>9</xdr:col>
      <xdr:colOff>738990</xdr:colOff>
      <xdr:row>263</xdr:row>
      <xdr:rowOff>151668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735300"/>
          <a:ext cx="6977865" cy="3275868"/>
        </a:xfrm>
        <a:prstGeom prst="rect">
          <a:avLst/>
        </a:prstGeom>
      </xdr:spPr>
    </xdr:pic>
    <xdr:clientData/>
  </xdr:twoCellAnchor>
  <xdr:twoCellAnchor editAs="oneCell">
    <xdr:from>
      <xdr:col>10</xdr:col>
      <xdr:colOff>0</xdr:colOff>
      <xdr:row>245</xdr:row>
      <xdr:rowOff>0</xdr:rowOff>
    </xdr:from>
    <xdr:to>
      <xdr:col>22</xdr:col>
      <xdr:colOff>218078</xdr:colOff>
      <xdr:row>259</xdr:row>
      <xdr:rowOff>171129</xdr:rowOff>
    </xdr:to>
    <xdr:pic>
      <xdr:nvPicPr>
        <xdr:cNvPr id="9" name="图片 8"/>
        <xdr:cNvPicPr>
          <a:picLocks noChangeAspect="1"/>
        </xdr:cNvPicPr>
      </xdr:nvPicPr>
      <xdr:blipFill>
        <a:blip xmlns:r="http://schemas.openxmlformats.org/officeDocument/2006/relationships" r:embed="rId7"/>
        <a:stretch>
          <a:fillRect/>
        </a:stretch>
      </xdr:blipFill>
      <xdr:spPr>
        <a:xfrm>
          <a:off x="7219950" y="15773400"/>
          <a:ext cx="7980953" cy="2571429"/>
        </a:xfrm>
        <a:prstGeom prst="rect">
          <a:avLst/>
        </a:prstGeom>
      </xdr:spPr>
    </xdr:pic>
    <xdr:clientData/>
  </xdr:twoCellAnchor>
  <xdr:twoCellAnchor editAs="oneCell">
    <xdr:from>
      <xdr:col>0</xdr:col>
      <xdr:colOff>0</xdr:colOff>
      <xdr:row>264</xdr:row>
      <xdr:rowOff>47624</xdr:rowOff>
    </xdr:from>
    <xdr:to>
      <xdr:col>12</xdr:col>
      <xdr:colOff>228590</xdr:colOff>
      <xdr:row>286</xdr:row>
      <xdr:rowOff>94517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9078574"/>
          <a:ext cx="8134340" cy="3818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84590</xdr:colOff>
      <xdr:row>27</xdr:row>
      <xdr:rowOff>8946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85715" cy="4638096"/>
        </a:xfrm>
        <a:prstGeom prst="rect">
          <a:avLst/>
        </a:prstGeom>
      </xdr:spPr>
    </xdr:pic>
    <xdr:clientData/>
  </xdr:twoCellAnchor>
  <xdr:twoCellAnchor editAs="oneCell">
    <xdr:from>
      <xdr:col>11</xdr:col>
      <xdr:colOff>542925</xdr:colOff>
      <xdr:row>26</xdr:row>
      <xdr:rowOff>85725</xdr:rowOff>
    </xdr:from>
    <xdr:to>
      <xdr:col>13</xdr:col>
      <xdr:colOff>561801</xdr:colOff>
      <xdr:row>46</xdr:row>
      <xdr:rowOff>75773</xdr:rowOff>
    </xdr:to>
    <xdr:pic>
      <xdr:nvPicPr>
        <xdr:cNvPr id="3" name="图片 2"/>
        <xdr:cNvPicPr>
          <a:picLocks noChangeAspect="1"/>
        </xdr:cNvPicPr>
      </xdr:nvPicPr>
      <xdr:blipFill>
        <a:blip xmlns:r="http://schemas.openxmlformats.org/officeDocument/2006/relationships" r:embed="rId2"/>
        <a:stretch>
          <a:fillRect/>
        </a:stretch>
      </xdr:blipFill>
      <xdr:spPr>
        <a:xfrm>
          <a:off x="7400925" y="4543425"/>
          <a:ext cx="1390476" cy="3419048"/>
        </a:xfrm>
        <a:prstGeom prst="rect">
          <a:avLst/>
        </a:prstGeom>
      </xdr:spPr>
    </xdr:pic>
    <xdr:clientData/>
  </xdr:twoCellAnchor>
  <xdr:twoCellAnchor editAs="oneCell">
    <xdr:from>
      <xdr:col>0</xdr:col>
      <xdr:colOff>495300</xdr:colOff>
      <xdr:row>26</xdr:row>
      <xdr:rowOff>123825</xdr:rowOff>
    </xdr:from>
    <xdr:to>
      <xdr:col>4</xdr:col>
      <xdr:colOff>542569</xdr:colOff>
      <xdr:row>52</xdr:row>
      <xdr:rowOff>161363</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4581525"/>
          <a:ext cx="2847619" cy="4495238"/>
        </a:xfrm>
        <a:prstGeom prst="rect">
          <a:avLst/>
        </a:prstGeom>
      </xdr:spPr>
    </xdr:pic>
    <xdr:clientData/>
  </xdr:twoCellAnchor>
  <xdr:twoCellAnchor editAs="oneCell">
    <xdr:from>
      <xdr:col>0</xdr:col>
      <xdr:colOff>0</xdr:colOff>
      <xdr:row>75</xdr:row>
      <xdr:rowOff>0</xdr:rowOff>
    </xdr:from>
    <xdr:to>
      <xdr:col>14</xdr:col>
      <xdr:colOff>655933</xdr:colOff>
      <xdr:row>104</xdr:row>
      <xdr:rowOff>8903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858750"/>
          <a:ext cx="10342858" cy="4980953"/>
        </a:xfrm>
        <a:prstGeom prst="rect">
          <a:avLst/>
        </a:prstGeom>
      </xdr:spPr>
    </xdr:pic>
    <xdr:clientData/>
  </xdr:twoCellAnchor>
  <xdr:twoCellAnchor editAs="oneCell">
    <xdr:from>
      <xdr:col>0</xdr:col>
      <xdr:colOff>0</xdr:colOff>
      <xdr:row>105</xdr:row>
      <xdr:rowOff>0</xdr:rowOff>
    </xdr:from>
    <xdr:to>
      <xdr:col>14</xdr:col>
      <xdr:colOff>151171</xdr:colOff>
      <xdr:row>134</xdr:row>
      <xdr:rowOff>8903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9838096" cy="4980953"/>
        </a:xfrm>
        <a:prstGeom prst="rect">
          <a:avLst/>
        </a:prstGeom>
      </xdr:spPr>
    </xdr:pic>
    <xdr:clientData/>
  </xdr:twoCellAnchor>
  <xdr:twoCellAnchor editAs="oneCell">
    <xdr:from>
      <xdr:col>1</xdr:col>
      <xdr:colOff>28575</xdr:colOff>
      <xdr:row>141</xdr:row>
      <xdr:rowOff>38100</xdr:rowOff>
    </xdr:from>
    <xdr:to>
      <xdr:col>11</xdr:col>
      <xdr:colOff>18184</xdr:colOff>
      <xdr:row>173</xdr:row>
      <xdr:rowOff>46938</xdr:rowOff>
    </xdr:to>
    <xdr:pic>
      <xdr:nvPicPr>
        <xdr:cNvPr id="7" name="图片 6"/>
        <xdr:cNvPicPr>
          <a:picLocks noChangeAspect="1"/>
        </xdr:cNvPicPr>
      </xdr:nvPicPr>
      <xdr:blipFill>
        <a:blip xmlns:r="http://schemas.openxmlformats.org/officeDocument/2006/relationships" r:embed="rId6"/>
        <a:stretch>
          <a:fillRect/>
        </a:stretch>
      </xdr:blipFill>
      <xdr:spPr>
        <a:xfrm>
          <a:off x="714375" y="24212550"/>
          <a:ext cx="6933334" cy="5495238"/>
        </a:xfrm>
        <a:prstGeom prst="rect">
          <a:avLst/>
        </a:prstGeom>
      </xdr:spPr>
    </xdr:pic>
    <xdr:clientData/>
  </xdr:twoCellAnchor>
  <xdr:twoCellAnchor editAs="oneCell">
    <xdr:from>
      <xdr:col>1</xdr:col>
      <xdr:colOff>66675</xdr:colOff>
      <xdr:row>136</xdr:row>
      <xdr:rowOff>142875</xdr:rowOff>
    </xdr:from>
    <xdr:to>
      <xdr:col>10</xdr:col>
      <xdr:colOff>303989</xdr:colOff>
      <xdr:row>142</xdr:row>
      <xdr:rowOff>142746</xdr:rowOff>
    </xdr:to>
    <xdr:pic>
      <xdr:nvPicPr>
        <xdr:cNvPr id="8" name="图片 7"/>
        <xdr:cNvPicPr>
          <a:picLocks noChangeAspect="1"/>
        </xdr:cNvPicPr>
      </xdr:nvPicPr>
      <xdr:blipFill>
        <a:blip xmlns:r="http://schemas.openxmlformats.org/officeDocument/2006/relationships" r:embed="rId7"/>
        <a:stretch>
          <a:fillRect/>
        </a:stretch>
      </xdr:blipFill>
      <xdr:spPr>
        <a:xfrm>
          <a:off x="752475" y="23460075"/>
          <a:ext cx="6495239" cy="1028571"/>
        </a:xfrm>
        <a:prstGeom prst="rect">
          <a:avLst/>
        </a:prstGeom>
      </xdr:spPr>
    </xdr:pic>
    <xdr:clientData/>
  </xdr:twoCellAnchor>
  <xdr:twoCellAnchor editAs="oneCell">
    <xdr:from>
      <xdr:col>0</xdr:col>
      <xdr:colOff>0</xdr:colOff>
      <xdr:row>178</xdr:row>
      <xdr:rowOff>0</xdr:rowOff>
    </xdr:from>
    <xdr:to>
      <xdr:col>8</xdr:col>
      <xdr:colOff>532637</xdr:colOff>
      <xdr:row>209</xdr:row>
      <xdr:rowOff>66003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518100"/>
          <a:ext cx="6104762" cy="5380953"/>
        </a:xfrm>
        <a:prstGeom prst="rect">
          <a:avLst/>
        </a:prstGeom>
      </xdr:spPr>
    </xdr:pic>
    <xdr:clientData/>
  </xdr:twoCellAnchor>
  <xdr:twoCellAnchor editAs="oneCell">
    <xdr:from>
      <xdr:col>0</xdr:col>
      <xdr:colOff>0</xdr:colOff>
      <xdr:row>209</xdr:row>
      <xdr:rowOff>9525</xdr:rowOff>
    </xdr:from>
    <xdr:to>
      <xdr:col>8</xdr:col>
      <xdr:colOff>513590</xdr:colOff>
      <xdr:row>241</xdr:row>
      <xdr:rowOff>27887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5842575"/>
          <a:ext cx="6085715" cy="5504762"/>
        </a:xfrm>
        <a:prstGeom prst="rect">
          <a:avLst/>
        </a:prstGeom>
      </xdr:spPr>
    </xdr:pic>
    <xdr:clientData/>
  </xdr:twoCellAnchor>
  <xdr:twoCellAnchor editAs="oneCell">
    <xdr:from>
      <xdr:col>0</xdr:col>
      <xdr:colOff>0</xdr:colOff>
      <xdr:row>241</xdr:row>
      <xdr:rowOff>0</xdr:rowOff>
    </xdr:from>
    <xdr:to>
      <xdr:col>8</xdr:col>
      <xdr:colOff>485018</xdr:colOff>
      <xdr:row>243</xdr:row>
      <xdr:rowOff>85671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1319450"/>
          <a:ext cx="6057143" cy="428571"/>
        </a:xfrm>
        <a:prstGeom prst="rect">
          <a:avLst/>
        </a:prstGeom>
      </xdr:spPr>
    </xdr:pic>
    <xdr:clientData/>
  </xdr:twoCellAnchor>
  <xdr:twoCellAnchor editAs="oneCell">
    <xdr:from>
      <xdr:col>9</xdr:col>
      <xdr:colOff>604964</xdr:colOff>
      <xdr:row>177</xdr:row>
      <xdr:rowOff>166561</xdr:rowOff>
    </xdr:from>
    <xdr:to>
      <xdr:col>14</xdr:col>
      <xdr:colOff>595012</xdr:colOff>
      <xdr:row>186</xdr:row>
      <xdr:rowOff>13987</xdr:rowOff>
    </xdr:to>
    <xdr:pic>
      <xdr:nvPicPr>
        <xdr:cNvPr id="12" name="图片 11"/>
        <xdr:cNvPicPr>
          <a:picLocks noChangeAspect="1"/>
        </xdr:cNvPicPr>
      </xdr:nvPicPr>
      <xdr:blipFill>
        <a:blip xmlns:r="http://schemas.openxmlformats.org/officeDocument/2006/relationships" r:embed="rId2"/>
        <a:stretch>
          <a:fillRect/>
        </a:stretch>
      </xdr:blipFill>
      <xdr:spPr>
        <a:xfrm rot="16200000">
          <a:off x="7105650" y="29498925"/>
          <a:ext cx="1390476" cy="3419048"/>
        </a:xfrm>
        <a:prstGeom prst="rect">
          <a:avLst/>
        </a:prstGeom>
      </xdr:spPr>
    </xdr:pic>
    <xdr:clientData/>
  </xdr:twoCellAnchor>
  <xdr:twoCellAnchor editAs="oneCell">
    <xdr:from>
      <xdr:col>9</xdr:col>
      <xdr:colOff>566845</xdr:colOff>
      <xdr:row>227</xdr:row>
      <xdr:rowOff>33238</xdr:rowOff>
    </xdr:from>
    <xdr:to>
      <xdr:col>16</xdr:col>
      <xdr:colOff>261483</xdr:colOff>
      <xdr:row>243</xdr:row>
      <xdr:rowOff>137657</xdr:rowOff>
    </xdr:to>
    <xdr:pic>
      <xdr:nvPicPr>
        <xdr:cNvPr id="13" name="图片 12"/>
        <xdr:cNvPicPr>
          <a:picLocks noChangeAspect="1"/>
        </xdr:cNvPicPr>
      </xdr:nvPicPr>
      <xdr:blipFill>
        <a:blip xmlns:r="http://schemas.openxmlformats.org/officeDocument/2006/relationships" r:embed="rId3"/>
        <a:stretch>
          <a:fillRect/>
        </a:stretch>
      </xdr:blipFill>
      <xdr:spPr>
        <a:xfrm rot="16200000">
          <a:off x="6877054" y="38128579"/>
          <a:ext cx="2847619" cy="4495238"/>
        </a:xfrm>
        <a:prstGeom prst="rect">
          <a:avLst/>
        </a:prstGeom>
      </xdr:spPr>
    </xdr:pic>
    <xdr:clientData/>
  </xdr:twoCellAnchor>
  <xdr:twoCellAnchor editAs="oneCell">
    <xdr:from>
      <xdr:col>0</xdr:col>
      <xdr:colOff>0</xdr:colOff>
      <xdr:row>304</xdr:row>
      <xdr:rowOff>0</xdr:rowOff>
    </xdr:from>
    <xdr:to>
      <xdr:col>13</xdr:col>
      <xdr:colOff>360780</xdr:colOff>
      <xdr:row>335</xdr:row>
      <xdr:rowOff>142193</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52120800"/>
          <a:ext cx="9361905" cy="5457143"/>
        </a:xfrm>
        <a:prstGeom prst="rect">
          <a:avLst/>
        </a:prstGeom>
      </xdr:spPr>
    </xdr:pic>
    <xdr:clientData/>
  </xdr:twoCellAnchor>
  <xdr:twoCellAnchor editAs="oneCell">
    <xdr:from>
      <xdr:col>0</xdr:col>
      <xdr:colOff>0</xdr:colOff>
      <xdr:row>279</xdr:row>
      <xdr:rowOff>9525</xdr:rowOff>
    </xdr:from>
    <xdr:to>
      <xdr:col>13</xdr:col>
      <xdr:colOff>360780</xdr:colOff>
      <xdr:row>304</xdr:row>
      <xdr:rowOff>170894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47844075"/>
          <a:ext cx="9361905" cy="4447619"/>
        </a:xfrm>
        <a:prstGeom prst="rect">
          <a:avLst/>
        </a:prstGeom>
      </xdr:spPr>
    </xdr:pic>
    <xdr:clientData/>
  </xdr:twoCellAnchor>
  <xdr:twoCellAnchor editAs="oneCell">
    <xdr:from>
      <xdr:col>14</xdr:col>
      <xdr:colOff>352425</xdr:colOff>
      <xdr:row>0</xdr:row>
      <xdr:rowOff>0</xdr:rowOff>
    </xdr:from>
    <xdr:to>
      <xdr:col>27</xdr:col>
      <xdr:colOff>189407</xdr:colOff>
      <xdr:row>30</xdr:row>
      <xdr:rowOff>75548</xdr:rowOff>
    </xdr:to>
    <xdr:pic>
      <xdr:nvPicPr>
        <xdr:cNvPr id="16" name="图片 15"/>
        <xdr:cNvPicPr>
          <a:picLocks noChangeAspect="1"/>
        </xdr:cNvPicPr>
      </xdr:nvPicPr>
      <xdr:blipFill>
        <a:blip xmlns:r="http://schemas.openxmlformats.org/officeDocument/2006/relationships" r:embed="rId13"/>
        <a:stretch>
          <a:fillRect/>
        </a:stretch>
      </xdr:blipFill>
      <xdr:spPr>
        <a:xfrm>
          <a:off x="9267825" y="0"/>
          <a:ext cx="8752382" cy="5219048"/>
        </a:xfrm>
        <a:prstGeom prst="rect">
          <a:avLst/>
        </a:prstGeom>
      </xdr:spPr>
    </xdr:pic>
    <xdr:clientData/>
  </xdr:twoCellAnchor>
  <xdr:twoCellAnchor editAs="oneCell">
    <xdr:from>
      <xdr:col>14</xdr:col>
      <xdr:colOff>361950</xdr:colOff>
      <xdr:row>30</xdr:row>
      <xdr:rowOff>142875</xdr:rowOff>
    </xdr:from>
    <xdr:to>
      <xdr:col>26</xdr:col>
      <xdr:colOff>475208</xdr:colOff>
      <xdr:row>57</xdr:row>
      <xdr:rowOff>18444</xdr:rowOff>
    </xdr:to>
    <xdr:pic>
      <xdr:nvPicPr>
        <xdr:cNvPr id="17" name="图片 16"/>
        <xdr:cNvPicPr>
          <a:picLocks noChangeAspect="1"/>
        </xdr:cNvPicPr>
      </xdr:nvPicPr>
      <xdr:blipFill>
        <a:blip xmlns:r="http://schemas.openxmlformats.org/officeDocument/2006/relationships" r:embed="rId14"/>
        <a:stretch>
          <a:fillRect/>
        </a:stretch>
      </xdr:blipFill>
      <xdr:spPr>
        <a:xfrm>
          <a:off x="9277350" y="5286375"/>
          <a:ext cx="8342858" cy="4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3433;&#27827;0003&#21150;&#20844;&#65288;&#31867;&#29420;&#26635;&#65289;&#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7">
          <cell r="C17" t="str">
            <v>项目类型</v>
          </cell>
        </row>
        <row r="19">
          <cell r="C19" t="str">
            <v>住宅</v>
          </cell>
        </row>
        <row r="20">
          <cell r="C20"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ow r="73">
          <cell r="A73" t="str">
            <v>交易情况</v>
          </cell>
          <cell r="C73" t="str">
            <v>正常</v>
          </cell>
          <cell r="D73" t="str">
            <v>溢价50%</v>
          </cell>
          <cell r="E73" t="str">
            <v>溢价40%</v>
          </cell>
        </row>
        <row r="75">
          <cell r="B75" t="str">
            <v>用途</v>
          </cell>
          <cell r="C75" t="str">
            <v>住宅</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efreshError="1"/>
      <sheetData sheetId="41" refreshError="1"/>
      <sheetData sheetId="42" refreshError="1"/>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20000</v>
          </cell>
          <cell r="C14">
            <v>59170.52</v>
          </cell>
          <cell r="G14">
            <v>53377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92672.75</v>
          </cell>
          <cell r="C14">
            <v>42456.82</v>
          </cell>
          <cell r="G14">
            <v>134072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26" sqref="E2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2651</v>
      </c>
      <c r="B1" s="2843" t="s">
        <v>2748</v>
      </c>
    </row>
    <row r="2" spans="1:55" s="2847" customFormat="1" ht="15" thickTop="1">
      <c r="A2" s="2845" t="s">
        <v>2655</v>
      </c>
      <c r="B2" s="2846" t="str">
        <f>'预评函-封皮'!B37</f>
        <v>北京市海淀区地铁16号线北安河 车辆段综合利用项目HD00-0700-0001、0002、0003、0004地块A334托幼用地、F3其他类多功能用地、R2二类居住用地项目（现状结构转换层）出让国有建设用地使用权市场价格预评估</v>
      </c>
      <c r="AX2" s="2848"/>
      <c r="AZ2" s="2848"/>
      <c r="BA2" s="2849"/>
      <c r="BC2" s="2849"/>
    </row>
    <row r="3" spans="1:55" s="2850" customFormat="1">
      <c r="A3" s="2829" t="s">
        <v>2656</v>
      </c>
      <c r="B3" s="2832" t="str">
        <f>'预评函-封皮'!B40</f>
        <v>北京京投兴海房地产有限公司</v>
      </c>
    </row>
    <row r="4" spans="1:55" s="2831" customFormat="1">
      <c r="A4" s="2829" t="s">
        <v>2657</v>
      </c>
      <c r="B4" s="2830" t="str">
        <f>'预评函-封皮'!B46</f>
        <v>吴薇、郑燚</v>
      </c>
      <c r="N4" s="2831" t="str">
        <f>'预评函-1'!A28</f>
        <v>——</v>
      </c>
    </row>
    <row r="5" spans="1:55" s="2844" customFormat="1" ht="15" thickBot="1">
      <c r="A5" s="2851" t="s">
        <v>2658</v>
      </c>
      <c r="B5" s="2852" t="str">
        <f>'预评函-封皮'!B49</f>
        <v>康正预评字号</v>
      </c>
    </row>
    <row r="6" spans="1:55" s="2853" customFormat="1" ht="15" thickTop="1">
      <c r="A6" s="2845" t="s">
        <v>2700</v>
      </c>
      <c r="B6" s="2846" t="str">
        <f>'预评函-1'!A4</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c r="AM6" s="2854"/>
    </row>
    <row r="7" spans="1:55" s="2828" customFormat="1">
      <c r="A7" s="2829" t="s">
        <v>2652</v>
      </c>
      <c r="B7" s="2830" t="str">
        <f>'预评函-1'!A6</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2654</v>
      </c>
      <c r="B10" s="2830" t="str">
        <f>'预评函-1'!A11</f>
        <v>2020年1月3日（评估专业人员勘察现场之日）</v>
      </c>
    </row>
    <row r="11" spans="1:55" s="2828" customFormat="1">
      <c r="A11" s="2829" t="s">
        <v>2660</v>
      </c>
      <c r="B11" s="2830" t="str">
        <f>'预评函-1'!A14</f>
        <v>根据《国有土地使用证》[京（2019）海不动产权第0034866、0034867、0034868号]，本次评估估价对象证载（地类）用途为住宅、商业、办公、地下车库。</v>
      </c>
    </row>
    <row r="12" spans="1:55" s="2828" customFormat="1">
      <c r="A12" s="2829" t="s">
        <v>2661</v>
      </c>
      <c r="B12" s="2830" t="str">
        <f>'预评函-1'!A15</f>
        <v>本次评估设定用途即为证载用途住宅、商业、办公、地下车库。</v>
      </c>
    </row>
    <row r="13" spans="1:55" s="2828" customFormat="1">
      <c r="A13" s="2829" t="s">
        <v>2662</v>
      </c>
      <c r="B13" s="2830" t="str">
        <f>'预评函-1'!A17</f>
        <v>根据委托估价方介绍及评估专业人员现场勘查，本次评估估价对象实际土地开发程度为红线外市政基础设施达“七通”（即通路、通电、通讯、通上水、通下水、通热、平整）、宗地红线内场地平整。</v>
      </c>
    </row>
    <row r="14" spans="1:55" s="2828" customFormat="1">
      <c r="A14" s="2829" t="s">
        <v>2663</v>
      </c>
      <c r="B14" s="2830" t="str">
        <f>'预评函-1'!A18</f>
        <v>本次评估设定土地开发程度为红线外市政基础设施达“七通”、宗地红线内场地平整。</v>
      </c>
    </row>
    <row r="15" spans="1:55" s="2828" customFormat="1">
      <c r="A15" s="2829" t="s">
        <v>2659</v>
      </c>
      <c r="B15" s="2830" t="str">
        <f>'预评函-1'!A20</f>
        <v>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16" spans="1:55" s="2828" customFormat="1">
      <c r="A16" s="2829" t="s">
        <v>2664</v>
      </c>
      <c r="B16" s="2830" t="str">
        <f>'预评函-1'!A22</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17" spans="1:48" s="2828" customFormat="1">
      <c r="A17" s="2829" t="s">
        <v>2665</v>
      </c>
      <c r="B17" s="2830" t="str">
        <f>'预评函-1'!A23</f>
        <v>本次评估设定估价对象剩余土地使用年限为住宅69.2年、商业39.2年、办公、地下车库49.2年。</v>
      </c>
    </row>
    <row r="18" spans="1:48" s="2828" customFormat="1">
      <c r="A18" s="2829" t="s">
        <v>2666</v>
      </c>
      <c r="B18" s="2830" t="str">
        <f>'预评函-1'!A25</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19" spans="1:48" s="2828" customFormat="1">
      <c r="A19" s="2829" t="s">
        <v>2667</v>
      </c>
      <c r="B19" s="2830" t="str">
        <f>'预评函-1'!A26</f>
        <v>——</v>
      </c>
    </row>
    <row r="20" spans="1:48" s="2828" customFormat="1">
      <c r="A20" s="2829" t="s">
        <v>2668</v>
      </c>
      <c r="B20" s="2830" t="str">
        <f>'预评函-1'!A27</f>
        <v>——</v>
      </c>
    </row>
    <row r="21" spans="1:48" s="2844" customFormat="1" ht="15" thickBot="1">
      <c r="A21" s="2851" t="s">
        <v>2669</v>
      </c>
      <c r="B21" s="2852" t="str">
        <f>'预评函-1'!A28</f>
        <v>——</v>
      </c>
    </row>
    <row r="22" spans="1:48" ht="15" thickTop="1">
      <c r="A22" s="2840" t="s">
        <v>2670</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估价期日：2020年1月3日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t="str">
        <f>'预评函-2'!E5</f>
        <v>住宅、商业、办公、地下车库</v>
      </c>
      <c r="AV32" s="2834"/>
    </row>
    <row r="33" spans="1:2">
      <c r="A33" s="2829" t="s">
        <v>2708</v>
      </c>
      <c r="B33" s="2830">
        <f>'预评函-2'!F5</f>
        <v>258</v>
      </c>
    </row>
    <row r="34" spans="1:2">
      <c r="A34" s="2829" t="s">
        <v>2709</v>
      </c>
      <c r="B34" s="2830" t="str">
        <f>'预评函-2'!G5</f>
        <v>住宅、商业、办公、地下车库</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红线外七通、宗地红线内场地平整</v>
      </c>
    </row>
    <row r="39" spans="1:2">
      <c r="A39" s="2829" t="s">
        <v>2714</v>
      </c>
      <c r="B39" s="2830" t="str">
        <f>'预评函-2'!L5</f>
        <v>红线外七通、宗地红线内场地平整</v>
      </c>
    </row>
    <row r="40" spans="1:2">
      <c r="A40" s="2829" t="s">
        <v>2733</v>
      </c>
      <c r="B40" s="2830" t="str">
        <f>'预评函-2'!M3</f>
        <v>（剩余）土地使用年限/年</v>
      </c>
    </row>
    <row r="41" spans="1:2">
      <c r="A41" s="2829" t="s">
        <v>2715</v>
      </c>
      <c r="B41" s="2830" t="str">
        <f>'预评函-2'!M5</f>
        <v>住宅69.2年、商业39.2年、办公、地下车库49.2年</v>
      </c>
    </row>
    <row r="42" spans="1:2">
      <c r="A42" s="2829" t="s">
        <v>2734</v>
      </c>
      <c r="B42" s="2830" t="str">
        <f>'预评函-2'!N3</f>
        <v>（分摊）出让国有建设用地使用权面积/㎡</v>
      </c>
    </row>
    <row r="43" spans="1:2">
      <c r="A43" s="2829" t="s">
        <v>2716</v>
      </c>
      <c r="B43" s="2830">
        <f>'预评函-2'!N5</f>
        <v>83137.16</v>
      </c>
    </row>
    <row r="44" spans="1:2">
      <c r="A44" s="2829" t="s">
        <v>2735</v>
      </c>
      <c r="B44" s="2830" t="str">
        <f>'预评函-2'!O3</f>
        <v>规划建筑面积/㎡</v>
      </c>
    </row>
    <row r="45" spans="1:2">
      <c r="A45" s="2829" t="s">
        <v>2717</v>
      </c>
      <c r="B45" s="2830">
        <f>'预评函-2'!O5</f>
        <v>138941.47999999998</v>
      </c>
    </row>
    <row r="46" spans="1:2">
      <c r="A46" s="2829" t="s">
        <v>2718</v>
      </c>
      <c r="B46" s="2830">
        <f ca="1">'预评函-2'!P5</f>
        <v>52140</v>
      </c>
    </row>
    <row r="47" spans="1:2">
      <c r="A47" s="2829" t="s">
        <v>2719</v>
      </c>
      <c r="B47" s="2830">
        <f ca="1">'预评函-2'!Q5</f>
        <v>31199</v>
      </c>
    </row>
    <row r="48" spans="1:2">
      <c r="A48" s="2829" t="s">
        <v>2720</v>
      </c>
      <c r="B48" s="2830">
        <f ca="1">'预评函-2'!R5</f>
        <v>433477</v>
      </c>
    </row>
    <row r="49" spans="1:2">
      <c r="A49" s="2829" t="s">
        <v>2736</v>
      </c>
      <c r="B49" s="2830" t="str">
        <f>'预评函-2'!A6</f>
        <v>——</v>
      </c>
    </row>
    <row r="50" spans="1:2">
      <c r="A50" s="2829" t="s">
        <v>2721</v>
      </c>
      <c r="B50" s="2830">
        <f ca="1">'预评函-2'!R6</f>
        <v>433477</v>
      </c>
    </row>
    <row r="51" spans="1:2">
      <c r="A51" s="2829" t="s">
        <v>2737</v>
      </c>
      <c r="B51" s="2830" t="str">
        <f>'预评函-2'!A7</f>
        <v>——</v>
      </c>
    </row>
    <row r="52" spans="1:2">
      <c r="A52" s="2829" t="s">
        <v>2722</v>
      </c>
      <c r="B52" s="2830" t="str">
        <f>'预评函-2'!R7</f>
        <v>——</v>
      </c>
    </row>
    <row r="53" spans="1:2">
      <c r="A53" s="2829" t="s">
        <v>2738</v>
      </c>
      <c r="B53" s="2830" t="str">
        <f>'预评函-2'!A8</f>
        <v>——</v>
      </c>
    </row>
    <row r="54" spans="1:2" s="2844" customFormat="1" ht="15" thickBot="1">
      <c r="A54" s="2851" t="s">
        <v>2723</v>
      </c>
      <c r="B54" s="2852" t="str">
        <f>'预评函-2'!R8</f>
        <v>——</v>
      </c>
    </row>
    <row r="55" spans="1:2" ht="15" thickTop="1">
      <c r="A55" s="2840" t="s">
        <v>2673</v>
      </c>
      <c r="B55" s="2841" t="str">
        <f>'预评函-3'!A2</f>
        <v>1.权利限制：根据估价对象《不动产权证书》复印件、《国有土地使用权》——，截至估价期日，估价对象抵押权未见登记。未设定租赁等其他他项权利。</v>
      </c>
    </row>
    <row r="56" spans="1:2">
      <c r="A56" s="2829" t="s">
        <v>2674</v>
      </c>
      <c r="B56" s="2830" t="str">
        <f>'预评函-3'!A3</f>
        <v>2.基础设施条件：估价对象实际开发程度为红线外七通、宗地红线内场地平整；本次评估设定开发程度为红线外七通、宗地红线内场地平整。</v>
      </c>
    </row>
    <row r="57" spans="1:2">
      <c r="A57" s="2829" t="s">
        <v>2675</v>
      </c>
      <c r="B57" s="2830" t="str">
        <f>'预评函-3'!A4</f>
        <v>3.估价规划限制条件：详见《建设工程规划许可证》[建字第2019规自（海）建字0077、0078号]及附件附图、《总平面图》。</v>
      </c>
    </row>
    <row r="58" spans="1:2" s="2844" customFormat="1" ht="15" thickBot="1">
      <c r="A58" s="2851" t="s">
        <v>2724</v>
      </c>
      <c r="B58" s="2852" t="str">
        <f>'预评函-3'!A5</f>
        <v>4.影响价格的其他限定条件：无。</v>
      </c>
    </row>
    <row r="59" spans="1:2" ht="15"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（1）根据估价对象《不动产权证书》复印件、《国有土地使用权》——，截至估价期日，估价对象抵押权未见登记。</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2687</v>
      </c>
      <c r="B68" s="2855">
        <f>'预评函-3'!D30</f>
        <v>42558</v>
      </c>
    </row>
    <row r="69" spans="1:2" ht="15" thickTop="1">
      <c r="A69" s="2840" t="s">
        <v>2685</v>
      </c>
      <c r="B69" s="2841" t="str">
        <f>'预评函-3'!A20</f>
        <v>吴薇</v>
      </c>
    </row>
    <row r="70" spans="1:2">
      <c r="A70" s="2829" t="s">
        <v>2685</v>
      </c>
      <c r="B70" s="2836">
        <f ca="1">'预评函-3'!B20</f>
        <v>2002110125</v>
      </c>
    </row>
    <row r="71" spans="1:2">
      <c r="A71" s="2829" t="s">
        <v>2686</v>
      </c>
      <c r="B71" s="2830" t="str">
        <f>'预评函-3'!A21</f>
        <v>郑燚</v>
      </c>
    </row>
    <row r="72" spans="1:2" s="2844" customFormat="1" ht="15" thickBot="1">
      <c r="A72" s="2851" t="s">
        <v>2686</v>
      </c>
      <c r="B72" s="2857">
        <f ca="1">'预评函-3'!B21</f>
        <v>2014110011</v>
      </c>
    </row>
    <row r="73" spans="1:2" ht="15"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2781</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4" sqref="E4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1935</v>
      </c>
      <c r="B1" s="3258" t="str">
        <f>IF(B10="北京市","北京市",C10)&amp;F10&amp;B16&amp;"国有建设用地使用权"&amp;B9&amp;"预评估"</f>
        <v>北京市海淀区地铁16号线北安河 车辆段综合利用项目HD00-0700-0001、0002、0003、0004地块A334托幼用地、F3其他类多功能用地、R2二类居住用地项目（现状结构转换层）出让国有建设用地使用权市场价格预评估</v>
      </c>
      <c r="C1" s="3259"/>
      <c r="D1" s="3259"/>
      <c r="E1" s="3259"/>
      <c r="F1" s="3259"/>
      <c r="G1" s="3259"/>
      <c r="H1" s="3259"/>
      <c r="I1" s="3260"/>
      <c r="J1" s="1674"/>
      <c r="K1" s="2415" t="str">
        <f>IF(B10="北京市","北京市",C10)&amp;F10&amp;B16&amp;"国有建设用地使用权"&amp;B9</f>
        <v>北京市海淀区地铁16号线北安河 车辆段综合利用项目HD00-0700-0001、0002、0003、0004地块A334托幼用地、F3其他类多功能用地、R2二类居住用地项目（现状结构转换层）出让国有建设用地使用权市场价格</v>
      </c>
      <c r="L1" s="1703"/>
      <c r="M1" s="1703"/>
      <c r="N1" s="1674"/>
      <c r="O1" s="1675"/>
      <c r="P1" s="1674"/>
      <c r="Q1" s="1674"/>
      <c r="R1" s="1674"/>
      <c r="S1" s="1674"/>
      <c r="T1" s="1674"/>
      <c r="U1" s="1674"/>
    </row>
    <row r="2" spans="1:21">
      <c r="A2" s="1640" t="s">
        <v>1936</v>
      </c>
      <c r="B2" s="1822"/>
      <c r="D2" s="1674"/>
      <c r="E2" s="1674"/>
      <c r="F2" s="1674"/>
      <c r="G2" s="1674"/>
      <c r="H2" s="1640"/>
      <c r="I2" s="1675"/>
      <c r="J2" s="1674"/>
      <c r="K2" s="2415" t="str">
        <f>IF(B10="北京市","北京市",C10)&amp;F10&amp;B16&amp;"国有建设用地使用权"</f>
        <v>北京市海淀区地铁16号线北安河 车辆段综合利用项目HD00-0700-0001、0002、0003、0004地块A334托幼用地、F3其他类多功能用地、R2二类居住用地项目（现状结构转换层）出让国有建设用地使用权</v>
      </c>
      <c r="L2" s="1703"/>
      <c r="M2" s="1703"/>
      <c r="N2" s="1674"/>
      <c r="O2" s="1675"/>
      <c r="P2" s="1674"/>
      <c r="Q2" s="1674"/>
      <c r="R2" s="1674"/>
      <c r="S2" s="1674"/>
      <c r="T2" s="1674"/>
      <c r="U2" s="1674"/>
    </row>
    <row r="3" spans="1:21">
      <c r="A3" s="1641" t="s">
        <v>1937</v>
      </c>
      <c r="B3" s="1642">
        <v>43833</v>
      </c>
      <c r="C3" s="1643" t="s">
        <v>1992</v>
      </c>
      <c r="D3" s="1642">
        <f>B3</f>
        <v>43833</v>
      </c>
      <c r="E3" s="1674"/>
      <c r="F3" s="1674"/>
      <c r="G3" s="1674"/>
      <c r="H3" s="1640"/>
      <c r="I3" s="1675"/>
      <c r="J3" s="1674"/>
      <c r="K3" s="1754"/>
      <c r="L3" s="1703"/>
      <c r="M3" s="1703"/>
      <c r="N3" s="1674"/>
      <c r="O3" s="1675"/>
      <c r="P3" s="1674"/>
      <c r="Q3" s="1674"/>
      <c r="R3" s="1674"/>
      <c r="S3" s="1674"/>
      <c r="T3" s="1674"/>
      <c r="U3" s="1674"/>
    </row>
    <row r="4" spans="1:21" ht="15" thickBot="1">
      <c r="A4" s="1644" t="s">
        <v>1938</v>
      </c>
      <c r="B4" s="1823" t="s">
        <v>2991</v>
      </c>
      <c r="C4" s="1826">
        <f ca="1">SUMIF(土地估价师,B4,估价师及机构信息!E3:E24)</f>
        <v>2002110125</v>
      </c>
      <c r="D4" s="1823" t="s">
        <v>2992</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5" thickTop="1">
      <c r="A5" s="1645" t="s">
        <v>1939</v>
      </c>
      <c r="B5" s="1769" t="s">
        <v>2993</v>
      </c>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t="s">
        <v>2994</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2702</v>
      </c>
      <c r="B7" s="1769" t="str">
        <f>B5</f>
        <v>北京京投兴海房地产有限公司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1940</v>
      </c>
      <c r="B8" s="1650" t="s">
        <v>2979</v>
      </c>
      <c r="C8" s="1651"/>
      <c r="D8" s="3264" t="s">
        <v>1942</v>
      </c>
      <c r="E8" s="1824" t="s">
        <v>2995</v>
      </c>
      <c r="F8" s="1652"/>
      <c r="G8" s="1640"/>
      <c r="H8" s="1640"/>
      <c r="I8" s="1687"/>
      <c r="J8" s="1674"/>
      <c r="K8" s="1754"/>
      <c r="L8" s="1703"/>
      <c r="M8" s="1703"/>
      <c r="N8" s="1674"/>
      <c r="O8" s="1675"/>
      <c r="P8" s="1674"/>
      <c r="Q8" s="1674"/>
      <c r="R8" s="1674"/>
      <c r="S8" s="1674"/>
      <c r="T8" s="1674"/>
      <c r="U8" s="1674"/>
    </row>
    <row r="9" spans="1:21" ht="15" thickBot="1">
      <c r="A9" s="1653" t="s">
        <v>1941</v>
      </c>
      <c r="B9" s="1654" t="s">
        <v>2996</v>
      </c>
      <c r="C9" s="1655"/>
      <c r="D9" s="3265"/>
      <c r="E9" s="1654"/>
      <c r="F9" s="1727"/>
      <c r="G9" s="1722"/>
      <c r="H9" s="1722"/>
      <c r="I9" s="1723"/>
      <c r="J9" s="1674"/>
      <c r="K9" s="1754"/>
      <c r="L9" s="1703"/>
      <c r="M9" s="1703"/>
      <c r="N9" s="1674"/>
      <c r="O9" s="1675"/>
      <c r="P9" s="1674"/>
      <c r="Q9" s="1674"/>
      <c r="R9" s="1674"/>
      <c r="S9" s="1674"/>
      <c r="T9" s="1674"/>
      <c r="U9" s="1674"/>
    </row>
    <row r="10" spans="1:21" ht="15" thickTop="1">
      <c r="A10" s="1724" t="s">
        <v>1995</v>
      </c>
      <c r="B10" s="1699" t="s">
        <v>1943</v>
      </c>
      <c r="C10" s="1656"/>
      <c r="D10" s="1647"/>
      <c r="E10" s="1657" t="s">
        <v>1944</v>
      </c>
      <c r="F10" s="1658" t="s">
        <v>2998</v>
      </c>
      <c r="G10" s="1725"/>
      <c r="H10" s="1726"/>
      <c r="I10" s="1647"/>
      <c r="J10" s="1674"/>
      <c r="K10" s="1754"/>
      <c r="L10" s="1703"/>
      <c r="M10" s="1703"/>
      <c r="N10" s="1674"/>
      <c r="O10" s="1675"/>
      <c r="P10" s="1674"/>
      <c r="Q10" s="1674"/>
      <c r="R10" s="1674"/>
      <c r="S10" s="1674"/>
      <c r="T10" s="1674"/>
      <c r="U10" s="1674"/>
    </row>
    <row r="11" spans="1:21">
      <c r="A11" s="1677" t="s">
        <v>1996</v>
      </c>
      <c r="B11" s="1678" t="s">
        <v>2997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2054</v>
      </c>
      <c r="B12" s="3261" t="s">
        <v>2999</v>
      </c>
      <c r="C12" s="3262"/>
      <c r="D12" s="3263"/>
      <c r="E12" s="1679" t="s">
        <v>2057</v>
      </c>
      <c r="F12" s="3279" t="s">
        <v>3000</v>
      </c>
      <c r="G12" s="3280"/>
      <c r="H12" s="3280"/>
      <c r="I12" s="3281"/>
      <c r="J12" s="1674"/>
      <c r="K12" s="1754"/>
      <c r="L12" s="1703"/>
      <c r="M12" s="1703"/>
      <c r="N12" s="1674"/>
      <c r="O12" s="1675"/>
      <c r="P12" s="1674"/>
      <c r="Q12" s="1674"/>
      <c r="R12" s="1674"/>
      <c r="S12" s="1674"/>
      <c r="T12" s="1674"/>
      <c r="U12" s="1674"/>
    </row>
    <row r="13" spans="1:21">
      <c r="A13" s="1667" t="s">
        <v>2055</v>
      </c>
      <c r="B13" s="3261" t="s">
        <v>2999</v>
      </c>
      <c r="C13" s="3262"/>
      <c r="D13" s="3263"/>
      <c r="E13" s="1679" t="s">
        <v>2057</v>
      </c>
      <c r="F13" s="3279" t="s">
        <v>3001</v>
      </c>
      <c r="G13" s="3280"/>
      <c r="H13" s="3280"/>
      <c r="I13" s="3281"/>
      <c r="J13" s="1674"/>
      <c r="K13" s="1754"/>
      <c r="L13" s="1703"/>
      <c r="M13" s="1703"/>
      <c r="N13" s="1674"/>
      <c r="O13" s="1675"/>
      <c r="P13" s="1674"/>
      <c r="Q13" s="1674"/>
      <c r="R13" s="1674"/>
      <c r="S13" s="1674"/>
      <c r="T13" s="1674"/>
      <c r="U13" s="1674"/>
    </row>
    <row r="14" spans="1:21">
      <c r="A14" s="1641" t="s">
        <v>2058</v>
      </c>
      <c r="B14" s="1679"/>
      <c r="C14" s="1825" t="s">
        <v>3002</v>
      </c>
      <c r="D14" s="1713" t="str">
        <f>IF(C14="不一致","是否符合证载地类范围","")</f>
        <v/>
      </c>
      <c r="E14" s="1679"/>
      <c r="F14" s="1770" t="s">
        <v>3006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1947</v>
      </c>
      <c r="E15" s="1746" t="s">
        <v>1948</v>
      </c>
      <c r="F15" s="1746" t="s">
        <v>1949</v>
      </c>
      <c r="G15" s="1666" t="s">
        <v>1950</v>
      </c>
      <c r="H15" s="1666" t="s">
        <v>1951</v>
      </c>
      <c r="I15" s="1666" t="s">
        <v>1952</v>
      </c>
      <c r="J15" s="1674"/>
      <c r="K15" s="1754"/>
      <c r="L15" s="1703"/>
      <c r="M15" s="1703"/>
      <c r="N15" s="1674"/>
      <c r="O15" s="1675"/>
      <c r="P15" s="1674"/>
      <c r="Q15" s="1674"/>
      <c r="R15" s="1674"/>
      <c r="S15" s="1674"/>
      <c r="T15" s="1674"/>
      <c r="U15" s="1674"/>
    </row>
    <row r="16" spans="1:21" ht="28.5">
      <c r="A16" s="1660" t="s">
        <v>1945</v>
      </c>
      <c r="B16" s="1661" t="s">
        <v>2974</v>
      </c>
      <c r="C16" s="1679" t="s">
        <v>1946</v>
      </c>
      <c r="D16" s="2606" t="s">
        <v>1947</v>
      </c>
      <c r="E16" s="1702" t="s">
        <v>3003</v>
      </c>
      <c r="F16" s="1702" t="s">
        <v>1677</v>
      </c>
      <c r="G16" s="1702" t="s">
        <v>3004</v>
      </c>
      <c r="H16" s="1702" t="s">
        <v>3005</v>
      </c>
      <c r="I16" s="1666" t="s">
        <v>1952</v>
      </c>
      <c r="J16" s="1674"/>
      <c r="K16" s="2416" t="str">
        <f>IF(D17="","",D16&amp;TEXT(D17,"yyyy年m月d日;;"))</f>
        <v>住宅2089年3月11日</v>
      </c>
      <c r="L16" s="1679" t="str">
        <f>IF(OR(K16="",M16=""),"","、")</f>
        <v>、</v>
      </c>
      <c r="M16" s="2416" t="str">
        <f>IF(E17="","",E16&amp;TEXT(E17,"yyyy年m月d日;;"))</f>
        <v>商业2059年3月11日</v>
      </c>
      <c r="N16" s="1679" t="str">
        <f>IF(OR(M16="",O16=""),"","、")</f>
        <v>、</v>
      </c>
      <c r="O16" s="2416" t="str">
        <f>IF(F17="","",F16&amp;TEXT(F17,"yyyy年m月d日;;"))</f>
        <v>办公2069年3月11日</v>
      </c>
      <c r="P16" s="1679" t="str">
        <f>IF(OR(O16="",Q16=""),"","、")</f>
        <v>、</v>
      </c>
      <c r="Q16" s="2416" t="str">
        <f>IF(G17="","",G16&amp;TEXT(G17,"yyyy年m月d日;;"))</f>
        <v>车库2069年3月11日</v>
      </c>
      <c r="R16" s="1679" t="str">
        <f>IF(OR(Q16="",S16=""),"","、")</f>
        <v>、</v>
      </c>
      <c r="S16" s="2416" t="str">
        <f>IF(H17="","",H16&amp;TEXT(H17,"yyyy年m月d日;;"))</f>
        <v>仓储2069年3月11日</v>
      </c>
      <c r="T16" s="1679" t="str">
        <f>IF(OR(S16="",U16=""),"","、")</f>
        <v/>
      </c>
      <c r="U16" s="2416" t="str">
        <f>IF(I17="","",I16&amp;TEXT(I17,"yyyy年m月d日;;"))</f>
        <v/>
      </c>
    </row>
    <row r="17" spans="1:21">
      <c r="A17" s="1743"/>
      <c r="B17" s="1662"/>
      <c r="C17" s="1663" t="s">
        <v>1953</v>
      </c>
      <c r="D17" s="1680">
        <v>69103</v>
      </c>
      <c r="E17" s="1680">
        <v>58145</v>
      </c>
      <c r="F17" s="1680">
        <v>61798</v>
      </c>
      <c r="G17" s="1680">
        <v>61798</v>
      </c>
      <c r="H17" s="1680">
        <v>61798</v>
      </c>
      <c r="I17" s="1680"/>
      <c r="J17" s="1674"/>
      <c r="K17" s="2415" t="str">
        <f>CONCATENATE(K16,L16,M16,N16,O16,P16,Q16,R16,S16,T16,,U16)</f>
        <v>住宅2089年3月11日、商业2059年3月11日、办公2069年3月11日、车库2069年3月11日、仓储2069年3月11日</v>
      </c>
      <c r="L17" s="1703"/>
      <c r="M17" s="1703"/>
      <c r="N17" s="1674"/>
      <c r="O17" s="1675"/>
      <c r="P17" s="1674"/>
      <c r="Q17" s="1674"/>
      <c r="R17" s="1674"/>
      <c r="S17" s="1674"/>
      <c r="T17" s="1674"/>
      <c r="U17" s="1674"/>
    </row>
    <row r="18" spans="1:21">
      <c r="A18" s="1743"/>
      <c r="B18" s="1662"/>
      <c r="C18" s="1663" t="s">
        <v>1954</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1955</v>
      </c>
      <c r="D19" s="1738">
        <f>IF(B16="出让",IF(D17="","",ROUNDDOWN(MIN((D17-$D$3)/365,D18),2)),D18)</f>
        <v>69.23</v>
      </c>
      <c r="E19" s="1665">
        <f>IF(B16="出让",IF(E17="","",ROUNDDOWN(MIN((E17-$D$3)/365,E18),2)),E18)</f>
        <v>39.21</v>
      </c>
      <c r="F19" s="1665">
        <f>IF(B16="出让",IF(F17="","",ROUNDDOWN(MIN((F17-$D$3)/365,F18),2)),F18)</f>
        <v>49.21</v>
      </c>
      <c r="G19" s="1665">
        <f>IF(B16="出让",IF(G17="","",ROUNDDOWN(MIN((G17-$D$3)/365,G18),2)),G18)</f>
        <v>49.21</v>
      </c>
      <c r="H19" s="1665">
        <f>IF(B16="出让",IF(H17="","",ROUNDDOWN(MIN((H17-$D$3)/365,H18),2)),H18)</f>
        <v>49.21</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2056</v>
      </c>
      <c r="D20" s="3276" t="s">
        <v>3007</v>
      </c>
      <c r="E20" s="3277"/>
      <c r="F20" s="3277"/>
      <c r="G20" s="3277"/>
      <c r="H20" s="3277"/>
      <c r="I20" s="3278"/>
      <c r="J20" s="1674"/>
      <c r="K20" s="1754"/>
      <c r="L20" s="1703"/>
      <c r="M20" s="1703"/>
      <c r="N20" s="1674"/>
      <c r="O20" s="1675"/>
      <c r="P20" s="1674"/>
      <c r="Q20" s="1674"/>
      <c r="R20" s="1674"/>
      <c r="S20" s="1674"/>
      <c r="T20" s="1674"/>
      <c r="U20" s="1674"/>
    </row>
    <row r="21" spans="1:21">
      <c r="A21" s="1743" t="s">
        <v>1956</v>
      </c>
      <c r="B21" s="1744" t="s">
        <v>1957</v>
      </c>
      <c r="C21" s="1739">
        <f>'数据-汇总表'!E3</f>
        <v>138941.47999999998</v>
      </c>
      <c r="D21" s="1740" t="s">
        <v>1958</v>
      </c>
      <c r="E21" s="3266" t="s">
        <v>3009</v>
      </c>
      <c r="F21" s="3267"/>
      <c r="G21" s="3267"/>
      <c r="H21" s="3267"/>
      <c r="I21" s="3268"/>
      <c r="J21" s="1674"/>
      <c r="K21" s="1754"/>
      <c r="L21" s="1703"/>
      <c r="M21" s="1703"/>
      <c r="N21" s="1674"/>
      <c r="O21" s="1675"/>
      <c r="P21" s="1674"/>
      <c r="Q21" s="1674"/>
      <c r="R21" s="1674"/>
      <c r="S21" s="1674"/>
      <c r="T21" s="1674"/>
      <c r="U21" s="1674"/>
    </row>
    <row r="22" spans="1:21">
      <c r="A22" s="3090" t="s">
        <v>952</v>
      </c>
      <c r="B22" s="1641" t="s">
        <v>1959</v>
      </c>
      <c r="C22" s="1666">
        <f>'数据-汇总表'!D3</f>
        <v>83137.16</v>
      </c>
      <c r="D22" s="1667" t="s">
        <v>1958</v>
      </c>
      <c r="E22" s="3266" t="s">
        <v>3008</v>
      </c>
      <c r="F22" s="3267"/>
      <c r="G22" s="3267"/>
      <c r="H22" s="3267"/>
      <c r="I22" s="3268"/>
      <c r="J22" s="1674"/>
      <c r="K22" s="1754"/>
      <c r="L22" s="1703"/>
      <c r="M22" s="1703"/>
      <c r="N22" s="1674"/>
      <c r="O22" s="1675"/>
      <c r="P22" s="1674"/>
      <c r="Q22" s="1674"/>
      <c r="R22" s="1674"/>
      <c r="S22" s="1674"/>
      <c r="T22" s="1674"/>
      <c r="U22" s="1674"/>
    </row>
    <row r="23" spans="1:21" ht="43.5" thickBot="1">
      <c r="A23" s="1745" t="s">
        <v>1960</v>
      </c>
      <c r="B23" s="1681" t="s">
        <v>1961</v>
      </c>
      <c r="C23" s="1682" t="s">
        <v>3010</v>
      </c>
      <c r="D23" s="1683" t="s">
        <v>1962</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1963</v>
      </c>
      <c r="B24" s="3269" t="s">
        <v>1964</v>
      </c>
      <c r="C24" s="3270"/>
      <c r="D24" s="3271" t="s">
        <v>1965</v>
      </c>
      <c r="E24" s="3272"/>
      <c r="F24" s="1688" t="s">
        <v>1966</v>
      </c>
      <c r="G24" s="1674"/>
      <c r="H24" s="1674"/>
      <c r="I24" s="1687"/>
      <c r="J24" s="1674"/>
      <c r="K24" s="3257" t="s">
        <v>1967</v>
      </c>
      <c r="L24" s="2417"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03"/>
      <c r="N24" s="1674"/>
      <c r="O24" s="1675"/>
      <c r="P24" s="1674"/>
      <c r="Q24" s="1674"/>
      <c r="R24" s="1674"/>
      <c r="S24" s="1674"/>
      <c r="T24" s="1674"/>
      <c r="U24" s="1674"/>
    </row>
    <row r="25" spans="1:21" ht="28.5">
      <c r="A25" s="1731"/>
      <c r="B25" s="1728" t="s">
        <v>2321</v>
      </c>
      <c r="C25" s="1689" t="s">
        <v>2322</v>
      </c>
      <c r="D25" s="1690"/>
      <c r="E25" s="1691" t="s">
        <v>952</v>
      </c>
      <c r="F25" s="1692"/>
      <c r="G25" s="1674"/>
      <c r="H25" s="1674"/>
      <c r="I25" s="1687"/>
      <c r="J25" s="1674"/>
      <c r="K25" s="325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1968</v>
      </c>
      <c r="C26" s="1689" t="s">
        <v>952</v>
      </c>
      <c r="D26" s="1640"/>
      <c r="E26" s="1640"/>
      <c r="F26" s="1668"/>
      <c r="G26" s="1674"/>
      <c r="H26" s="1674"/>
      <c r="I26" s="1687"/>
      <c r="J26" s="1674"/>
      <c r="K26" s="325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243" t="s">
        <v>1997</v>
      </c>
      <c r="B31" s="1744" t="s">
        <v>1998</v>
      </c>
      <c r="C31" s="3282" t="s">
        <v>3011</v>
      </c>
      <c r="D31" s="3283"/>
      <c r="E31" s="1674"/>
      <c r="F31" s="1674"/>
      <c r="G31" s="1674"/>
      <c r="H31" s="1674"/>
      <c r="I31" s="1687"/>
      <c r="J31" s="1674"/>
      <c r="K31" s="2418"/>
      <c r="L31" s="1674"/>
      <c r="M31" s="1674"/>
      <c r="N31" s="1674"/>
      <c r="O31" s="1674"/>
      <c r="P31" s="1674"/>
      <c r="Q31" s="1674"/>
      <c r="R31" s="1674"/>
      <c r="S31" s="1674"/>
      <c r="T31" s="1674"/>
      <c r="U31" s="1674"/>
    </row>
    <row r="32" spans="1:21">
      <c r="A32" s="3243"/>
      <c r="B32" s="1641" t="s">
        <v>1999</v>
      </c>
      <c r="C32" s="1699" t="s">
        <v>3012</v>
      </c>
      <c r="D32" s="1700"/>
      <c r="E32" s="1674"/>
      <c r="F32" s="1674"/>
      <c r="G32" s="1674"/>
      <c r="H32" s="1674"/>
      <c r="I32" s="1687"/>
      <c r="J32" s="1674"/>
      <c r="K32" s="2418"/>
      <c r="L32" s="1674"/>
      <c r="M32" s="1674"/>
      <c r="N32" s="1674"/>
      <c r="O32" s="1674"/>
      <c r="P32" s="1674"/>
      <c r="Q32" s="1674"/>
      <c r="R32" s="1674"/>
      <c r="S32" s="1674"/>
      <c r="T32" s="1674"/>
      <c r="U32" s="1674"/>
    </row>
    <row r="33" spans="1:21">
      <c r="A33" s="3243"/>
      <c r="B33" s="1641" t="s">
        <v>2000</v>
      </c>
      <c r="C33" s="1701" t="s">
        <v>3010</v>
      </c>
      <c r="D33" s="1818"/>
      <c r="E33" s="1674"/>
      <c r="F33" s="1674"/>
      <c r="G33" s="1674"/>
      <c r="H33" s="1674"/>
      <c r="I33" s="1687"/>
      <c r="J33" s="1674"/>
      <c r="K33" s="2418"/>
      <c r="L33" s="1674"/>
      <c r="M33" s="1674"/>
      <c r="N33" s="1674"/>
      <c r="O33" s="1674"/>
      <c r="P33" s="1674"/>
      <c r="Q33" s="1674"/>
      <c r="R33" s="1674"/>
      <c r="S33" s="1674"/>
      <c r="T33" s="1674"/>
      <c r="U33" s="1674"/>
    </row>
    <row r="34" spans="1:21">
      <c r="A34" s="3244"/>
      <c r="B34" s="1641" t="s">
        <v>2001</v>
      </c>
      <c r="C34" s="3245"/>
      <c r="D34" s="3246"/>
      <c r="E34" s="1674"/>
      <c r="F34" s="1674"/>
      <c r="G34" s="1674"/>
      <c r="H34" s="1674"/>
      <c r="I34" s="1687"/>
      <c r="J34" s="1674"/>
      <c r="K34" s="2418"/>
      <c r="L34" s="1674"/>
      <c r="M34" s="1674"/>
      <c r="N34" s="1674"/>
      <c r="O34" s="1674"/>
      <c r="P34" s="1674"/>
      <c r="Q34" s="1674"/>
      <c r="R34" s="1674"/>
      <c r="S34" s="1674"/>
      <c r="T34" s="1674"/>
      <c r="U34" s="1674"/>
    </row>
    <row r="35" spans="1:21">
      <c r="A35" s="3247" t="s">
        <v>847</v>
      </c>
      <c r="B35" s="1702" t="s">
        <v>3013</v>
      </c>
      <c r="C35" s="1756" t="str">
        <f>IF(B35="场地平整","——","具体情况：")</f>
        <v>——</v>
      </c>
      <c r="D35" s="3249"/>
      <c r="E35" s="3250"/>
      <c r="F35" s="3250"/>
      <c r="G35" s="3250"/>
      <c r="H35" s="3250"/>
      <c r="I35" s="3251"/>
      <c r="J35" s="1674"/>
      <c r="K35" s="1755"/>
      <c r="L35" s="1703"/>
      <c r="M35" s="1703"/>
      <c r="N35" s="1674"/>
      <c r="O35" s="1675"/>
      <c r="P35" s="1674"/>
      <c r="Q35" s="1674"/>
      <c r="R35" s="1674"/>
      <c r="S35" s="1674"/>
      <c r="T35" s="1674"/>
      <c r="U35" s="1674"/>
    </row>
    <row r="36" spans="1:21">
      <c r="A36" s="3243"/>
      <c r="B36" s="3252" t="s">
        <v>2050</v>
      </c>
      <c r="C36" s="3253"/>
      <c r="D36" s="1772" t="s">
        <v>3014</v>
      </c>
      <c r="E36" s="3254"/>
      <c r="F36" s="3254"/>
      <c r="G36" s="1667" t="str">
        <f>IF(B35="场地未平整","估价结果处理","")</f>
        <v/>
      </c>
      <c r="H36" s="3255"/>
      <c r="I36" s="3255"/>
      <c r="J36" s="1674"/>
      <c r="K36" s="1755"/>
      <c r="L36" s="1703"/>
      <c r="M36" s="1703"/>
      <c r="N36" s="1674"/>
      <c r="O36" s="1675"/>
      <c r="P36" s="1674"/>
      <c r="Q36" s="1674"/>
      <c r="R36" s="1674"/>
      <c r="S36" s="1674"/>
      <c r="T36" s="1674"/>
      <c r="U36" s="1674"/>
    </row>
    <row r="37" spans="1:21" ht="28.5">
      <c r="A37" s="3243"/>
      <c r="B37" s="3273"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43"/>
      <c r="B38" s="3274"/>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44"/>
      <c r="B39" s="327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t="s">
        <v>3015</v>
      </c>
      <c r="C40" s="1670" t="s">
        <v>3016</v>
      </c>
      <c r="D40" s="1670" t="s">
        <v>3017</v>
      </c>
      <c r="E40" s="1670" t="s">
        <v>3018</v>
      </c>
      <c r="F40" s="1670" t="s">
        <v>3019</v>
      </c>
      <c r="G40" s="1670" t="s">
        <v>3020</v>
      </c>
      <c r="H40" s="1670" t="s">
        <v>3014</v>
      </c>
      <c r="I40" s="1687"/>
      <c r="J40" s="1674"/>
      <c r="K40" s="1710">
        <f>COUNTIF(B40:H40,"——")</f>
        <v>0</v>
      </c>
      <c r="L40" s="1679" t="s">
        <v>1975</v>
      </c>
      <c r="M40" s="1676" t="s">
        <v>1976</v>
      </c>
      <c r="N40" s="1676" t="s">
        <v>1977</v>
      </c>
      <c r="O40" s="1676" t="s">
        <v>1978</v>
      </c>
      <c r="P40" s="1676" t="s">
        <v>1979</v>
      </c>
      <c r="Q40" s="1676" t="s">
        <v>1980</v>
      </c>
      <c r="R40" s="1676" t="s">
        <v>1981</v>
      </c>
      <c r="S40" s="3256" t="s">
        <v>1982</v>
      </c>
      <c r="T40" s="1711" t="str">
        <f>NUMBERSTRING(7-K40,1)&amp;"通"</f>
        <v>七通</v>
      </c>
      <c r="U40" s="1674"/>
    </row>
    <row r="41" spans="1:21">
      <c r="A41" s="1643"/>
      <c r="B41" s="3248" t="s">
        <v>1721</v>
      </c>
      <c r="C41" s="3248"/>
      <c r="D41" s="3248"/>
      <c r="E41" s="3248"/>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通路、通电、通讯、通上水、通下水、通热、平整</v>
      </c>
      <c r="S41" s="3256"/>
      <c r="T41" s="1713" t="str">
        <f>IF(T40="一通",L41,IF(T40="二通",M41,IF(T40="三通",N41,IF(T40="四通",O41,IF(T40="五通",P41,IF(T40="六通",Q41,R41))))))</f>
        <v>通路、通电、通讯、通上水、通下水、通热、平整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t="s">
        <v>1415</v>
      </c>
      <c r="C43" s="1718" t="s">
        <v>1415</v>
      </c>
      <c r="D43" s="1718" t="s">
        <v>1415</v>
      </c>
      <c r="E43" s="1718" t="s">
        <v>1415</v>
      </c>
      <c r="F43" s="1719"/>
      <c r="G43" s="1674"/>
      <c r="H43" s="1674"/>
      <c r="I43" s="1687"/>
      <c r="J43" s="1674"/>
      <c r="K43" s="1754"/>
      <c r="L43" s="1703"/>
      <c r="M43" s="1703"/>
      <c r="N43" s="1674"/>
      <c r="O43" s="1675"/>
      <c r="P43" s="1674"/>
      <c r="Q43" s="1674"/>
      <c r="R43" s="1674"/>
      <c r="S43" s="1674"/>
      <c r="T43" s="1674"/>
      <c r="U43" s="1674"/>
    </row>
    <row r="44" spans="1:21">
      <c r="A44" s="1717" t="s">
        <v>1707</v>
      </c>
      <c r="B44" s="1718" t="s">
        <v>3021</v>
      </c>
      <c r="C44" s="1718" t="s">
        <v>3021</v>
      </c>
      <c r="D44" s="1718" t="s">
        <v>3021</v>
      </c>
      <c r="E44" s="1772" t="s">
        <v>3021</v>
      </c>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2002</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2003</v>
      </c>
      <c r="B48" s="1666" t="s">
        <v>2004</v>
      </c>
      <c r="C48" s="1666" t="s">
        <v>2005</v>
      </c>
      <c r="D48" s="1666" t="s">
        <v>2006</v>
      </c>
      <c r="E48" s="1666" t="s">
        <v>2007</v>
      </c>
      <c r="F48" s="1666" t="s">
        <v>2008</v>
      </c>
      <c r="G48" s="1666" t="s">
        <v>2009</v>
      </c>
      <c r="H48" s="1666" t="s">
        <v>2010</v>
      </c>
      <c r="I48" s="1666" t="s">
        <v>2011</v>
      </c>
      <c r="J48" s="1752" t="s">
        <v>2012</v>
      </c>
      <c r="K48" s="1746" t="s">
        <v>2013</v>
      </c>
      <c r="L48" s="1746" t="s">
        <v>2014</v>
      </c>
      <c r="M48" s="1746" t="s">
        <v>2015</v>
      </c>
      <c r="N48" s="1666" t="s">
        <v>2016</v>
      </c>
      <c r="O48" s="1666" t="s">
        <v>2017</v>
      </c>
      <c r="P48" s="1666" t="s">
        <v>2018</v>
      </c>
      <c r="Q48" s="1679" t="s">
        <v>2019</v>
      </c>
      <c r="R48" s="1679" t="s">
        <v>2020</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7" width="9.5" style="15" hidden="1" customWidth="1"/>
    <col min="38" max="38" width="14.125" style="15" customWidth="1"/>
    <col min="39" max="46" width="9.5" style="15" customWidth="1"/>
    <col min="47" max="47" width="18.125" style="15" customWidth="1"/>
    <col min="48" max="50" width="9.75" style="15" customWidth="1"/>
    <col min="51" max="51" width="10.625" style="15" bestFit="1"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2329</v>
      </c>
      <c r="BA2" s="2321"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ROUND(I5/G5*134451.72,2)</f>
        <v>83137.16</v>
      </c>
      <c r="B3" s="22">
        <f>IF(C3="否",G5-AT5,G5)</f>
        <v>224700</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212">
        <f>A3</f>
        <v>83137.16</v>
      </c>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168</v>
      </c>
      <c r="B5" s="987"/>
      <c r="C5" s="987"/>
      <c r="D5" s="994"/>
      <c r="E5" s="26" t="s">
        <v>1</v>
      </c>
      <c r="F5" s="26">
        <f>SUM(F13:F572)</f>
        <v>0</v>
      </c>
      <c r="G5" s="26">
        <f>SUM(G13:G572)</f>
        <v>224700</v>
      </c>
      <c r="H5" s="26">
        <f t="shared" ref="H5:AT5" si="0">SUM(H13:H641)</f>
        <v>203941.47999999998</v>
      </c>
      <c r="I5" s="26">
        <f t="shared" si="0"/>
        <v>138941.47999999998</v>
      </c>
      <c r="J5" s="26">
        <f t="shared" si="0"/>
        <v>0</v>
      </c>
      <c r="K5" s="26">
        <f t="shared" si="0"/>
        <v>65000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20758.52</v>
      </c>
      <c r="AD5" s="26">
        <f t="shared" si="0"/>
        <v>6491.62</v>
      </c>
      <c r="AE5" s="26">
        <f t="shared" si="0"/>
        <v>0</v>
      </c>
      <c r="AF5" s="26">
        <f t="shared" si="0"/>
        <v>0</v>
      </c>
      <c r="AG5" s="26">
        <f t="shared" si="0"/>
        <v>0</v>
      </c>
      <c r="AH5" s="26">
        <f t="shared" si="0"/>
        <v>0</v>
      </c>
      <c r="AI5" s="26">
        <f t="shared" si="0"/>
        <v>0</v>
      </c>
      <c r="AJ5" s="26">
        <f t="shared" si="0"/>
        <v>0</v>
      </c>
      <c r="AK5" s="26">
        <f t="shared" si="0"/>
        <v>0</v>
      </c>
      <c r="AL5" s="26">
        <f t="shared" si="0"/>
        <v>14266.9</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138941.47999999998</v>
      </c>
      <c r="BA5" s="28">
        <f t="shared" si="1"/>
        <v>138941.47999999998</v>
      </c>
      <c r="BB5" s="28">
        <f t="shared" si="1"/>
        <v>138941.47999999998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83137.17</v>
      </c>
      <c r="F6" s="26" t="s">
        <v>1</v>
      </c>
      <c r="G6" s="26" t="s">
        <v>2</v>
      </c>
      <c r="H6" s="32">
        <f>SUMIF(I$12:AB$12,"总值",I6:AB6)</f>
        <v>75456.679999999993</v>
      </c>
      <c r="I6" s="26">
        <f t="shared" ref="I6:AB6" si="2">ROUND($A$3*I5/$B$3,2)</f>
        <v>51407.21</v>
      </c>
      <c r="J6" s="26">
        <f t="shared" si="2"/>
        <v>0</v>
      </c>
      <c r="K6" s="26">
        <f t="shared" si="2"/>
        <v>24049.47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7680.49</v>
      </c>
      <c r="AD6" s="26">
        <f t="shared" ref="AD6:AS6" si="3">ROUND($A$3*AD5/$B$3,2)</f>
        <v>2401.85</v>
      </c>
      <c r="AE6" s="26">
        <f t="shared" si="3"/>
        <v>0</v>
      </c>
      <c r="AF6" s="26">
        <f t="shared" si="3"/>
        <v>0</v>
      </c>
      <c r="AG6" s="26">
        <f t="shared" si="3"/>
        <v>0</v>
      </c>
      <c r="AH6" s="26">
        <f t="shared" si="3"/>
        <v>0</v>
      </c>
      <c r="AI6" s="26">
        <f t="shared" si="3"/>
        <v>0</v>
      </c>
      <c r="AJ6" s="26">
        <f t="shared" si="3"/>
        <v>0</v>
      </c>
      <c r="AK6" s="26">
        <f t="shared" si="3"/>
        <v>0</v>
      </c>
      <c r="AL6" s="26">
        <f t="shared" si="3"/>
        <v>5278.64</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83137.16</v>
      </c>
      <c r="AZ6" s="26" t="s">
        <v>3</v>
      </c>
      <c r="BA6" s="26">
        <f>ROUND($AY$6*BA5/$AZ$5,2)</f>
        <v>83137.16</v>
      </c>
      <c r="BB6" s="26">
        <f>ROUND($AY$6*BB5/$AZ$5,2)</f>
        <v>83137.16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78"/>
      <c r="AT8" s="2309"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2966" t="s">
        <v>3040</v>
      </c>
      <c r="J9" s="50"/>
      <c r="K9" s="2966" t="s">
        <v>3040</v>
      </c>
      <c r="L9" s="50"/>
      <c r="M9" s="2966"/>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1" t="s">
        <v>191</v>
      </c>
      <c r="AQ9" s="1183"/>
      <c r="AR9" s="1181" t="s">
        <v>192</v>
      </c>
      <c r="AS9" s="2310"/>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2966" t="s">
        <v>923</v>
      </c>
      <c r="J10" s="50"/>
      <c r="K10" s="2968" t="s">
        <v>3004</v>
      </c>
      <c r="L10" s="50"/>
      <c r="M10" s="2968"/>
      <c r="N10" s="50"/>
      <c r="O10" s="65"/>
      <c r="P10" s="50"/>
      <c r="Q10" s="65"/>
      <c r="R10" s="50"/>
      <c r="S10" s="65"/>
      <c r="T10" s="50"/>
      <c r="U10" s="65"/>
      <c r="V10" s="50"/>
      <c r="W10" s="65"/>
      <c r="X10" s="50"/>
      <c r="Y10" s="65"/>
      <c r="Z10" s="50"/>
      <c r="AA10" s="65"/>
      <c r="AB10" s="50"/>
      <c r="AC10" s="54"/>
      <c r="AD10" s="2295" t="s">
        <v>2313</v>
      </c>
      <c r="AE10" s="2317"/>
      <c r="AF10" s="2295" t="s">
        <v>2313</v>
      </c>
      <c r="AG10" s="2317"/>
      <c r="AH10" s="2295" t="s">
        <v>2314</v>
      </c>
      <c r="AI10" s="2317"/>
      <c r="AJ10" s="25" t="s">
        <v>2327</v>
      </c>
      <c r="AK10" s="2314"/>
      <c r="AL10" s="2295" t="s">
        <v>2315</v>
      </c>
      <c r="AM10" s="2296"/>
      <c r="AN10" s="25" t="s">
        <v>198</v>
      </c>
      <c r="AO10" s="60"/>
      <c r="AP10" s="1181" t="s">
        <v>199</v>
      </c>
      <c r="AQ10" s="1183"/>
      <c r="AR10" s="1181" t="s">
        <v>199</v>
      </c>
      <c r="AS10" s="1183"/>
      <c r="AT10" s="44"/>
      <c r="AU10" s="44"/>
      <c r="AV10" s="54"/>
      <c r="AW10" s="1001"/>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67" t="s">
        <v>3041</v>
      </c>
      <c r="J11" s="70"/>
      <c r="K11" s="2967"/>
      <c r="L11" s="70"/>
      <c r="M11" s="69"/>
      <c r="N11" s="70"/>
      <c r="O11" s="69"/>
      <c r="P11" s="70"/>
      <c r="Q11" s="69"/>
      <c r="R11" s="70"/>
      <c r="S11" s="69"/>
      <c r="T11" s="70"/>
      <c r="U11" s="69"/>
      <c r="V11" s="70"/>
      <c r="W11" s="69"/>
      <c r="X11" s="70"/>
      <c r="Y11" s="69"/>
      <c r="Z11" s="70"/>
      <c r="AA11" s="69"/>
      <c r="AB11" s="70"/>
      <c r="AC11" s="54"/>
      <c r="AD11" s="2315" t="s">
        <v>2326</v>
      </c>
      <c r="AE11" s="1000"/>
      <c r="AF11" s="2315" t="s">
        <v>2326</v>
      </c>
      <c r="AG11" s="1000"/>
      <c r="AH11" s="2315" t="s">
        <v>2325</v>
      </c>
      <c r="AI11" s="2316"/>
      <c r="AJ11" s="2315" t="s">
        <v>2325</v>
      </c>
      <c r="AK11" s="2314"/>
      <c r="AL11" s="998"/>
      <c r="AM11" s="1000"/>
      <c r="AN11" s="998"/>
      <c r="AO11" s="1000"/>
      <c r="AP11" s="1182"/>
      <c r="AQ11" s="1184"/>
      <c r="AR11" s="1182"/>
      <c r="AS11" s="1184"/>
      <c r="AT11" s="1001"/>
      <c r="AU11" s="44"/>
      <c r="AV11" s="54"/>
      <c r="AW11" s="1001"/>
      <c r="AX11" s="54"/>
      <c r="AY11" s="61"/>
      <c r="AZ11" s="61"/>
      <c r="BA11" s="61"/>
      <c r="BB11" s="49" t="str">
        <f>I10</f>
        <v>住宅</v>
      </c>
      <c r="BC11" s="49" t="str">
        <f>K10</f>
        <v>车库</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5"/>
      <c r="AU12" s="71"/>
      <c r="AV12" s="76"/>
      <c r="AW12" s="41"/>
      <c r="AX12" s="76"/>
      <c r="AY12" s="77"/>
      <c r="AZ12" s="61"/>
      <c r="BA12" s="66"/>
      <c r="BB12" s="52" t="str">
        <f>I11</f>
        <v>洋房</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3.5">
      <c r="A13" s="2962"/>
      <c r="B13" s="3204" t="s">
        <v>3706</v>
      </c>
      <c r="C13" s="2962" t="s">
        <v>3022</v>
      </c>
      <c r="D13" s="2963" t="s">
        <v>1678</v>
      </c>
      <c r="E13" s="26">
        <f t="shared" ref="E13:E20" si="6">IF($C$3="是",ROUND($A$3*G13/$B$3,2),ROUND($A$3*(G13-AT13)/$B$3,2))</f>
        <v>1569.65</v>
      </c>
      <c r="F13" s="80"/>
      <c r="G13" s="81">
        <f t="shared" ref="G13:G20" si="7">H13+AC13+AT13</f>
        <v>4242.3900000000003</v>
      </c>
      <c r="H13" s="32">
        <f t="shared" ref="H13:H20" si="8">SUMIF(I$12:AB$12,"总值",I13:AB13)</f>
        <v>4242.3900000000003</v>
      </c>
      <c r="I13" s="3181">
        <v>4242.3900000000003</v>
      </c>
      <c r="J13" s="82"/>
      <c r="K13" s="82"/>
      <c r="L13" s="2965"/>
      <c r="M13" s="2965"/>
      <c r="N13" s="82"/>
      <c r="O13" s="82"/>
      <c r="P13" s="82"/>
      <c r="Q13" s="82"/>
      <c r="R13" s="82"/>
      <c r="S13" s="82"/>
      <c r="T13" s="82"/>
      <c r="U13" s="82"/>
      <c r="V13" s="82"/>
      <c r="W13" s="82"/>
      <c r="X13" s="82"/>
      <c r="Y13" s="82"/>
      <c r="Z13" s="82"/>
      <c r="AA13" s="82"/>
      <c r="AB13" s="82"/>
      <c r="AC13" s="26">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t="str">
        <f t="shared" si="10"/>
        <v>0004地块</v>
      </c>
      <c r="AX13" s="17" t="str">
        <f t="shared" si="10"/>
        <v>A-1#住宅楼</v>
      </c>
      <c r="AY13" s="994">
        <f t="shared" ref="AY13:AY20" si="11">ROUND($AY$6*AZ13/$AZ$5,2)</f>
        <v>2538.48</v>
      </c>
      <c r="AZ13" s="26">
        <f t="shared" ref="AZ13:AZ20" si="12">BA13+BL13</f>
        <v>4242.3900000000003</v>
      </c>
      <c r="BA13" s="26">
        <f t="shared" ref="BA13:BA20" si="13">SUM(BB13:BK13)</f>
        <v>4242.3900000000003</v>
      </c>
      <c r="BB13" s="26">
        <f t="shared" ref="BB13:BB20" si="14">IF($D13="是",I13-J13,0)</f>
        <v>4242.3900000000003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2962"/>
      <c r="B14" s="3204" t="s">
        <v>3706</v>
      </c>
      <c r="C14" s="2964" t="s">
        <v>3023</v>
      </c>
      <c r="D14" s="2963" t="s">
        <v>1678</v>
      </c>
      <c r="E14" s="26">
        <f t="shared" si="6"/>
        <v>1052.33</v>
      </c>
      <c r="F14" s="80"/>
      <c r="G14" s="81">
        <f t="shared" si="7"/>
        <v>2844.19</v>
      </c>
      <c r="H14" s="32">
        <f t="shared" si="8"/>
        <v>2844.19</v>
      </c>
      <c r="I14" s="3181">
        <v>2844.19</v>
      </c>
      <c r="J14" s="82"/>
      <c r="K14" s="82"/>
      <c r="L14" s="2965"/>
      <c r="M14" s="2965"/>
      <c r="N14" s="82"/>
      <c r="O14" s="82"/>
      <c r="P14" s="82"/>
      <c r="Q14" s="82"/>
      <c r="R14" s="82"/>
      <c r="S14" s="82"/>
      <c r="T14" s="82"/>
      <c r="U14" s="82"/>
      <c r="V14" s="82"/>
      <c r="W14" s="82"/>
      <c r="X14" s="82"/>
      <c r="Y14" s="82"/>
      <c r="Z14" s="82"/>
      <c r="AA14" s="82"/>
      <c r="AB14" s="82"/>
      <c r="AC14" s="26">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t="str">
        <f t="shared" si="10"/>
        <v>0004地块</v>
      </c>
      <c r="AX14" s="17" t="str">
        <f t="shared" si="10"/>
        <v>A-2#住宅楼</v>
      </c>
      <c r="AY14" s="994">
        <f t="shared" si="11"/>
        <v>1701.85</v>
      </c>
      <c r="AZ14" s="26">
        <f t="shared" si="12"/>
        <v>2844.19</v>
      </c>
      <c r="BA14" s="26">
        <f t="shared" si="13"/>
        <v>2844.19</v>
      </c>
      <c r="BB14" s="26">
        <f t="shared" si="14"/>
        <v>2844.19</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2962"/>
      <c r="B15" s="3204" t="s">
        <v>3706</v>
      </c>
      <c r="C15" s="2964" t="s">
        <v>3024</v>
      </c>
      <c r="D15" s="2963" t="s">
        <v>1678</v>
      </c>
      <c r="E15" s="26">
        <f t="shared" si="6"/>
        <v>1569.65</v>
      </c>
      <c r="F15" s="80"/>
      <c r="G15" s="81">
        <f t="shared" si="7"/>
        <v>4242.3900000000003</v>
      </c>
      <c r="H15" s="32">
        <f t="shared" si="8"/>
        <v>4242.3900000000003</v>
      </c>
      <c r="I15" s="3181">
        <v>4242.3900000000003</v>
      </c>
      <c r="J15" s="82"/>
      <c r="K15" s="82"/>
      <c r="L15" s="2965"/>
      <c r="M15" s="2965"/>
      <c r="N15" s="82"/>
      <c r="O15" s="82"/>
      <c r="P15" s="82"/>
      <c r="Q15" s="82"/>
      <c r="R15" s="82"/>
      <c r="S15" s="82"/>
      <c r="T15" s="82"/>
      <c r="U15" s="82"/>
      <c r="V15" s="82"/>
      <c r="W15" s="82"/>
      <c r="X15" s="82"/>
      <c r="Y15" s="82"/>
      <c r="Z15" s="82"/>
      <c r="AA15" s="82"/>
      <c r="AB15" s="82"/>
      <c r="AC15" s="26">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t="str">
        <f t="shared" si="10"/>
        <v>0004地块</v>
      </c>
      <c r="AX15" s="17" t="str">
        <f t="shared" si="10"/>
        <v>A-3#住宅楼</v>
      </c>
      <c r="AY15" s="994">
        <f t="shared" si="11"/>
        <v>2538.48</v>
      </c>
      <c r="AZ15" s="26">
        <f t="shared" si="12"/>
        <v>4242.3900000000003</v>
      </c>
      <c r="BA15" s="26">
        <f t="shared" si="13"/>
        <v>4242.3900000000003</v>
      </c>
      <c r="BB15" s="26">
        <f t="shared" si="14"/>
        <v>4242.3900000000003</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2962"/>
      <c r="B16" s="3204" t="s">
        <v>3706</v>
      </c>
      <c r="C16" s="2964" t="s">
        <v>3025</v>
      </c>
      <c r="D16" s="2963" t="s">
        <v>1678</v>
      </c>
      <c r="E16" s="26">
        <f t="shared" si="6"/>
        <v>1052.33</v>
      </c>
      <c r="F16" s="80"/>
      <c r="G16" s="81">
        <f t="shared" si="7"/>
        <v>2844.19</v>
      </c>
      <c r="H16" s="32">
        <f t="shared" si="8"/>
        <v>2844.19</v>
      </c>
      <c r="I16" s="3181">
        <v>2844.19</v>
      </c>
      <c r="J16" s="82"/>
      <c r="K16" s="82"/>
      <c r="L16" s="2965"/>
      <c r="M16" s="2965"/>
      <c r="N16" s="82"/>
      <c r="O16" s="82"/>
      <c r="P16" s="82"/>
      <c r="Q16" s="82"/>
      <c r="R16" s="82"/>
      <c r="S16" s="82"/>
      <c r="T16" s="82"/>
      <c r="U16" s="82"/>
      <c r="V16" s="82"/>
      <c r="W16" s="82"/>
      <c r="X16" s="82"/>
      <c r="Y16" s="82"/>
      <c r="Z16" s="82"/>
      <c r="AA16" s="82"/>
      <c r="AB16" s="82"/>
      <c r="AC16" s="26">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t="str">
        <f t="shared" si="10"/>
        <v>0004地块</v>
      </c>
      <c r="AX16" s="17" t="str">
        <f t="shared" si="10"/>
        <v>A-4#住宅楼</v>
      </c>
      <c r="AY16" s="994">
        <f t="shared" si="11"/>
        <v>1701.85</v>
      </c>
      <c r="AZ16" s="26">
        <f t="shared" si="12"/>
        <v>2844.19</v>
      </c>
      <c r="BA16" s="26">
        <f t="shared" si="13"/>
        <v>2844.19</v>
      </c>
      <c r="BB16" s="26">
        <f t="shared" si="14"/>
        <v>2844.19</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2962"/>
      <c r="B17" s="3204" t="s">
        <v>3706</v>
      </c>
      <c r="C17" s="2964" t="s">
        <v>3026</v>
      </c>
      <c r="D17" s="2963" t="s">
        <v>1678</v>
      </c>
      <c r="E17" s="26">
        <f t="shared" si="6"/>
        <v>1052.33</v>
      </c>
      <c r="F17" s="80"/>
      <c r="G17" s="81">
        <f t="shared" si="7"/>
        <v>2844.19</v>
      </c>
      <c r="H17" s="32">
        <f t="shared" si="8"/>
        <v>2844.19</v>
      </c>
      <c r="I17" s="3181">
        <v>2844.19</v>
      </c>
      <c r="J17" s="82"/>
      <c r="K17" s="82"/>
      <c r="L17" s="2965"/>
      <c r="M17" s="2965"/>
      <c r="N17" s="82"/>
      <c r="O17" s="82"/>
      <c r="P17" s="82"/>
      <c r="Q17" s="82"/>
      <c r="R17" s="82"/>
      <c r="S17" s="82"/>
      <c r="T17" s="82"/>
      <c r="U17" s="82"/>
      <c r="V17" s="82"/>
      <c r="W17" s="82"/>
      <c r="X17" s="82"/>
      <c r="Y17" s="82"/>
      <c r="Z17" s="82"/>
      <c r="AA17" s="82"/>
      <c r="AB17" s="82"/>
      <c r="AC17" s="26">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t="str">
        <f t="shared" si="10"/>
        <v>0004地块</v>
      </c>
      <c r="AX17" s="17" t="str">
        <f t="shared" si="10"/>
        <v>A-5#住宅楼</v>
      </c>
      <c r="AY17" s="994">
        <f t="shared" si="11"/>
        <v>1701.85</v>
      </c>
      <c r="AZ17" s="26">
        <f t="shared" si="12"/>
        <v>2844.19</v>
      </c>
      <c r="BA17" s="26">
        <f t="shared" si="13"/>
        <v>2844.19</v>
      </c>
      <c r="BB17" s="26">
        <f t="shared" si="14"/>
        <v>2844.19</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3204" t="s">
        <v>3706</v>
      </c>
      <c r="C18" s="84" t="s">
        <v>3027</v>
      </c>
      <c r="D18" s="2963" t="s">
        <v>1678</v>
      </c>
      <c r="E18" s="86">
        <f t="shared" si="6"/>
        <v>1569.65</v>
      </c>
      <c r="F18" s="87"/>
      <c r="G18" s="88">
        <f t="shared" si="7"/>
        <v>4242.3900000000003</v>
      </c>
      <c r="H18" s="89">
        <f t="shared" si="8"/>
        <v>4242.3900000000003</v>
      </c>
      <c r="I18" s="3181">
        <v>4242.3900000000003</v>
      </c>
      <c r="J18" s="82"/>
      <c r="K18" s="82"/>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8"/>
      <c r="AM18" s="91"/>
      <c r="AN18" s="1388"/>
      <c r="AO18" s="91"/>
      <c r="AP18" s="91"/>
      <c r="AQ18" s="91"/>
      <c r="AR18" s="91"/>
      <c r="AS18" s="91"/>
      <c r="AT18" s="92"/>
      <c r="AU18" s="93"/>
      <c r="AV18" s="990">
        <f t="shared" si="10"/>
        <v>0</v>
      </c>
      <c r="AW18" s="990" t="str">
        <f t="shared" si="10"/>
        <v>0004地块</v>
      </c>
      <c r="AX18" s="990" t="str">
        <f t="shared" si="10"/>
        <v>A-6#住宅楼</v>
      </c>
      <c r="AY18" s="94">
        <f t="shared" si="11"/>
        <v>2538.48</v>
      </c>
      <c r="AZ18" s="86">
        <f t="shared" si="12"/>
        <v>4242.3900000000003</v>
      </c>
      <c r="BA18" s="86">
        <f t="shared" si="13"/>
        <v>4242.3900000000003</v>
      </c>
      <c r="BB18" s="86">
        <f t="shared" si="14"/>
        <v>4242.3900000000003</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28.5">
      <c r="A19" s="83"/>
      <c r="B19" s="3204" t="s">
        <v>3706</v>
      </c>
      <c r="C19" s="1388" t="s">
        <v>3028</v>
      </c>
      <c r="D19" s="2963" t="s">
        <v>1678</v>
      </c>
      <c r="E19" s="86">
        <f t="shared" si="6"/>
        <v>514.79999999999995</v>
      </c>
      <c r="F19" s="87"/>
      <c r="G19" s="88">
        <f t="shared" si="7"/>
        <v>1391.38</v>
      </c>
      <c r="H19" s="89">
        <f t="shared" si="8"/>
        <v>1391.38</v>
      </c>
      <c r="I19" s="3181">
        <v>1391.38</v>
      </c>
      <c r="J19" s="82"/>
      <c r="K19" s="82"/>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90">
        <f t="shared" si="10"/>
        <v>0</v>
      </c>
      <c r="AW19" s="990" t="str">
        <f t="shared" si="10"/>
        <v>0004地块</v>
      </c>
      <c r="AX19" s="990" t="str">
        <f t="shared" si="10"/>
        <v>A-7#住宅楼</v>
      </c>
      <c r="AY19" s="94">
        <f t="shared" si="11"/>
        <v>832.55</v>
      </c>
      <c r="AZ19" s="86">
        <f t="shared" si="12"/>
        <v>1391.38</v>
      </c>
      <c r="BA19" s="86">
        <f t="shared" si="13"/>
        <v>1391.38</v>
      </c>
      <c r="BB19" s="86">
        <f t="shared" si="14"/>
        <v>1391.38</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28.5">
      <c r="A20" s="83"/>
      <c r="B20" s="3204" t="s">
        <v>3706</v>
      </c>
      <c r="C20" s="1388" t="s">
        <v>3029</v>
      </c>
      <c r="D20" s="2963" t="s">
        <v>1678</v>
      </c>
      <c r="E20" s="86">
        <f t="shared" si="6"/>
        <v>514.79999999999995</v>
      </c>
      <c r="F20" s="87"/>
      <c r="G20" s="88">
        <f t="shared" si="7"/>
        <v>1391.38</v>
      </c>
      <c r="H20" s="89">
        <f t="shared" si="8"/>
        <v>1391.38</v>
      </c>
      <c r="I20" s="3181">
        <v>1391.38</v>
      </c>
      <c r="J20" s="82"/>
      <c r="K20" s="82"/>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90">
        <f t="shared" si="10"/>
        <v>0</v>
      </c>
      <c r="AW20" s="990" t="str">
        <f t="shared" si="10"/>
        <v>0004地块</v>
      </c>
      <c r="AX20" s="990" t="str">
        <f t="shared" si="10"/>
        <v>A-8#住宅楼</v>
      </c>
      <c r="AY20" s="94">
        <f t="shared" si="11"/>
        <v>832.55</v>
      </c>
      <c r="AZ20" s="86">
        <f t="shared" si="12"/>
        <v>1391.38</v>
      </c>
      <c r="BA20" s="86">
        <f t="shared" si="13"/>
        <v>1391.38</v>
      </c>
      <c r="BB20" s="86">
        <f t="shared" si="14"/>
        <v>1391.38</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28.5">
      <c r="A21" s="83"/>
      <c r="B21" s="3204" t="s">
        <v>3706</v>
      </c>
      <c r="C21" s="1388" t="s">
        <v>3030</v>
      </c>
      <c r="D21" s="2963" t="s">
        <v>1678</v>
      </c>
      <c r="E21" s="86">
        <f t="shared" ref="E21:E112" si="33">IF($C$3="是",ROUND($A$3*G21/$B$3,2),ROUND($A$3*(G21-AT21)/$B$3,2))</f>
        <v>1275.04</v>
      </c>
      <c r="F21" s="87"/>
      <c r="G21" s="88">
        <f t="shared" ref="G21:G109" si="34">H21+AC21+AT21</f>
        <v>3446.12</v>
      </c>
      <c r="H21" s="89">
        <f t="shared" ref="H21:H109" si="35">SUMIF(I$12:AB$12,"总值",I21:AB21)</f>
        <v>3446.12</v>
      </c>
      <c r="I21" s="3181">
        <v>3446.12</v>
      </c>
      <c r="J21" s="82"/>
      <c r="K21" s="8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8"/>
      <c r="AO21" s="91"/>
      <c r="AP21" s="91"/>
      <c r="AQ21" s="91"/>
      <c r="AR21" s="91"/>
      <c r="AS21" s="91"/>
      <c r="AT21" s="92"/>
      <c r="AU21" s="93"/>
      <c r="AV21" s="1960">
        <f t="shared" ref="AV21:AV112" si="37">A21</f>
        <v>0</v>
      </c>
      <c r="AW21" s="1960" t="str">
        <f t="shared" ref="AW21:AW112" si="38">B21</f>
        <v>0004地块</v>
      </c>
      <c r="AX21" s="1960" t="str">
        <f t="shared" ref="AX21:AX112" si="39">C21</f>
        <v>A-9#住宅楼</v>
      </c>
      <c r="AY21" s="94">
        <f t="shared" ref="AY21:AY109" si="40">ROUND($AY$6*AZ21/$AZ$5,2)</f>
        <v>2062.02</v>
      </c>
      <c r="AZ21" s="86">
        <f t="shared" ref="AZ21:AZ109" si="41">BA21+BL21</f>
        <v>3446.12</v>
      </c>
      <c r="BA21" s="86">
        <f t="shared" ref="BA21:BA109" si="42">SUM(BB21:BK21)</f>
        <v>3446.12</v>
      </c>
      <c r="BB21" s="86">
        <f t="shared" ref="BB21:BB109" si="43">IF($D21="是",I21-J21,0)</f>
        <v>3446.12</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28.5">
      <c r="A22" s="83"/>
      <c r="B22" s="3204" t="s">
        <v>3706</v>
      </c>
      <c r="C22" s="1388" t="s">
        <v>3031</v>
      </c>
      <c r="D22" s="2963" t="s">
        <v>1678</v>
      </c>
      <c r="E22" s="86">
        <f t="shared" si="33"/>
        <v>514.79999999999995</v>
      </c>
      <c r="F22" s="87"/>
      <c r="G22" s="88">
        <f t="shared" si="34"/>
        <v>1391.38</v>
      </c>
      <c r="H22" s="89">
        <f t="shared" si="35"/>
        <v>1391.38</v>
      </c>
      <c r="I22" s="3181">
        <v>1391.38</v>
      </c>
      <c r="J22" s="82"/>
      <c r="K22" s="82"/>
      <c r="L22" s="90"/>
      <c r="M22" s="1358"/>
      <c r="N22" s="90"/>
      <c r="O22" s="90"/>
      <c r="P22" s="90"/>
      <c r="Q22" s="90"/>
      <c r="R22" s="90"/>
      <c r="S22" s="90"/>
      <c r="T22" s="90"/>
      <c r="U22" s="90"/>
      <c r="V22" s="90"/>
      <c r="W22" s="90"/>
      <c r="X22" s="90"/>
      <c r="Y22" s="90"/>
      <c r="Z22" s="90"/>
      <c r="AA22" s="90"/>
      <c r="AB22" s="90"/>
      <c r="AC22" s="86">
        <f t="shared" si="36"/>
        <v>0</v>
      </c>
      <c r="AD22" s="1358"/>
      <c r="AE22" s="91"/>
      <c r="AF22" s="1391"/>
      <c r="AG22" s="91"/>
      <c r="AH22" s="91"/>
      <c r="AI22" s="91"/>
      <c r="AJ22" s="91"/>
      <c r="AK22" s="91"/>
      <c r="AL22" s="1358"/>
      <c r="AM22" s="91"/>
      <c r="AN22" s="1358"/>
      <c r="AO22" s="91"/>
      <c r="AP22" s="91"/>
      <c r="AQ22" s="91"/>
      <c r="AR22" s="91"/>
      <c r="AS22" s="91"/>
      <c r="AT22" s="92"/>
      <c r="AU22" s="93"/>
      <c r="AV22" s="1960">
        <f t="shared" si="37"/>
        <v>0</v>
      </c>
      <c r="AW22" s="1960" t="str">
        <f t="shared" si="38"/>
        <v>0004地块</v>
      </c>
      <c r="AX22" s="1960" t="str">
        <f t="shared" si="39"/>
        <v>A-10#住宅楼</v>
      </c>
      <c r="AY22" s="94">
        <f t="shared" si="40"/>
        <v>832.55</v>
      </c>
      <c r="AZ22" s="86">
        <f t="shared" si="41"/>
        <v>1391.38</v>
      </c>
      <c r="BA22" s="86">
        <f t="shared" si="42"/>
        <v>1391.38</v>
      </c>
      <c r="BB22" s="86">
        <f t="shared" si="43"/>
        <v>1391.38</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28.5">
      <c r="A23" s="83"/>
      <c r="B23" s="3204" t="s">
        <v>3706</v>
      </c>
      <c r="C23" s="1388" t="s">
        <v>3032</v>
      </c>
      <c r="D23" s="2963" t="s">
        <v>1678</v>
      </c>
      <c r="E23" s="86">
        <f t="shared" si="33"/>
        <v>514.79999999999995</v>
      </c>
      <c r="F23" s="87"/>
      <c r="G23" s="88">
        <f t="shared" si="34"/>
        <v>1391.38</v>
      </c>
      <c r="H23" s="89">
        <f t="shared" si="35"/>
        <v>1391.38</v>
      </c>
      <c r="I23" s="3181">
        <v>1391.38</v>
      </c>
      <c r="J23" s="82"/>
      <c r="K23" s="82"/>
      <c r="L23" s="90"/>
      <c r="M23" s="1358"/>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8"/>
      <c r="AM23" s="91"/>
      <c r="AN23" s="1358"/>
      <c r="AO23" s="91"/>
      <c r="AP23" s="91"/>
      <c r="AQ23" s="91"/>
      <c r="AR23" s="91"/>
      <c r="AS23" s="91"/>
      <c r="AT23" s="92"/>
      <c r="AU23" s="93"/>
      <c r="AV23" s="1960">
        <f t="shared" si="37"/>
        <v>0</v>
      </c>
      <c r="AW23" s="1960" t="str">
        <f t="shared" si="38"/>
        <v>0004地块</v>
      </c>
      <c r="AX23" s="1960" t="str">
        <f t="shared" si="39"/>
        <v>A-11#住宅楼</v>
      </c>
      <c r="AY23" s="94">
        <f t="shared" si="40"/>
        <v>832.55</v>
      </c>
      <c r="AZ23" s="86">
        <f t="shared" si="41"/>
        <v>1391.38</v>
      </c>
      <c r="BA23" s="86">
        <f t="shared" si="42"/>
        <v>1391.38</v>
      </c>
      <c r="BB23" s="86">
        <f t="shared" si="43"/>
        <v>1391.38</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28.5">
      <c r="A24" s="83"/>
      <c r="B24" s="3204" t="s">
        <v>3706</v>
      </c>
      <c r="C24" s="1388" t="s">
        <v>3033</v>
      </c>
      <c r="D24" s="2963" t="s">
        <v>1678</v>
      </c>
      <c r="E24" s="86">
        <f t="shared" si="33"/>
        <v>514.79999999999995</v>
      </c>
      <c r="F24" s="87"/>
      <c r="G24" s="88">
        <f t="shared" si="34"/>
        <v>1391.38</v>
      </c>
      <c r="H24" s="89">
        <f t="shared" si="35"/>
        <v>1391.38</v>
      </c>
      <c r="I24" s="3181">
        <v>1391.38</v>
      </c>
      <c r="J24" s="82"/>
      <c r="K24" s="82"/>
      <c r="L24" s="90"/>
      <c r="M24" s="90"/>
      <c r="N24" s="90"/>
      <c r="O24" s="1358"/>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8"/>
      <c r="AO24" s="91"/>
      <c r="AP24" s="91"/>
      <c r="AQ24" s="91"/>
      <c r="AR24" s="91"/>
      <c r="AS24" s="91"/>
      <c r="AT24" s="92"/>
      <c r="AU24" s="93"/>
      <c r="AV24" s="1960">
        <f t="shared" si="37"/>
        <v>0</v>
      </c>
      <c r="AW24" s="1960" t="str">
        <f t="shared" si="38"/>
        <v>0004地块</v>
      </c>
      <c r="AX24" s="1960" t="str">
        <f t="shared" si="39"/>
        <v>A-12#住宅楼</v>
      </c>
      <c r="AY24" s="94">
        <f t="shared" si="40"/>
        <v>832.55</v>
      </c>
      <c r="AZ24" s="86">
        <f t="shared" si="41"/>
        <v>1391.38</v>
      </c>
      <c r="BA24" s="86">
        <f t="shared" si="42"/>
        <v>1391.38</v>
      </c>
      <c r="BB24" s="86">
        <f t="shared" si="43"/>
        <v>1391.38</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28.5">
      <c r="A25" s="83"/>
      <c r="B25" s="3204" t="s">
        <v>3706</v>
      </c>
      <c r="C25" s="1388" t="s">
        <v>3034</v>
      </c>
      <c r="D25" s="2963" t="s">
        <v>1678</v>
      </c>
      <c r="E25" s="86">
        <f t="shared" si="33"/>
        <v>1029.5999999999999</v>
      </c>
      <c r="F25" s="87"/>
      <c r="G25" s="88">
        <f t="shared" si="34"/>
        <v>2782.76</v>
      </c>
      <c r="H25" s="89">
        <f t="shared" si="35"/>
        <v>2782.76</v>
      </c>
      <c r="I25" s="3181">
        <v>2782.76</v>
      </c>
      <c r="J25" s="82"/>
      <c r="K25" s="82"/>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0">
        <f t="shared" si="37"/>
        <v>0</v>
      </c>
      <c r="AW25" s="1960" t="str">
        <f t="shared" si="38"/>
        <v>0004地块</v>
      </c>
      <c r="AX25" s="1960" t="str">
        <f t="shared" si="39"/>
        <v>A-13#住宅楼</v>
      </c>
      <c r="AY25" s="94">
        <f t="shared" si="40"/>
        <v>1665.09</v>
      </c>
      <c r="AZ25" s="86">
        <f t="shared" si="41"/>
        <v>2782.76</v>
      </c>
      <c r="BA25" s="86">
        <f t="shared" si="42"/>
        <v>2782.76</v>
      </c>
      <c r="BB25" s="86">
        <f t="shared" si="43"/>
        <v>2782.76</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28.5">
      <c r="A26" s="83"/>
      <c r="B26" s="3204" t="s">
        <v>3706</v>
      </c>
      <c r="C26" s="1388" t="s">
        <v>3035</v>
      </c>
      <c r="D26" s="2963" t="s">
        <v>1678</v>
      </c>
      <c r="E26" s="86">
        <f t="shared" si="33"/>
        <v>1245.46</v>
      </c>
      <c r="F26" s="87"/>
      <c r="G26" s="88">
        <f t="shared" si="34"/>
        <v>3366.17</v>
      </c>
      <c r="H26" s="89">
        <f t="shared" si="35"/>
        <v>3366.17</v>
      </c>
      <c r="I26" s="3181">
        <v>3366.17</v>
      </c>
      <c r="J26" s="82"/>
      <c r="K26" s="82"/>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0">
        <f t="shared" si="37"/>
        <v>0</v>
      </c>
      <c r="AW26" s="1960" t="str">
        <f t="shared" si="38"/>
        <v>0004地块</v>
      </c>
      <c r="AX26" s="1960" t="str">
        <f t="shared" si="39"/>
        <v>A-14#住宅楼</v>
      </c>
      <c r="AY26" s="94">
        <f t="shared" si="40"/>
        <v>2014.18</v>
      </c>
      <c r="AZ26" s="86">
        <f t="shared" si="41"/>
        <v>3366.17</v>
      </c>
      <c r="BA26" s="86">
        <f t="shared" si="42"/>
        <v>3366.17</v>
      </c>
      <c r="BB26" s="86">
        <f t="shared" si="43"/>
        <v>3366.17</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28.5">
      <c r="A27" s="83"/>
      <c r="B27" s="3204" t="s">
        <v>3706</v>
      </c>
      <c r="C27" s="1388" t="s">
        <v>3036</v>
      </c>
      <c r="D27" s="2963" t="s">
        <v>1678</v>
      </c>
      <c r="E27" s="86">
        <f t="shared" si="33"/>
        <v>1245.46</v>
      </c>
      <c r="F27" s="87"/>
      <c r="G27" s="88">
        <f t="shared" si="34"/>
        <v>3366.17</v>
      </c>
      <c r="H27" s="89">
        <f t="shared" si="35"/>
        <v>3366.17</v>
      </c>
      <c r="I27" s="3181">
        <v>3366.17</v>
      </c>
      <c r="J27" s="82"/>
      <c r="K27" s="82"/>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0">
        <f t="shared" si="37"/>
        <v>0</v>
      </c>
      <c r="AW27" s="1960" t="str">
        <f t="shared" si="38"/>
        <v>0004地块</v>
      </c>
      <c r="AX27" s="1960" t="str">
        <f t="shared" si="39"/>
        <v>A-15#住宅楼</v>
      </c>
      <c r="AY27" s="94">
        <f t="shared" si="40"/>
        <v>2014.18</v>
      </c>
      <c r="AZ27" s="86">
        <f t="shared" si="41"/>
        <v>3366.17</v>
      </c>
      <c r="BA27" s="86">
        <f t="shared" si="42"/>
        <v>3366.17</v>
      </c>
      <c r="BB27" s="86">
        <f t="shared" si="43"/>
        <v>3366.17</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28.5">
      <c r="A28" s="83"/>
      <c r="B28" s="3204" t="s">
        <v>3706</v>
      </c>
      <c r="C28" s="1388" t="s">
        <v>3037</v>
      </c>
      <c r="D28" s="2963" t="s">
        <v>1678</v>
      </c>
      <c r="E28" s="86">
        <f t="shared" si="33"/>
        <v>1779.08</v>
      </c>
      <c r="F28" s="87"/>
      <c r="G28" s="88">
        <f t="shared" si="34"/>
        <v>4808.4399999999996</v>
      </c>
      <c r="H28" s="89">
        <f t="shared" si="35"/>
        <v>4808.4399999999996</v>
      </c>
      <c r="I28" s="3181">
        <v>4808.4399999999996</v>
      </c>
      <c r="J28" s="82"/>
      <c r="K28" s="82"/>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0">
        <f t="shared" si="37"/>
        <v>0</v>
      </c>
      <c r="AW28" s="1960" t="str">
        <f t="shared" si="38"/>
        <v>0004地块</v>
      </c>
      <c r="AX28" s="1960" t="str">
        <f t="shared" si="39"/>
        <v>A-16#住宅楼</v>
      </c>
      <c r="AY28" s="94">
        <f t="shared" si="40"/>
        <v>2877.18</v>
      </c>
      <c r="AZ28" s="86">
        <f t="shared" si="41"/>
        <v>4808.4399999999996</v>
      </c>
      <c r="BA28" s="86">
        <f t="shared" si="42"/>
        <v>4808.4399999999996</v>
      </c>
      <c r="BB28" s="86">
        <f t="shared" si="43"/>
        <v>4808.4399999999996</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28.5">
      <c r="A29" s="83"/>
      <c r="B29" s="3204" t="s">
        <v>3706</v>
      </c>
      <c r="C29" s="1390" t="s">
        <v>3038</v>
      </c>
      <c r="D29" s="2963" t="s">
        <v>1678</v>
      </c>
      <c r="E29" s="86">
        <f t="shared" si="33"/>
        <v>1779.08</v>
      </c>
      <c r="F29" s="87"/>
      <c r="G29" s="88">
        <f t="shared" si="34"/>
        <v>4808.4399999999996</v>
      </c>
      <c r="H29" s="89">
        <f t="shared" si="35"/>
        <v>4808.4399999999996</v>
      </c>
      <c r="I29" s="3181">
        <v>4808.4399999999996</v>
      </c>
      <c r="J29" s="82"/>
      <c r="K29" s="82"/>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0">
        <f t="shared" si="37"/>
        <v>0</v>
      </c>
      <c r="AW29" s="1960" t="str">
        <f t="shared" si="38"/>
        <v>0004地块</v>
      </c>
      <c r="AX29" s="1960" t="str">
        <f t="shared" si="39"/>
        <v>A-17#住宅楼</v>
      </c>
      <c r="AY29" s="94">
        <f t="shared" si="40"/>
        <v>2877.18</v>
      </c>
      <c r="AZ29" s="86">
        <f t="shared" si="41"/>
        <v>4808.4399999999996</v>
      </c>
      <c r="BA29" s="86">
        <f t="shared" si="42"/>
        <v>4808.4399999999996</v>
      </c>
      <c r="BB29" s="86">
        <f t="shared" si="43"/>
        <v>4808.4399999999996</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28.5">
      <c r="A30" s="83"/>
      <c r="B30" s="3204" t="s">
        <v>3706</v>
      </c>
      <c r="C30" s="1388" t="s">
        <v>3039</v>
      </c>
      <c r="D30" s="2963" t="s">
        <v>1678</v>
      </c>
      <c r="E30" s="86">
        <f t="shared" si="33"/>
        <v>1693.5</v>
      </c>
      <c r="F30" s="87"/>
      <c r="G30" s="88">
        <f t="shared" si="34"/>
        <v>4577.1400000000003</v>
      </c>
      <c r="H30" s="89">
        <f t="shared" si="35"/>
        <v>4577.1400000000003</v>
      </c>
      <c r="I30" s="3181">
        <v>4577.1400000000003</v>
      </c>
      <c r="J30" s="82"/>
      <c r="K30" s="82"/>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0">
        <f t="shared" si="37"/>
        <v>0</v>
      </c>
      <c r="AW30" s="1960" t="str">
        <f t="shared" si="38"/>
        <v>0004地块</v>
      </c>
      <c r="AX30" s="1960" t="str">
        <f t="shared" si="39"/>
        <v>A-18#住宅楼</v>
      </c>
      <c r="AY30" s="94">
        <f t="shared" si="40"/>
        <v>2738.78</v>
      </c>
      <c r="AZ30" s="86">
        <f t="shared" si="41"/>
        <v>4577.1400000000003</v>
      </c>
      <c r="BA30" s="86">
        <f t="shared" si="42"/>
        <v>4577.1400000000003</v>
      </c>
      <c r="BB30" s="86">
        <f t="shared" si="43"/>
        <v>4577.1400000000003</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idden="1">
      <c r="A31" s="83"/>
      <c r="B31" s="1387"/>
      <c r="C31" s="1388"/>
      <c r="D31" s="2963" t="s">
        <v>1678</v>
      </c>
      <c r="E31" s="86">
        <f t="shared" si="33"/>
        <v>0</v>
      </c>
      <c r="F31" s="87"/>
      <c r="G31" s="88">
        <f t="shared" si="34"/>
        <v>0</v>
      </c>
      <c r="H31" s="89">
        <f t="shared" si="35"/>
        <v>0</v>
      </c>
      <c r="I31" s="3182"/>
      <c r="J31" s="82"/>
      <c r="K31" s="82"/>
      <c r="L31" s="90"/>
      <c r="M31" s="90"/>
      <c r="N31" s="90"/>
      <c r="O31" s="90"/>
      <c r="P31" s="90"/>
      <c r="Q31" s="90"/>
      <c r="R31" s="90"/>
      <c r="S31" s="90"/>
      <c r="T31" s="90"/>
      <c r="U31" s="90"/>
      <c r="V31" s="90"/>
      <c r="W31" s="90"/>
      <c r="X31" s="90"/>
      <c r="Y31" s="90"/>
      <c r="Z31" s="90"/>
      <c r="AA31" s="90"/>
      <c r="AB31" s="90"/>
      <c r="AC31" s="86">
        <f t="shared" si="36"/>
        <v>0</v>
      </c>
      <c r="AD31" s="3183"/>
      <c r="AE31" s="3183"/>
      <c r="AF31" s="3183"/>
      <c r="AG31" s="3183"/>
      <c r="AH31" s="3183"/>
      <c r="AI31" s="3183"/>
      <c r="AJ31" s="3183"/>
      <c r="AK31" s="3183"/>
      <c r="AL31" s="3183"/>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28.5">
      <c r="A32" s="83"/>
      <c r="B32" s="3204" t="s">
        <v>3706</v>
      </c>
      <c r="C32" s="1388" t="s">
        <v>3681</v>
      </c>
      <c r="D32" s="2963" t="s">
        <v>1678</v>
      </c>
      <c r="E32" s="86">
        <f t="shared" si="33"/>
        <v>891.78</v>
      </c>
      <c r="F32" s="87"/>
      <c r="G32" s="88">
        <f t="shared" si="34"/>
        <v>2410.27</v>
      </c>
      <c r="H32" s="89">
        <f t="shared" si="35"/>
        <v>2410.27</v>
      </c>
      <c r="I32" s="3182">
        <v>2410.27</v>
      </c>
      <c r="J32" s="82"/>
      <c r="K32" s="82"/>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0">
        <f t="shared" si="37"/>
        <v>0</v>
      </c>
      <c r="AW32" s="1960" t="str">
        <f t="shared" si="38"/>
        <v>0004地块</v>
      </c>
      <c r="AX32" s="1960" t="str">
        <f t="shared" si="39"/>
        <v>A-19#住宅楼</v>
      </c>
      <c r="AY32" s="94">
        <f t="shared" si="40"/>
        <v>1442.21</v>
      </c>
      <c r="AZ32" s="86">
        <f t="shared" si="41"/>
        <v>2410.27</v>
      </c>
      <c r="BA32" s="86">
        <f t="shared" si="42"/>
        <v>2410.27</v>
      </c>
      <c r="BB32" s="86">
        <f t="shared" si="43"/>
        <v>2410.27</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28.5">
      <c r="A33" s="83"/>
      <c r="B33" s="3204" t="s">
        <v>3706</v>
      </c>
      <c r="C33" s="1388" t="s">
        <v>3682</v>
      </c>
      <c r="D33" s="2963" t="s">
        <v>1678</v>
      </c>
      <c r="E33" s="86">
        <f t="shared" si="33"/>
        <v>891.78</v>
      </c>
      <c r="F33" s="87"/>
      <c r="G33" s="88">
        <f t="shared" si="34"/>
        <v>2410.27</v>
      </c>
      <c r="H33" s="89">
        <f t="shared" si="35"/>
        <v>2410.27</v>
      </c>
      <c r="I33" s="1390">
        <v>2410.27</v>
      </c>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0">
        <f t="shared" si="37"/>
        <v>0</v>
      </c>
      <c r="AW33" s="1960" t="str">
        <f t="shared" si="38"/>
        <v>0004地块</v>
      </c>
      <c r="AX33" s="1960" t="str">
        <f t="shared" si="39"/>
        <v>A-20#住宅楼</v>
      </c>
      <c r="AY33" s="94">
        <f t="shared" si="40"/>
        <v>1442.21</v>
      </c>
      <c r="AZ33" s="86">
        <f t="shared" si="41"/>
        <v>2410.27</v>
      </c>
      <c r="BA33" s="86">
        <f t="shared" si="42"/>
        <v>2410.27</v>
      </c>
      <c r="BB33" s="86">
        <f t="shared" si="43"/>
        <v>2410.27</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28.5">
      <c r="A34" s="83"/>
      <c r="B34" s="3204" t="s">
        <v>3706</v>
      </c>
      <c r="C34" s="1388" t="s">
        <v>3683</v>
      </c>
      <c r="D34" s="2963" t="s">
        <v>1678</v>
      </c>
      <c r="E34" s="86">
        <f t="shared" si="33"/>
        <v>891.78</v>
      </c>
      <c r="F34" s="87"/>
      <c r="G34" s="88">
        <f t="shared" si="34"/>
        <v>2410.27</v>
      </c>
      <c r="H34" s="89">
        <f t="shared" si="35"/>
        <v>2410.27</v>
      </c>
      <c r="I34" s="1390">
        <v>2410.27</v>
      </c>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0">
        <f t="shared" si="37"/>
        <v>0</v>
      </c>
      <c r="AW34" s="1960" t="str">
        <f t="shared" si="38"/>
        <v>0004地块</v>
      </c>
      <c r="AX34" s="1960" t="str">
        <f t="shared" si="39"/>
        <v>A-21#住宅楼</v>
      </c>
      <c r="AY34" s="94">
        <f t="shared" si="40"/>
        <v>1442.21</v>
      </c>
      <c r="AZ34" s="86">
        <f t="shared" si="41"/>
        <v>2410.27</v>
      </c>
      <c r="BA34" s="86">
        <f t="shared" si="42"/>
        <v>2410.27</v>
      </c>
      <c r="BB34" s="86">
        <f t="shared" si="43"/>
        <v>2410.27</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28.5">
      <c r="A35" s="83"/>
      <c r="B35" s="3204" t="s">
        <v>3706</v>
      </c>
      <c r="C35" s="1388" t="s">
        <v>3684</v>
      </c>
      <c r="D35" s="2963" t="s">
        <v>1678</v>
      </c>
      <c r="E35" s="86">
        <f t="shared" si="33"/>
        <v>891.78</v>
      </c>
      <c r="F35" s="87"/>
      <c r="G35" s="88">
        <f t="shared" si="34"/>
        <v>2410.27</v>
      </c>
      <c r="H35" s="89">
        <f t="shared" si="35"/>
        <v>2410.27</v>
      </c>
      <c r="I35" s="1390">
        <v>2410.27</v>
      </c>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0">
        <f t="shared" si="37"/>
        <v>0</v>
      </c>
      <c r="AW35" s="1960" t="str">
        <f t="shared" si="38"/>
        <v>0004地块</v>
      </c>
      <c r="AX35" s="1960" t="str">
        <f t="shared" si="39"/>
        <v>A-22#住宅楼</v>
      </c>
      <c r="AY35" s="94">
        <f t="shared" si="40"/>
        <v>1442.21</v>
      </c>
      <c r="AZ35" s="86">
        <f t="shared" si="41"/>
        <v>2410.27</v>
      </c>
      <c r="BA35" s="86">
        <f t="shared" si="42"/>
        <v>2410.27</v>
      </c>
      <c r="BB35" s="86">
        <f t="shared" si="43"/>
        <v>2410.27</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28.5">
      <c r="A36" s="83"/>
      <c r="B36" s="3204" t="s">
        <v>3706</v>
      </c>
      <c r="C36" s="1388" t="s">
        <v>3685</v>
      </c>
      <c r="D36" s="2963" t="s">
        <v>1678</v>
      </c>
      <c r="E36" s="86">
        <f t="shared" si="33"/>
        <v>1776.15</v>
      </c>
      <c r="F36" s="87"/>
      <c r="G36" s="88">
        <f t="shared" si="34"/>
        <v>4800.5200000000004</v>
      </c>
      <c r="H36" s="89">
        <f t="shared" si="35"/>
        <v>4800.5200000000004</v>
      </c>
      <c r="I36" s="1390">
        <v>4800.5200000000004</v>
      </c>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0">
        <f t="shared" si="37"/>
        <v>0</v>
      </c>
      <c r="AW36" s="1960" t="str">
        <f t="shared" si="38"/>
        <v>0004地块</v>
      </c>
      <c r="AX36" s="1960" t="str">
        <f t="shared" si="39"/>
        <v>A-23#住宅楼</v>
      </c>
      <c r="AY36" s="94">
        <f t="shared" si="40"/>
        <v>2872.44</v>
      </c>
      <c r="AZ36" s="86">
        <f t="shared" si="41"/>
        <v>4800.5200000000004</v>
      </c>
      <c r="BA36" s="86">
        <f t="shared" si="42"/>
        <v>4800.5200000000004</v>
      </c>
      <c r="BB36" s="86">
        <f t="shared" si="43"/>
        <v>4800.5200000000004</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28.5">
      <c r="A37" s="83"/>
      <c r="B37" s="3204" t="s">
        <v>3706</v>
      </c>
      <c r="C37" s="1388" t="s">
        <v>3686</v>
      </c>
      <c r="D37" s="2963" t="s">
        <v>1678</v>
      </c>
      <c r="E37" s="86">
        <f t="shared" si="33"/>
        <v>1070.44</v>
      </c>
      <c r="F37" s="87"/>
      <c r="G37" s="88">
        <f t="shared" si="34"/>
        <v>2893.15</v>
      </c>
      <c r="H37" s="89">
        <f t="shared" si="35"/>
        <v>2893.15</v>
      </c>
      <c r="I37" s="1390">
        <v>2893.15</v>
      </c>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0">
        <f t="shared" si="37"/>
        <v>0</v>
      </c>
      <c r="AW37" s="1960" t="str">
        <f t="shared" si="38"/>
        <v>0004地块</v>
      </c>
      <c r="AX37" s="1960" t="str">
        <f t="shared" si="39"/>
        <v>A-24#住宅楼</v>
      </c>
      <c r="AY37" s="94">
        <f t="shared" si="40"/>
        <v>1731.15</v>
      </c>
      <c r="AZ37" s="86">
        <f t="shared" si="41"/>
        <v>2893.15</v>
      </c>
      <c r="BA37" s="86">
        <f t="shared" si="42"/>
        <v>2893.15</v>
      </c>
      <c r="BB37" s="86">
        <f t="shared" si="43"/>
        <v>2893.15</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28.5">
      <c r="A38" s="83"/>
      <c r="B38" s="3204" t="s">
        <v>3706</v>
      </c>
      <c r="C38" s="1388" t="s">
        <v>3687</v>
      </c>
      <c r="D38" s="2963" t="s">
        <v>1678</v>
      </c>
      <c r="E38" s="86">
        <f t="shared" si="33"/>
        <v>1435.84</v>
      </c>
      <c r="F38" s="87"/>
      <c r="G38" s="88">
        <f t="shared" si="34"/>
        <v>3880.74</v>
      </c>
      <c r="H38" s="89">
        <f t="shared" si="35"/>
        <v>3880.74</v>
      </c>
      <c r="I38" s="1390">
        <v>3880.74</v>
      </c>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0">
        <f t="shared" si="37"/>
        <v>0</v>
      </c>
      <c r="AW38" s="1960" t="str">
        <f t="shared" si="38"/>
        <v>0004地块</v>
      </c>
      <c r="AX38" s="1960" t="str">
        <f t="shared" si="39"/>
        <v>A-25#住宅楼</v>
      </c>
      <c r="AY38" s="94">
        <f t="shared" si="40"/>
        <v>2322.08</v>
      </c>
      <c r="AZ38" s="86">
        <f t="shared" si="41"/>
        <v>3880.74</v>
      </c>
      <c r="BA38" s="86">
        <f t="shared" si="42"/>
        <v>3880.74</v>
      </c>
      <c r="BB38" s="86">
        <f t="shared" si="43"/>
        <v>3880.74</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28.5">
      <c r="A39" s="83"/>
      <c r="B39" s="3204" t="s">
        <v>3706</v>
      </c>
      <c r="C39" s="1388" t="s">
        <v>3688</v>
      </c>
      <c r="D39" s="2963" t="s">
        <v>1678</v>
      </c>
      <c r="E39" s="86">
        <f t="shared" si="33"/>
        <v>891.78</v>
      </c>
      <c r="F39" s="87"/>
      <c r="G39" s="88">
        <f t="shared" si="34"/>
        <v>2410.27</v>
      </c>
      <c r="H39" s="89">
        <f t="shared" si="35"/>
        <v>2410.27</v>
      </c>
      <c r="I39" s="1390">
        <v>2410.27</v>
      </c>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0">
        <f t="shared" si="37"/>
        <v>0</v>
      </c>
      <c r="AW39" s="1960" t="str">
        <f t="shared" si="38"/>
        <v>0004地块</v>
      </c>
      <c r="AX39" s="1960" t="str">
        <f t="shared" si="39"/>
        <v>A-26#住宅楼</v>
      </c>
      <c r="AY39" s="94">
        <f t="shared" si="40"/>
        <v>1442.21</v>
      </c>
      <c r="AZ39" s="86">
        <f t="shared" si="41"/>
        <v>2410.27</v>
      </c>
      <c r="BA39" s="86">
        <f t="shared" si="42"/>
        <v>2410.27</v>
      </c>
      <c r="BB39" s="86">
        <f t="shared" si="43"/>
        <v>2410.27</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28.5">
      <c r="A40" s="83"/>
      <c r="B40" s="3204" t="s">
        <v>3706</v>
      </c>
      <c r="C40" s="1388" t="s">
        <v>3689</v>
      </c>
      <c r="D40" s="2963" t="s">
        <v>1678</v>
      </c>
      <c r="E40" s="86">
        <f t="shared" si="33"/>
        <v>1138.68</v>
      </c>
      <c r="F40" s="87"/>
      <c r="G40" s="88">
        <f t="shared" si="34"/>
        <v>3077.59</v>
      </c>
      <c r="H40" s="89">
        <f t="shared" si="35"/>
        <v>3077.59</v>
      </c>
      <c r="I40" s="1390">
        <v>3077.59</v>
      </c>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0">
        <f t="shared" si="37"/>
        <v>0</v>
      </c>
      <c r="AW40" s="1960" t="str">
        <f t="shared" si="38"/>
        <v>0004地块</v>
      </c>
      <c r="AX40" s="1960" t="str">
        <f t="shared" si="39"/>
        <v>A-27#住宅楼</v>
      </c>
      <c r="AY40" s="94">
        <f t="shared" si="40"/>
        <v>1841.51</v>
      </c>
      <c r="AZ40" s="86">
        <f t="shared" si="41"/>
        <v>3077.59</v>
      </c>
      <c r="BA40" s="86">
        <f t="shared" si="42"/>
        <v>3077.59</v>
      </c>
      <c r="BB40" s="86">
        <f t="shared" si="43"/>
        <v>3077.59</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28.5">
      <c r="A41" s="83"/>
      <c r="B41" s="3204" t="s">
        <v>3706</v>
      </c>
      <c r="C41" s="1388" t="s">
        <v>3690</v>
      </c>
      <c r="D41" s="2963" t="s">
        <v>1678</v>
      </c>
      <c r="E41" s="86">
        <f t="shared" si="33"/>
        <v>1857.71</v>
      </c>
      <c r="F41" s="87"/>
      <c r="G41" s="88">
        <f t="shared" si="34"/>
        <v>5020.9399999999996</v>
      </c>
      <c r="H41" s="89">
        <f t="shared" si="35"/>
        <v>5020.9399999999996</v>
      </c>
      <c r="I41" s="1390">
        <v>5020.9399999999996</v>
      </c>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0">
        <f t="shared" si="37"/>
        <v>0</v>
      </c>
      <c r="AW41" s="1960" t="str">
        <f t="shared" si="38"/>
        <v>0004地块</v>
      </c>
      <c r="AX41" s="1960" t="str">
        <f t="shared" si="39"/>
        <v>A-28#住宅楼</v>
      </c>
      <c r="AY41" s="94">
        <f t="shared" si="40"/>
        <v>3004.33</v>
      </c>
      <c r="AZ41" s="86">
        <f t="shared" si="41"/>
        <v>5020.9399999999996</v>
      </c>
      <c r="BA41" s="86">
        <f t="shared" si="42"/>
        <v>5020.9399999999996</v>
      </c>
      <c r="BB41" s="86">
        <f t="shared" si="43"/>
        <v>5020.9399999999996</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28.5">
      <c r="A42" s="83"/>
      <c r="B42" s="3204" t="s">
        <v>3706</v>
      </c>
      <c r="C42" s="1388" t="s">
        <v>3691</v>
      </c>
      <c r="D42" s="2963" t="s">
        <v>1678</v>
      </c>
      <c r="E42" s="86">
        <f t="shared" si="33"/>
        <v>1337.25</v>
      </c>
      <c r="F42" s="87"/>
      <c r="G42" s="88">
        <f t="shared" si="34"/>
        <v>3614.28</v>
      </c>
      <c r="H42" s="89">
        <f t="shared" si="35"/>
        <v>3614.28</v>
      </c>
      <c r="I42" s="1390">
        <v>3614.28</v>
      </c>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0">
        <f t="shared" si="37"/>
        <v>0</v>
      </c>
      <c r="AW42" s="1960" t="str">
        <f t="shared" si="38"/>
        <v>0004地块</v>
      </c>
      <c r="AX42" s="1960" t="str">
        <f t="shared" si="39"/>
        <v>A-29#住宅楼</v>
      </c>
      <c r="AY42" s="94">
        <f t="shared" si="40"/>
        <v>2162.64</v>
      </c>
      <c r="AZ42" s="86">
        <f t="shared" si="41"/>
        <v>3614.28</v>
      </c>
      <c r="BA42" s="86">
        <f t="shared" si="42"/>
        <v>3614.28</v>
      </c>
      <c r="BB42" s="86">
        <f t="shared" si="43"/>
        <v>3614.28</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28.5">
      <c r="A43" s="83"/>
      <c r="B43" s="3204" t="s">
        <v>3706</v>
      </c>
      <c r="C43" s="1388" t="s">
        <v>3692</v>
      </c>
      <c r="D43" s="2963" t="s">
        <v>1678</v>
      </c>
      <c r="E43" s="86">
        <f t="shared" si="33"/>
        <v>2034.79</v>
      </c>
      <c r="F43" s="87"/>
      <c r="G43" s="88">
        <f t="shared" si="34"/>
        <v>5499.56</v>
      </c>
      <c r="H43" s="89">
        <f t="shared" si="35"/>
        <v>5499.56</v>
      </c>
      <c r="I43" s="1390">
        <v>5499.56</v>
      </c>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0">
        <f t="shared" si="37"/>
        <v>0</v>
      </c>
      <c r="AW43" s="1960" t="str">
        <f t="shared" si="38"/>
        <v>0004地块</v>
      </c>
      <c r="AX43" s="1960" t="str">
        <f t="shared" si="39"/>
        <v>A-30#住宅楼</v>
      </c>
      <c r="AY43" s="94">
        <f t="shared" si="40"/>
        <v>3290.72</v>
      </c>
      <c r="AZ43" s="86">
        <f t="shared" si="41"/>
        <v>5499.56</v>
      </c>
      <c r="BA43" s="86">
        <f t="shared" si="42"/>
        <v>5499.56</v>
      </c>
      <c r="BB43" s="86">
        <f t="shared" si="43"/>
        <v>5499.56</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28.5">
      <c r="A44" s="83"/>
      <c r="B44" s="3204" t="s">
        <v>3706</v>
      </c>
      <c r="C44" s="1388" t="s">
        <v>3693</v>
      </c>
      <c r="D44" s="2963" t="s">
        <v>1678</v>
      </c>
      <c r="E44" s="86">
        <f t="shared" si="33"/>
        <v>1014.62</v>
      </c>
      <c r="F44" s="87"/>
      <c r="G44" s="88">
        <f t="shared" si="34"/>
        <v>2742.28</v>
      </c>
      <c r="H44" s="89">
        <f t="shared" si="35"/>
        <v>2742.28</v>
      </c>
      <c r="I44" s="1390">
        <v>2742.28</v>
      </c>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0">
        <f t="shared" si="37"/>
        <v>0</v>
      </c>
      <c r="AW44" s="1960" t="str">
        <f t="shared" si="38"/>
        <v>0004地块</v>
      </c>
      <c r="AX44" s="1960" t="str">
        <f t="shared" si="39"/>
        <v>A-31#住宅楼</v>
      </c>
      <c r="AY44" s="94">
        <f t="shared" si="40"/>
        <v>1640.87</v>
      </c>
      <c r="AZ44" s="86">
        <f t="shared" si="41"/>
        <v>2742.28</v>
      </c>
      <c r="BA44" s="86">
        <f t="shared" si="42"/>
        <v>2742.28</v>
      </c>
      <c r="BB44" s="86">
        <f t="shared" si="43"/>
        <v>2742.28</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28.5">
      <c r="A45" s="83"/>
      <c r="B45" s="3204" t="s">
        <v>3706</v>
      </c>
      <c r="C45" s="1388" t="s">
        <v>3694</v>
      </c>
      <c r="D45" s="2963" t="s">
        <v>1678</v>
      </c>
      <c r="E45" s="86">
        <f t="shared" si="33"/>
        <v>1138.68</v>
      </c>
      <c r="F45" s="87"/>
      <c r="G45" s="88">
        <f t="shared" si="34"/>
        <v>3077.59</v>
      </c>
      <c r="H45" s="89">
        <f t="shared" si="35"/>
        <v>3077.59</v>
      </c>
      <c r="I45" s="1390">
        <v>3077.59</v>
      </c>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0">
        <f t="shared" si="37"/>
        <v>0</v>
      </c>
      <c r="AW45" s="1960" t="str">
        <f t="shared" si="38"/>
        <v>0004地块</v>
      </c>
      <c r="AX45" s="1960" t="str">
        <f t="shared" si="39"/>
        <v>A-32#住宅楼</v>
      </c>
      <c r="AY45" s="94">
        <f t="shared" si="40"/>
        <v>1841.51</v>
      </c>
      <c r="AZ45" s="86">
        <f t="shared" si="41"/>
        <v>3077.59</v>
      </c>
      <c r="BA45" s="86">
        <f t="shared" si="42"/>
        <v>3077.59</v>
      </c>
      <c r="BB45" s="86">
        <f t="shared" si="43"/>
        <v>3077.59</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28.5">
      <c r="A46" s="83"/>
      <c r="B46" s="3204" t="s">
        <v>3706</v>
      </c>
      <c r="C46" s="1388" t="s">
        <v>3695</v>
      </c>
      <c r="D46" s="2963" t="s">
        <v>1678</v>
      </c>
      <c r="E46" s="86">
        <f t="shared" si="33"/>
        <v>1138.68</v>
      </c>
      <c r="F46" s="87"/>
      <c r="G46" s="88">
        <f t="shared" si="34"/>
        <v>3077.59</v>
      </c>
      <c r="H46" s="89">
        <f t="shared" si="35"/>
        <v>3077.59</v>
      </c>
      <c r="I46" s="1390">
        <v>3077.59</v>
      </c>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0">
        <f t="shared" si="37"/>
        <v>0</v>
      </c>
      <c r="AW46" s="1960" t="str">
        <f t="shared" si="38"/>
        <v>0004地块</v>
      </c>
      <c r="AX46" s="1960" t="str">
        <f t="shared" si="39"/>
        <v>A-33#住宅楼</v>
      </c>
      <c r="AY46" s="94">
        <f t="shared" si="40"/>
        <v>1841.51</v>
      </c>
      <c r="AZ46" s="86">
        <f t="shared" si="41"/>
        <v>3077.59</v>
      </c>
      <c r="BA46" s="86">
        <f t="shared" si="42"/>
        <v>3077.59</v>
      </c>
      <c r="BB46" s="86">
        <f t="shared" si="43"/>
        <v>3077.59</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28.5">
      <c r="A47" s="83"/>
      <c r="B47" s="3204" t="s">
        <v>3706</v>
      </c>
      <c r="C47" s="1388" t="s">
        <v>3696</v>
      </c>
      <c r="D47" s="2963" t="s">
        <v>1678</v>
      </c>
      <c r="E47" s="86">
        <f t="shared" si="33"/>
        <v>1138.68</v>
      </c>
      <c r="F47" s="87"/>
      <c r="G47" s="88">
        <f t="shared" si="34"/>
        <v>3077.59</v>
      </c>
      <c r="H47" s="89">
        <f t="shared" si="35"/>
        <v>3077.59</v>
      </c>
      <c r="I47" s="1390">
        <v>3077.59</v>
      </c>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0">
        <f t="shared" si="37"/>
        <v>0</v>
      </c>
      <c r="AW47" s="1960" t="str">
        <f t="shared" si="38"/>
        <v>0004地块</v>
      </c>
      <c r="AX47" s="1960" t="str">
        <f t="shared" si="39"/>
        <v>A-34#住宅楼</v>
      </c>
      <c r="AY47" s="94">
        <f t="shared" si="40"/>
        <v>1841.51</v>
      </c>
      <c r="AZ47" s="86">
        <f t="shared" si="41"/>
        <v>3077.59</v>
      </c>
      <c r="BA47" s="86">
        <f t="shared" si="42"/>
        <v>3077.59</v>
      </c>
      <c r="BB47" s="86">
        <f t="shared" si="43"/>
        <v>3077.59</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28.5">
      <c r="A48" s="83"/>
      <c r="B48" s="3204" t="s">
        <v>3706</v>
      </c>
      <c r="C48" s="1388" t="s">
        <v>3697</v>
      </c>
      <c r="D48" s="2963" t="s">
        <v>1678</v>
      </c>
      <c r="E48" s="86">
        <f t="shared" si="33"/>
        <v>1138.68</v>
      </c>
      <c r="F48" s="87"/>
      <c r="G48" s="88">
        <f t="shared" si="34"/>
        <v>3077.59</v>
      </c>
      <c r="H48" s="89">
        <f t="shared" si="35"/>
        <v>3077.59</v>
      </c>
      <c r="I48" s="1388">
        <v>3077.59</v>
      </c>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0">
        <f t="shared" si="37"/>
        <v>0</v>
      </c>
      <c r="AW48" s="1960" t="str">
        <f t="shared" si="38"/>
        <v>0004地块</v>
      </c>
      <c r="AX48" s="1960" t="str">
        <f t="shared" si="39"/>
        <v>A-35#住宅楼</v>
      </c>
      <c r="AY48" s="94">
        <f t="shared" si="40"/>
        <v>1841.51</v>
      </c>
      <c r="AZ48" s="86">
        <f t="shared" si="41"/>
        <v>3077.59</v>
      </c>
      <c r="BA48" s="86">
        <f t="shared" si="42"/>
        <v>3077.59</v>
      </c>
      <c r="BB48" s="86">
        <f t="shared" si="43"/>
        <v>3077.59</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28.5">
      <c r="A49" s="83"/>
      <c r="B49" s="3204" t="s">
        <v>3706</v>
      </c>
      <c r="C49" s="1388" t="s">
        <v>3698</v>
      </c>
      <c r="D49" s="2963" t="s">
        <v>1678</v>
      </c>
      <c r="E49" s="86">
        <f t="shared" si="33"/>
        <v>1138.68</v>
      </c>
      <c r="F49" s="87"/>
      <c r="G49" s="88">
        <f t="shared" si="34"/>
        <v>3077.59</v>
      </c>
      <c r="H49" s="89">
        <f t="shared" si="35"/>
        <v>3077.59</v>
      </c>
      <c r="I49" s="1388">
        <v>3077.59</v>
      </c>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0">
        <f t="shared" si="37"/>
        <v>0</v>
      </c>
      <c r="AW49" s="1960" t="str">
        <f t="shared" si="38"/>
        <v>0004地块</v>
      </c>
      <c r="AX49" s="1960" t="str">
        <f t="shared" si="39"/>
        <v>A-36#住宅楼</v>
      </c>
      <c r="AY49" s="94">
        <f t="shared" si="40"/>
        <v>1841.51</v>
      </c>
      <c r="AZ49" s="86">
        <f t="shared" si="41"/>
        <v>3077.59</v>
      </c>
      <c r="BA49" s="86">
        <f t="shared" si="42"/>
        <v>3077.59</v>
      </c>
      <c r="BB49" s="86">
        <f t="shared" si="43"/>
        <v>3077.59</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28.5">
      <c r="A50" s="83"/>
      <c r="B50" s="3204" t="s">
        <v>3706</v>
      </c>
      <c r="C50" s="1388" t="s">
        <v>3699</v>
      </c>
      <c r="D50" s="2963" t="s">
        <v>1678</v>
      </c>
      <c r="E50" s="86">
        <f t="shared" si="33"/>
        <v>1138.68</v>
      </c>
      <c r="F50" s="87"/>
      <c r="G50" s="88">
        <f t="shared" si="34"/>
        <v>3077.59</v>
      </c>
      <c r="H50" s="89">
        <f t="shared" si="35"/>
        <v>3077.59</v>
      </c>
      <c r="I50" s="1388">
        <v>3077.59</v>
      </c>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0">
        <f t="shared" si="37"/>
        <v>0</v>
      </c>
      <c r="AW50" s="1960" t="str">
        <f t="shared" si="38"/>
        <v>0004地块</v>
      </c>
      <c r="AX50" s="1960" t="str">
        <f t="shared" si="39"/>
        <v>A-37#住宅楼</v>
      </c>
      <c r="AY50" s="94">
        <f t="shared" si="40"/>
        <v>1841.51</v>
      </c>
      <c r="AZ50" s="86">
        <f t="shared" si="41"/>
        <v>3077.59</v>
      </c>
      <c r="BA50" s="86">
        <f t="shared" si="42"/>
        <v>3077.59</v>
      </c>
      <c r="BB50" s="86">
        <f t="shared" si="43"/>
        <v>3077.59</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28.5">
      <c r="A51" s="83"/>
      <c r="B51" s="3204" t="s">
        <v>3706</v>
      </c>
      <c r="C51" s="1388" t="s">
        <v>3700</v>
      </c>
      <c r="D51" s="2963" t="s">
        <v>1678</v>
      </c>
      <c r="E51" s="86">
        <f t="shared" si="33"/>
        <v>1138.68</v>
      </c>
      <c r="F51" s="87"/>
      <c r="G51" s="88">
        <f t="shared" si="34"/>
        <v>3077.59</v>
      </c>
      <c r="H51" s="89">
        <f t="shared" si="35"/>
        <v>3077.59</v>
      </c>
      <c r="I51" s="1388">
        <v>3077.59</v>
      </c>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0">
        <f t="shared" si="37"/>
        <v>0</v>
      </c>
      <c r="AW51" s="1960" t="str">
        <f t="shared" si="38"/>
        <v>0004地块</v>
      </c>
      <c r="AX51" s="1960" t="str">
        <f t="shared" si="39"/>
        <v>A-38#住宅楼</v>
      </c>
      <c r="AY51" s="94">
        <f t="shared" si="40"/>
        <v>1841.51</v>
      </c>
      <c r="AZ51" s="86">
        <f t="shared" si="41"/>
        <v>3077.59</v>
      </c>
      <c r="BA51" s="86">
        <f t="shared" si="42"/>
        <v>3077.59</v>
      </c>
      <c r="BB51" s="86">
        <f t="shared" si="43"/>
        <v>3077.59</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28.5">
      <c r="A52" s="83"/>
      <c r="B52" s="3204" t="s">
        <v>3706</v>
      </c>
      <c r="C52" s="1388" t="s">
        <v>3701</v>
      </c>
      <c r="D52" s="2963" t="s">
        <v>1678</v>
      </c>
      <c r="E52" s="86">
        <f t="shared" si="33"/>
        <v>2320.63</v>
      </c>
      <c r="F52" s="87"/>
      <c r="G52" s="88">
        <f t="shared" si="34"/>
        <v>6272.11</v>
      </c>
      <c r="H52" s="89">
        <f t="shared" si="35"/>
        <v>6272.11</v>
      </c>
      <c r="I52" s="1388">
        <v>6272.11</v>
      </c>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0">
        <f t="shared" si="37"/>
        <v>0</v>
      </c>
      <c r="AW52" s="1960" t="str">
        <f t="shared" si="38"/>
        <v>0004地块</v>
      </c>
      <c r="AX52" s="1960" t="str">
        <f t="shared" si="39"/>
        <v>A-39#住宅楼</v>
      </c>
      <c r="AY52" s="94">
        <f t="shared" si="40"/>
        <v>3752.99</v>
      </c>
      <c r="AZ52" s="86">
        <f t="shared" si="41"/>
        <v>6272.11</v>
      </c>
      <c r="BA52" s="86">
        <f t="shared" si="42"/>
        <v>6272.11</v>
      </c>
      <c r="BB52" s="86">
        <f t="shared" si="43"/>
        <v>6272.11</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28.5">
      <c r="A53" s="83"/>
      <c r="B53" s="3204" t="s">
        <v>3706</v>
      </c>
      <c r="C53" s="1388" t="s">
        <v>3702</v>
      </c>
      <c r="D53" s="2963" t="s">
        <v>1678</v>
      </c>
      <c r="E53" s="86">
        <f t="shared" si="33"/>
        <v>1510.31</v>
      </c>
      <c r="F53" s="87"/>
      <c r="G53" s="88">
        <f t="shared" si="34"/>
        <v>4082.02</v>
      </c>
      <c r="H53" s="89">
        <f t="shared" si="35"/>
        <v>4082.02</v>
      </c>
      <c r="I53" s="1388">
        <v>4082.02</v>
      </c>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0">
        <f t="shared" si="37"/>
        <v>0</v>
      </c>
      <c r="AW53" s="1960" t="str">
        <f t="shared" si="38"/>
        <v>0004地块</v>
      </c>
      <c r="AX53" s="1960" t="str">
        <f t="shared" si="39"/>
        <v>A-40#住宅楼</v>
      </c>
      <c r="AY53" s="94">
        <f t="shared" si="40"/>
        <v>2442.52</v>
      </c>
      <c r="AZ53" s="86">
        <f t="shared" si="41"/>
        <v>4082.02</v>
      </c>
      <c r="BA53" s="86">
        <f t="shared" si="42"/>
        <v>4082.02</v>
      </c>
      <c r="BB53" s="86">
        <f t="shared" si="43"/>
        <v>4082.02</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28.5">
      <c r="A54" s="83"/>
      <c r="B54" s="3204" t="s">
        <v>3706</v>
      </c>
      <c r="C54" s="1388" t="s">
        <v>3703</v>
      </c>
      <c r="D54" s="2963" t="s">
        <v>1678</v>
      </c>
      <c r="E54" s="86">
        <f t="shared" si="33"/>
        <v>1856.49</v>
      </c>
      <c r="F54" s="87"/>
      <c r="G54" s="88">
        <f t="shared" si="34"/>
        <v>5017.6400000000003</v>
      </c>
      <c r="H54" s="89">
        <f t="shared" si="35"/>
        <v>5017.6400000000003</v>
      </c>
      <c r="I54" s="1388">
        <v>5017.6400000000003</v>
      </c>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0">
        <f t="shared" si="37"/>
        <v>0</v>
      </c>
      <c r="AW54" s="1960" t="str">
        <f t="shared" si="38"/>
        <v>0004地块</v>
      </c>
      <c r="AX54" s="1960" t="str">
        <f t="shared" si="39"/>
        <v>A-41#住宅楼</v>
      </c>
      <c r="AY54" s="94">
        <f t="shared" si="40"/>
        <v>3002.36</v>
      </c>
      <c r="AZ54" s="86">
        <f t="shared" si="41"/>
        <v>5017.6400000000003</v>
      </c>
      <c r="BA54" s="86">
        <f t="shared" si="42"/>
        <v>5017.6400000000003</v>
      </c>
      <c r="BB54" s="86">
        <f t="shared" si="43"/>
        <v>5017.6400000000003</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28.5">
      <c r="A55" s="83"/>
      <c r="B55" s="3204" t="s">
        <v>3706</v>
      </c>
      <c r="C55" s="1388" t="s">
        <v>3704</v>
      </c>
      <c r="D55" s="2963" t="s">
        <v>1678</v>
      </c>
      <c r="E55" s="86">
        <f t="shared" si="33"/>
        <v>1137.46</v>
      </c>
      <c r="F55" s="87"/>
      <c r="G55" s="88">
        <f t="shared" si="34"/>
        <v>3074.29</v>
      </c>
      <c r="H55" s="89">
        <f t="shared" si="35"/>
        <v>3074.29</v>
      </c>
      <c r="I55" s="1388">
        <v>3074.29</v>
      </c>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0">
        <f t="shared" si="37"/>
        <v>0</v>
      </c>
      <c r="AW55" s="1960" t="str">
        <f t="shared" si="38"/>
        <v>0004地块</v>
      </c>
      <c r="AX55" s="1960" t="str">
        <f t="shared" si="39"/>
        <v>A-42#住宅楼</v>
      </c>
      <c r="AY55" s="94">
        <f t="shared" si="40"/>
        <v>1839.54</v>
      </c>
      <c r="AZ55" s="86">
        <f t="shared" si="41"/>
        <v>3074.29</v>
      </c>
      <c r="BA55" s="86">
        <f t="shared" si="42"/>
        <v>3074.29</v>
      </c>
      <c r="BB55" s="86">
        <f t="shared" si="43"/>
        <v>3074.29</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3204" t="s">
        <v>3706</v>
      </c>
      <c r="C56" s="3203" t="s">
        <v>3705</v>
      </c>
      <c r="D56" s="85" t="s">
        <v>3010</v>
      </c>
      <c r="E56" s="86">
        <f t="shared" si="33"/>
        <v>31729.95</v>
      </c>
      <c r="F56" s="87"/>
      <c r="G56" s="88">
        <f t="shared" si="34"/>
        <v>85758.52</v>
      </c>
      <c r="H56" s="89">
        <f t="shared" si="35"/>
        <v>65000</v>
      </c>
      <c r="I56" s="90"/>
      <c r="J56" s="90"/>
      <c r="K56" s="90">
        <v>65000</v>
      </c>
      <c r="L56" s="90"/>
      <c r="M56" s="90"/>
      <c r="N56" s="90"/>
      <c r="O56" s="90"/>
      <c r="P56" s="90"/>
      <c r="Q56" s="90"/>
      <c r="R56" s="90"/>
      <c r="S56" s="90"/>
      <c r="T56" s="90"/>
      <c r="U56" s="90"/>
      <c r="V56" s="90"/>
      <c r="W56" s="90"/>
      <c r="X56" s="90"/>
      <c r="Y56" s="90"/>
      <c r="Z56" s="90"/>
      <c r="AA56" s="90"/>
      <c r="AB56" s="90"/>
      <c r="AC56" s="86">
        <f t="shared" si="36"/>
        <v>20758.52</v>
      </c>
      <c r="AD56" s="91">
        <f>4800+1691.62</f>
        <v>6491.62</v>
      </c>
      <c r="AE56" s="91"/>
      <c r="AF56" s="91"/>
      <c r="AG56" s="91"/>
      <c r="AH56" s="91"/>
      <c r="AI56" s="91"/>
      <c r="AJ56" s="91"/>
      <c r="AK56" s="91"/>
      <c r="AL56" s="91">
        <v>14266.9</v>
      </c>
      <c r="AM56" s="91"/>
      <c r="AN56" s="91"/>
      <c r="AO56" s="91"/>
      <c r="AP56" s="91"/>
      <c r="AQ56" s="91"/>
      <c r="AR56" s="91"/>
      <c r="AS56" s="91"/>
      <c r="AT56" s="92"/>
      <c r="AU56" s="93"/>
      <c r="AV56" s="1960">
        <f t="shared" si="37"/>
        <v>0</v>
      </c>
      <c r="AW56" s="1960" t="str">
        <f t="shared" si="38"/>
        <v>0004地块</v>
      </c>
      <c r="AX56" s="1960" t="str">
        <f t="shared" si="39"/>
        <v>转换层</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8"/>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1"/>
      <c r="AG114" s="91"/>
      <c r="AH114" s="91"/>
      <c r="AI114" s="91"/>
      <c r="AJ114" s="91"/>
      <c r="AK114" s="91"/>
      <c r="AL114" s="1358"/>
      <c r="AM114" s="91"/>
      <c r="AN114" s="1358"/>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8"/>
      <c r="AM115" s="91"/>
      <c r="AN115" s="1358"/>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8"/>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8"/>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1"/>
      <c r="AG206" s="91"/>
      <c r="AH206" s="91"/>
      <c r="AI206" s="91"/>
      <c r="AJ206" s="91"/>
      <c r="AK206" s="91"/>
      <c r="AL206" s="1358"/>
      <c r="AM206" s="91"/>
      <c r="AN206" s="1358"/>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8"/>
      <c r="AM207" s="91"/>
      <c r="AN207" s="1358"/>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8"/>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8"/>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1"/>
      <c r="AG298" s="91"/>
      <c r="AH298" s="91"/>
      <c r="AI298" s="91"/>
      <c r="AJ298" s="91"/>
      <c r="AK298" s="91"/>
      <c r="AL298" s="1358"/>
      <c r="AM298" s="91"/>
      <c r="AN298" s="1358"/>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8"/>
      <c r="AM299" s="91"/>
      <c r="AN299" s="1358"/>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8"/>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8"/>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1"/>
      <c r="AG390" s="91"/>
      <c r="AH390" s="91"/>
      <c r="AI390" s="91"/>
      <c r="AJ390" s="91"/>
      <c r="AK390" s="91"/>
      <c r="AL390" s="1358"/>
      <c r="AM390" s="91"/>
      <c r="AN390" s="1358"/>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8"/>
      <c r="AM391" s="91"/>
      <c r="AN391" s="1358"/>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8"/>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1"/>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F23" sqref="F2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95" t="s">
        <v>203</v>
      </c>
      <c r="B2" s="3295"/>
      <c r="C2" s="3295"/>
      <c r="D2" s="1956" t="s">
        <v>204</v>
      </c>
      <c r="E2" s="105" t="s">
        <v>205</v>
      </c>
      <c r="F2" s="1965"/>
      <c r="G2" s="1192"/>
      <c r="H2" s="1193"/>
      <c r="I2" s="1194" t="s">
        <v>857</v>
      </c>
      <c r="J2" s="1965"/>
      <c r="K2" s="1965"/>
      <c r="L2" s="1965"/>
    </row>
    <row r="3" spans="1:16" ht="15.75" thickBot="1">
      <c r="A3" s="3296" t="s">
        <v>206</v>
      </c>
      <c r="B3" s="3296"/>
      <c r="C3" s="3296"/>
      <c r="D3" s="106">
        <f>'数据-基础表'!AY6</f>
        <v>83137.16</v>
      </c>
      <c r="E3" s="106">
        <f>'数据-基础表'!AZ5</f>
        <v>138941.47999999998</v>
      </c>
      <c r="F3" s="1965"/>
      <c r="G3" s="278" t="s">
        <v>858</v>
      </c>
      <c r="H3" s="273" t="s">
        <v>859</v>
      </c>
      <c r="I3" s="1957">
        <f>ROUND('数据-基础表'!B3/'数据-基础表'!A3,2)</f>
        <v>2.7</v>
      </c>
      <c r="J3" s="1965"/>
      <c r="K3" s="1965"/>
      <c r="L3" s="1965"/>
    </row>
    <row r="4" spans="1:16" ht="15">
      <c r="A4" s="3297"/>
      <c r="B4" s="3298"/>
      <c r="C4" s="3299"/>
      <c r="D4" s="107" t="s">
        <v>204</v>
      </c>
      <c r="E4" s="108" t="s">
        <v>205</v>
      </c>
      <c r="F4" s="1965"/>
      <c r="G4" s="1195"/>
      <c r="H4" s="273" t="s">
        <v>860</v>
      </c>
      <c r="I4" s="1957">
        <f>ROUND(SUMIF('数据-基础表'!I9:AS9,"地上",'数据-基础表'!I5:AS5)/'数据-基础表'!A3,2)</f>
        <v>2.7</v>
      </c>
      <c r="J4" s="1965"/>
      <c r="K4" s="1965"/>
      <c r="L4" s="1965"/>
    </row>
    <row r="5" spans="1:16">
      <c r="A5" s="109" t="s">
        <v>207</v>
      </c>
      <c r="B5" s="3300" t="s">
        <v>230</v>
      </c>
      <c r="C5" s="3300"/>
      <c r="D5" s="110">
        <f>ROUND($D$3*E5/$E$3,2)</f>
        <v>83137.16</v>
      </c>
      <c r="E5" s="111">
        <f>SUMIF('数据-基础表'!$11:$11,"住宅",'数据-基础表'!$5:$5)</f>
        <v>138941.47999999998</v>
      </c>
      <c r="F5" s="1965"/>
      <c r="G5" s="278" t="s">
        <v>861</v>
      </c>
      <c r="H5" s="273" t="s">
        <v>859</v>
      </c>
      <c r="I5" s="1957">
        <f>ROUND(E31/D31,2)</f>
        <v>1.67</v>
      </c>
      <c r="J5" s="1965"/>
      <c r="K5" s="1965"/>
      <c r="L5" s="1965"/>
    </row>
    <row r="6" spans="1:16" ht="15" thickBot="1">
      <c r="A6" s="112"/>
      <c r="B6" s="3300" t="s">
        <v>208</v>
      </c>
      <c r="C6" s="3300"/>
      <c r="D6" s="110">
        <f>ROUND($D$3*E6/$E$3,2)</f>
        <v>0</v>
      </c>
      <c r="E6" s="111">
        <f>E3-E5</f>
        <v>0</v>
      </c>
      <c r="F6" s="1965"/>
      <c r="G6" s="1195"/>
      <c r="H6" s="273" t="s">
        <v>860</v>
      </c>
      <c r="I6" s="1957">
        <f>ROUND(F31/D31,2)</f>
        <v>1.67</v>
      </c>
      <c r="J6" s="1965"/>
      <c r="K6" s="1965"/>
      <c r="L6" s="1965"/>
    </row>
    <row r="7" spans="1:16" ht="15">
      <c r="A7" s="3292"/>
      <c r="B7" s="3293"/>
      <c r="C7" s="3294"/>
      <c r="D7" s="107" t="s">
        <v>204</v>
      </c>
      <c r="E7" s="113" t="s">
        <v>231</v>
      </c>
      <c r="F7" s="1965"/>
      <c r="G7" s="1150" t="s">
        <v>1645</v>
      </c>
      <c r="H7" s="1151"/>
      <c r="I7" s="1827"/>
      <c r="J7" s="1965"/>
      <c r="K7" s="1965"/>
      <c r="L7" s="1965"/>
    </row>
    <row r="8" spans="1:16">
      <c r="A8" s="109" t="s">
        <v>209</v>
      </c>
      <c r="B8" s="114" t="s">
        <v>210</v>
      </c>
      <c r="C8" s="110" t="s">
        <v>211</v>
      </c>
      <c r="D8" s="110">
        <f t="shared" ref="D8:D15" si="0">ROUND($D$3*E8/$E$3,2)</f>
        <v>83137.16</v>
      </c>
      <c r="E8" s="115">
        <f>SUMIF('数据-基础表'!BB10:BK10,"地上",'数据-基础表'!BB5:BK5)</f>
        <v>138941.47999999998</v>
      </c>
      <c r="F8" s="1965"/>
      <c r="G8" s="1967"/>
      <c r="H8" s="1967"/>
      <c r="I8" s="1965"/>
      <c r="J8" s="1965"/>
      <c r="K8" s="1965"/>
      <c r="L8" s="1965"/>
    </row>
    <row r="9" spans="1:16">
      <c r="A9" s="116"/>
      <c r="B9" s="117"/>
      <c r="C9" s="110" t="s">
        <v>212</v>
      </c>
      <c r="D9" s="110">
        <f t="shared" si="0"/>
        <v>0</v>
      </c>
      <c r="E9" s="118"/>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2323</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2330</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83137.16</v>
      </c>
      <c r="E16" s="119">
        <f>SUM(E8:E15)</f>
        <v>138941.47999999998</v>
      </c>
      <c r="F16" s="1965"/>
      <c r="G16" s="1967"/>
      <c r="H16" s="966" t="s">
        <v>219</v>
      </c>
      <c r="I16" s="967"/>
      <c r="J16" s="1965"/>
      <c r="K16" s="3286" t="s">
        <v>2562</v>
      </c>
      <c r="L16" s="3287"/>
      <c r="M16" s="3287"/>
      <c r="N16" s="3287"/>
      <c r="O16" s="3287"/>
      <c r="P16" s="3288"/>
    </row>
    <row r="17" spans="1:19" ht="15">
      <c r="A17" s="120" t="s">
        <v>216</v>
      </c>
      <c r="B17" s="121" t="s">
        <v>217</v>
      </c>
      <c r="C17" s="2279" t="s">
        <v>2309</v>
      </c>
      <c r="D17" s="107" t="s">
        <v>204</v>
      </c>
      <c r="E17" s="123" t="s">
        <v>205</v>
      </c>
      <c r="F17" s="124"/>
      <c r="G17" s="1360"/>
      <c r="H17" s="968" t="s">
        <v>218</v>
      </c>
      <c r="I17" s="969" t="s">
        <v>2308</v>
      </c>
      <c r="J17" s="1965"/>
      <c r="K17" s="3289" t="s">
        <v>2563</v>
      </c>
      <c r="L17" s="3290"/>
      <c r="M17" s="3291"/>
      <c r="N17" s="3289" t="s">
        <v>2564</v>
      </c>
      <c r="O17" s="3290"/>
      <c r="P17" s="3291"/>
      <c r="R17" s="2280" t="s">
        <v>2307</v>
      </c>
      <c r="S17" s="143"/>
    </row>
    <row r="18" spans="1:19" ht="15">
      <c r="A18" s="116"/>
      <c r="B18" s="127"/>
      <c r="C18" s="128"/>
      <c r="D18" s="2602"/>
      <c r="E18" s="129" t="s">
        <v>220</v>
      </c>
      <c r="F18" s="130" t="s">
        <v>221</v>
      </c>
      <c r="G18" s="1361" t="s">
        <v>222</v>
      </c>
      <c r="H18" s="970" t="s">
        <v>223</v>
      </c>
      <c r="I18" s="971" t="s">
        <v>224</v>
      </c>
      <c r="J18" s="1965"/>
      <c r="K18" s="2565" t="s">
        <v>2565</v>
      </c>
      <c r="L18" s="2566" t="s">
        <v>2566</v>
      </c>
      <c r="M18" s="2567" t="s">
        <v>2567</v>
      </c>
      <c r="N18" s="2565" t="s">
        <v>2565</v>
      </c>
      <c r="O18" s="2566" t="s">
        <v>2566</v>
      </c>
      <c r="P18" s="2567" t="s">
        <v>2567</v>
      </c>
      <c r="R18" s="2281" t="s">
        <v>2305</v>
      </c>
      <c r="S18" s="2281" t="s">
        <v>2306</v>
      </c>
    </row>
    <row r="19" spans="1:19">
      <c r="A19" s="132"/>
      <c r="B19" s="114" t="s">
        <v>225</v>
      </c>
      <c r="C19" s="2972" t="s">
        <v>3042</v>
      </c>
      <c r="D19" s="110">
        <f t="shared" ref="D19:D26" si="1">ROUND($D$3*E19/$E$3,2)</f>
        <v>83137.16</v>
      </c>
      <c r="E19" s="133">
        <f t="shared" ref="E19:E26" si="2">SUM(F19:G19)</f>
        <v>138941.47999999998</v>
      </c>
      <c r="F19" s="134">
        <f>'数据-基础表'!I5</f>
        <v>138941.47999999998</v>
      </c>
      <c r="G19" s="1362"/>
      <c r="H19" s="972">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83137.16</v>
      </c>
      <c r="S19" s="2282">
        <f t="shared" si="5"/>
        <v>138941.47999999998</v>
      </c>
    </row>
    <row r="20" spans="1:19">
      <c r="A20" s="137"/>
      <c r="B20" s="114" t="s">
        <v>226</v>
      </c>
      <c r="C20" s="2972"/>
      <c r="D20" s="110">
        <f t="shared" si="1"/>
        <v>0</v>
      </c>
      <c r="E20" s="133">
        <f t="shared" si="2"/>
        <v>0</v>
      </c>
      <c r="F20" s="134"/>
      <c r="G20" s="1362"/>
      <c r="H20" s="972">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7"/>
      <c r="B21" s="114" t="s">
        <v>226</v>
      </c>
      <c r="C21" s="2972"/>
      <c r="D21" s="110">
        <f t="shared" si="1"/>
        <v>0</v>
      </c>
      <c r="E21" s="133">
        <f t="shared" si="2"/>
        <v>0</v>
      </c>
      <c r="F21" s="134"/>
      <c r="G21" s="1362"/>
      <c r="H21" s="972">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9"/>
      <c r="D22" s="110">
        <f t="shared" si="1"/>
        <v>0</v>
      </c>
      <c r="E22" s="133">
        <f t="shared" si="2"/>
        <v>0</v>
      </c>
      <c r="F22" s="139"/>
      <c r="G22" s="1363"/>
      <c r="H22" s="972">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3"/>
      <c r="H23" s="972">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3"/>
      <c r="H24" s="972">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3"/>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3"/>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83137.16</v>
      </c>
      <c r="E27" s="142">
        <f>IF(SUM(E19:E26)='数据-基础表'!BA5,SUM(E19:E26),IF(F27="地上面积有误","面积有误","地下面积有误"))</f>
        <v>138941.47999999998</v>
      </c>
      <c r="F27" s="133">
        <f>IF(SUM(F19:F26)=E8,SUM(F19:F26),"地上面积有误")</f>
        <v>138941.47999999998</v>
      </c>
      <c r="G27" s="111">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83137.16</v>
      </c>
      <c r="S27" s="273">
        <f>IF(SUM(S19:S26)=$E$3,SUM(S19:S26),SUM(S19:S26)&amp;"误差"&amp;ROUND(SUM(S19:S26)-E3,2))</f>
        <v>138941.47999999998</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2316</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4"/>
      <c r="B31" s="1365" t="s">
        <v>229</v>
      </c>
      <c r="C31" s="2311" t="s">
        <v>2318</v>
      </c>
      <c r="D31" s="1366">
        <f>D27+D30</f>
        <v>83137.16</v>
      </c>
      <c r="E31" s="1366">
        <f>E27+E30</f>
        <v>138941.47999999998</v>
      </c>
      <c r="F31" s="1367">
        <f>F27+F30</f>
        <v>138941.47999999998</v>
      </c>
      <c r="G31" s="1368">
        <f>G27+G30</f>
        <v>0</v>
      </c>
      <c r="H31" s="1965"/>
      <c r="I31" s="1965"/>
      <c r="J31" s="1965"/>
      <c r="K31" s="1965"/>
      <c r="L31" s="1965"/>
    </row>
    <row r="32" spans="1:19">
      <c r="A32" s="1965"/>
      <c r="B32" s="2323" t="s">
        <v>2317</v>
      </c>
      <c r="C32" s="2607"/>
      <c r="D32" s="1195"/>
      <c r="E32" s="1195">
        <f>SUMIF(C19:C26,"*住宅*",E19:E26)</f>
        <v>138941.47999999998</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8" t="s">
        <v>235</v>
      </c>
      <c r="B2" s="2319">
        <f>项目基本情况!D3</f>
        <v>43833</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864</v>
      </c>
      <c r="B4" s="151"/>
      <c r="C4" s="152"/>
      <c r="D4" s="1202"/>
      <c r="E4" s="1203" t="s">
        <v>865</v>
      </c>
      <c r="F4" s="152"/>
      <c r="G4" s="152"/>
      <c r="H4" s="152"/>
      <c r="I4" s="152"/>
      <c r="J4" s="153"/>
      <c r="K4" s="1204"/>
      <c r="L4" s="1205"/>
      <c r="M4" s="152"/>
      <c r="N4" s="1203"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2320</v>
      </c>
      <c r="B5" s="155" t="s">
        <v>236</v>
      </c>
      <c r="C5" s="156" t="s">
        <v>237</v>
      </c>
      <c r="D5" s="157" t="s">
        <v>238</v>
      </c>
      <c r="E5" s="158" t="s">
        <v>239</v>
      </c>
      <c r="F5" s="159" t="s">
        <v>240</v>
      </c>
      <c r="G5" s="158" t="s">
        <v>241</v>
      </c>
      <c r="H5" s="158" t="s">
        <v>862</v>
      </c>
      <c r="I5" s="158" t="s">
        <v>863</v>
      </c>
      <c r="J5" s="160" t="s">
        <v>242</v>
      </c>
      <c r="K5" s="161" t="s">
        <v>243</v>
      </c>
      <c r="L5" s="162" t="s">
        <v>244</v>
      </c>
      <c r="M5" s="163" t="s">
        <v>245</v>
      </c>
      <c r="N5" s="1213" t="s">
        <v>2822</v>
      </c>
      <c r="O5" s="162" t="s">
        <v>246</v>
      </c>
      <c r="P5" s="164" t="s">
        <v>247</v>
      </c>
      <c r="Q5" s="165" t="s">
        <v>248</v>
      </c>
      <c r="R5" s="166" t="s">
        <v>249</v>
      </c>
      <c r="S5" s="2581" t="s">
        <v>2568</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2319</v>
      </c>
      <c r="AI5" s="170" t="s">
        <v>2288</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2" t="s">
        <v>923</v>
      </c>
      <c r="D6" s="2289">
        <f>SUMIF(项目基本情况!D$15:I$15,C6,项目基本情况!D$18:I$18)</f>
        <v>70</v>
      </c>
      <c r="E6" s="2290">
        <f>IF(B6="","",SUMIF(项目基本情况!D$15:I$15,C6,项目基本情况!D$17:I$17))</f>
        <v>69103</v>
      </c>
      <c r="F6" s="173">
        <f>SUMIF(项目基本情况!D$15:I$15,C6,项目基本情况!D$19:I$19)</f>
        <v>69.23</v>
      </c>
      <c r="G6" s="174">
        <f>IF(ISERROR(ROUND(POWER(1+H6,D6-F6)*(POWER(1+H6,F6)-1)/(POWER(1+H6,D6)-1),3)),0,ROUND(POWER(1+H6,D6-F6)*(POWER(1+H6,F6)-1)/(POWER(1+H6,D6)-1),3))</f>
        <v>0.998</v>
      </c>
      <c r="H6" s="2973">
        <v>4.4999999999999998E-2</v>
      </c>
      <c r="I6" s="2973">
        <v>0.05</v>
      </c>
      <c r="J6" s="175">
        <v>8.5000000000000006E-2</v>
      </c>
      <c r="K6" s="178">
        <f>SUMIF('数据-汇总表'!C$19:C$33,'数据-取费表'!A6,'数据-汇总表'!E$19:E$33)</f>
        <v>138941.47999999998</v>
      </c>
      <c r="L6" s="3211">
        <v>4000</v>
      </c>
      <c r="M6" s="176">
        <f t="shared" ref="M6:M14" si="0">ROUND(K6*L6/10000,0)</f>
        <v>55577</v>
      </c>
      <c r="N6" s="2975">
        <v>0</v>
      </c>
      <c r="O6" s="176">
        <f>IF($N$5="成新度","——",ROUND(M6*N6,0))</f>
        <v>0</v>
      </c>
      <c r="P6" s="177">
        <f>IF($N$5="成新度","——",M6-O6)</f>
        <v>55577</v>
      </c>
      <c r="Q6" s="3214">
        <v>0.15</v>
      </c>
      <c r="R6" s="178">
        <f>SUMIF('数据-汇总表'!C$19:C$33,A6,'数据-汇总表'!R$19:R$33)</f>
        <v>83137.16</v>
      </c>
      <c r="S6" s="131">
        <f>IF('数据-汇总表'!$I$17="按面积比例",SUMIF('数据-汇总表'!C$19:C$33,A6,'数据-汇总表'!K$19:K$33),SUMIF('数据-汇总表'!C$19:C$33,A6,'数据-汇总表'!N$19:N$33))</f>
        <v>0</v>
      </c>
      <c r="T6" s="2215" t="str">
        <f>IF($T$4="按面积比例",IF(ISERROR(ROUND($M$14*S6/S$16,0)),"0",ROUND($M$14*S6/S$16,0)),"需自行计算录入")</f>
        <v>0</v>
      </c>
      <c r="U6" s="179"/>
      <c r="V6" s="180"/>
      <c r="W6" s="180"/>
      <c r="X6" s="2302"/>
      <c r="Y6" s="181"/>
      <c r="Z6" s="182"/>
      <c r="AA6" s="175"/>
      <c r="AB6" s="175"/>
      <c r="AC6" s="2305"/>
      <c r="AD6" s="183"/>
      <c r="AE6" s="970">
        <f ca="1">IF(AN6="",0,SUMIF(INDIRECT("'"&amp;AN6&amp;"'"&amp;"!E:E"),$AE$5,INDIRECT("'"&amp;AN6&amp;"'"&amp;"!F:F")))</f>
        <v>0</v>
      </c>
      <c r="AF6" s="140"/>
      <c r="AG6" s="1207">
        <f>IF(AF6="",0,AE6-AF6)</f>
        <v>0</v>
      </c>
      <c r="AH6" s="140"/>
      <c r="AI6" s="186">
        <v>365</v>
      </c>
      <c r="AJ6" s="187"/>
      <c r="AK6" s="188">
        <v>1.4999999999999999E-2</v>
      </c>
      <c r="AL6" s="189">
        <v>2E-3</v>
      </c>
      <c r="AM6" s="2987">
        <v>0.02</v>
      </c>
      <c r="AN6" s="2352"/>
      <c r="AO6" s="1981"/>
      <c r="AP6" s="1198">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3"/>
      <c r="I7" s="2973"/>
      <c r="J7" s="175"/>
      <c r="K7" s="178">
        <f>SUMIF('数据-汇总表'!C$19:C$33,'数据-取费表'!A7,'数据-汇总表'!E$19:E$33)</f>
        <v>0</v>
      </c>
      <c r="L7" s="3211"/>
      <c r="M7" s="176">
        <f t="shared" si="0"/>
        <v>0</v>
      </c>
      <c r="N7" s="2975"/>
      <c r="O7" s="176">
        <f t="shared" ref="O7:O14" si="3">IF($N$5="成新度","——",ROUND(M7*N7,0))</f>
        <v>0</v>
      </c>
      <c r="P7" s="177">
        <f t="shared" ref="P7:P14" si="4">IF($N$5="成新度","——",M7-O7)</f>
        <v>0</v>
      </c>
      <c r="Q7" s="2976"/>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179">
        <v>600</v>
      </c>
      <c r="V7" s="180">
        <v>2.5000000000000001E-2</v>
      </c>
      <c r="W7" s="180">
        <v>0.05</v>
      </c>
      <c r="X7" s="2302"/>
      <c r="Y7" s="181">
        <v>1</v>
      </c>
      <c r="Z7" s="182"/>
      <c r="AA7" s="175"/>
      <c r="AB7" s="175"/>
      <c r="AC7" s="2305"/>
      <c r="AD7" s="183"/>
      <c r="AE7" s="970" t="e">
        <f t="shared" ref="AE7:AE13" ca="1" si="6">IF(AN7="",0,SUMIF(INDIRECT("'"&amp;AN7&amp;"'"&amp;"!E:E"),$AE$5,INDIRECT("'"&amp;AN7&amp;"'"&amp;"!F:F")))</f>
        <v>#N/A</v>
      </c>
      <c r="AF7" s="140"/>
      <c r="AG7" s="1207">
        <f t="shared" ref="AG7:AG13" si="7">IF(AF7="",0,AE7-AF7)</f>
        <v>0</v>
      </c>
      <c r="AH7" s="140">
        <v>1660</v>
      </c>
      <c r="AI7" s="186">
        <v>12</v>
      </c>
      <c r="AJ7" s="187"/>
      <c r="AK7" s="188">
        <v>0.02</v>
      </c>
      <c r="AL7" s="189">
        <v>1.5E-3</v>
      </c>
      <c r="AM7" s="2987">
        <v>0.01</v>
      </c>
      <c r="AN7" s="2352" t="s">
        <v>3663</v>
      </c>
      <c r="AO7" s="1981"/>
      <c r="AP7" s="1198">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3"/>
      <c r="I8" s="2973"/>
      <c r="J8" s="175"/>
      <c r="K8" s="178">
        <f>SUMIF('数据-汇总表'!C$19:C$33,'数据-取费表'!A8,'数据-汇总表'!E$19:E$33)</f>
        <v>0</v>
      </c>
      <c r="L8" s="2974"/>
      <c r="M8" s="176">
        <f>ROUND(K8*L8/10000,0)</f>
        <v>0</v>
      </c>
      <c r="N8" s="2975"/>
      <c r="O8" s="176">
        <f t="shared" si="3"/>
        <v>0</v>
      </c>
      <c r="P8" s="177">
        <f t="shared" si="4"/>
        <v>0</v>
      </c>
      <c r="Q8" s="2976"/>
      <c r="R8" s="178">
        <f>SUMIF('数据-汇总表'!C$19:C$33,A8,'数据-汇总表'!R$19:R$33)</f>
        <v>0</v>
      </c>
      <c r="S8" s="131">
        <f>IF('数据-汇总表'!$I$17="按面积比例",SUMIF('数据-汇总表'!C$19:C$33,A8,'数据-汇总表'!K$19:K$33),SUMIF('数据-汇总表'!C$19:C$33,A8,'数据-汇总表'!N$19:N$33))</f>
        <v>0</v>
      </c>
      <c r="T8" s="2215" t="str">
        <f t="shared" si="5"/>
        <v>0</v>
      </c>
      <c r="U8" s="179"/>
      <c r="V8" s="180"/>
      <c r="W8" s="180"/>
      <c r="X8" s="2302"/>
      <c r="Y8" s="181"/>
      <c r="Z8" s="182"/>
      <c r="AA8" s="175"/>
      <c r="AB8" s="175"/>
      <c r="AC8" s="2305"/>
      <c r="AD8" s="183"/>
      <c r="AE8" s="970">
        <f t="shared" ca="1" si="6"/>
        <v>0</v>
      </c>
      <c r="AF8" s="140"/>
      <c r="AG8" s="1207">
        <f t="shared" si="7"/>
        <v>0</v>
      </c>
      <c r="AH8" s="140"/>
      <c r="AI8" s="186"/>
      <c r="AJ8" s="187"/>
      <c r="AK8" s="188"/>
      <c r="AL8" s="189"/>
      <c r="AM8" s="2350"/>
      <c r="AN8" s="2352"/>
      <c r="AO8" s="1981"/>
      <c r="AP8" s="1198">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70">
        <f t="shared" ca="1" si="6"/>
        <v>0</v>
      </c>
      <c r="AF9" s="140"/>
      <c r="AG9" s="1207">
        <f t="shared" si="7"/>
        <v>0</v>
      </c>
      <c r="AH9" s="140"/>
      <c r="AI9" s="186"/>
      <c r="AJ9" s="187"/>
      <c r="AK9" s="188"/>
      <c r="AL9" s="189"/>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70">
        <f t="shared" ca="1" si="6"/>
        <v>0</v>
      </c>
      <c r="AF10" s="140"/>
      <c r="AG10" s="1207">
        <f t="shared" si="7"/>
        <v>0</v>
      </c>
      <c r="AH10" s="140"/>
      <c r="AI10" s="186"/>
      <c r="AJ10" s="187"/>
      <c r="AK10" s="188"/>
      <c r="AL10" s="189"/>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70">
        <f t="shared" ca="1" si="6"/>
        <v>0</v>
      </c>
      <c r="AF11" s="140"/>
      <c r="AG11" s="1207">
        <f t="shared" si="7"/>
        <v>0</v>
      </c>
      <c r="AH11" s="140"/>
      <c r="AI11" s="186"/>
      <c r="AJ11" s="187"/>
      <c r="AK11" s="195"/>
      <c r="AL11" s="196"/>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2310</v>
      </c>
      <c r="B14" s="2287" t="s">
        <v>1679</v>
      </c>
      <c r="C14" s="2288" t="s">
        <v>2310</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2"/>
      <c r="V14" s="2301"/>
      <c r="W14" s="2301"/>
      <c r="X14" s="2302"/>
      <c r="Y14" s="2303"/>
      <c r="Z14" s="135"/>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2312</v>
      </c>
      <c r="B15" s="2287" t="s">
        <v>1679</v>
      </c>
      <c r="C15" s="2288" t="s">
        <v>2311</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2"/>
      <c r="V15" s="2301"/>
      <c r="W15" s="2301"/>
      <c r="X15" s="2302"/>
      <c r="Y15" s="2303"/>
      <c r="Z15" s="135"/>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7" t="s">
        <v>262</v>
      </c>
      <c r="B16" s="198"/>
      <c r="C16" s="199"/>
      <c r="D16" s="200"/>
      <c r="E16" s="198"/>
      <c r="F16" s="198"/>
      <c r="G16" s="201">
        <f>ROUND(SUMPRODUCT(G6:G13,K6:K13)/SUMPRODUCT((G6:G13&gt;0)*(K6:K13)),3)</f>
        <v>0.998</v>
      </c>
      <c r="H16" s="202">
        <f>ROUND(SUMPRODUCT(H6:H13,K6:K13)/SUMPRODUCT((H6:H13&gt;0)*(K6:K13)),3)</f>
        <v>4.4999999999999998E-2</v>
      </c>
      <c r="I16" s="203"/>
      <c r="J16" s="203"/>
      <c r="K16" s="204">
        <f>SUM(K6:K15)</f>
        <v>138941.47999999998</v>
      </c>
      <c r="L16" s="205">
        <f>ROUND(M16*10000/SUM(K6:K14),0)</f>
        <v>4000</v>
      </c>
      <c r="M16" s="205">
        <f>SUM(M6:M14)</f>
        <v>55577</v>
      </c>
      <c r="N16" s="206">
        <f>ROUND(SUMPRODUCT(M6:M14,N6:N14)/M16,3)</f>
        <v>0</v>
      </c>
      <c r="O16" s="205">
        <f>SUM(O6:O14)</f>
        <v>0</v>
      </c>
      <c r="P16" s="205">
        <f>SUM(P6:P14)</f>
        <v>55577</v>
      </c>
      <c r="Q16" s="207">
        <f>ROUND(SUMPRODUCT(Q6:Q13,K6:K13)/SUMPRODUCT((Q6:Q13&gt;0)*(K6:K13)),2)</f>
        <v>0.15</v>
      </c>
      <c r="R16" s="2292">
        <f>SUM(R6:R13)</f>
        <v>83137.16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0.95299999999999996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2332</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3</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5" t="s">
        <v>2334</v>
      </c>
      <c r="B27" s="226">
        <v>160</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2335</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2333</v>
      </c>
      <c r="B29" s="231">
        <v>0</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170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1371">
        <v>30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5" t="s">
        <v>278</v>
      </c>
      <c r="B33" s="1372">
        <v>0.05</v>
      </c>
      <c r="C33" s="2325" t="s">
        <v>2884</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0.05</v>
      </c>
      <c r="C34" s="2325" t="s">
        <v>2885</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2886</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2887</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0.03</v>
      </c>
      <c r="C37" s="2325" t="s">
        <v>2888</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0.03</v>
      </c>
      <c r="C38" s="2325" t="s">
        <v>2888</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2889</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2890</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2891</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1" t="s">
        <v>2892</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2" t="s">
        <v>2893</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2" t="s">
        <v>2894</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3" t="s">
        <v>2895</v>
      </c>
      <c r="D53" s="3024" t="s">
        <v>2896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2897</v>
      </c>
      <c r="B54" s="185"/>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2898</v>
      </c>
      <c r="B55" s="185"/>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2899</v>
      </c>
      <c r="B56" s="185"/>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2900</v>
      </c>
      <c r="B57" s="185"/>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2901</v>
      </c>
      <c r="B58" s="185"/>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2902</v>
      </c>
      <c r="B59" s="185">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2903</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2904</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2905</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2906</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1" t="s">
        <v>1663</v>
      </c>
      <c r="B1" s="3302"/>
      <c r="C1" s="3302"/>
      <c r="D1" s="3302"/>
      <c r="E1" s="3302"/>
      <c r="F1" s="3302"/>
      <c r="G1" s="3302"/>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54">
      <c r="A3" s="1221" t="s">
        <v>1666</v>
      </c>
      <c r="B3" s="1222" t="s">
        <v>1653</v>
      </c>
      <c r="C3" s="3176" t="s">
        <v>3043</v>
      </c>
      <c r="D3" s="1990"/>
      <c r="E3" s="1223" t="s">
        <v>1666</v>
      </c>
      <c r="F3" s="1224" t="s">
        <v>1654</v>
      </c>
      <c r="G3" s="3030" t="s">
        <v>2911</v>
      </c>
      <c r="H3" s="1989"/>
      <c r="I3" s="1989"/>
      <c r="J3" s="1989"/>
      <c r="K3" s="1989"/>
      <c r="L3" s="1989"/>
      <c r="M3" s="1989"/>
      <c r="N3" s="1989"/>
      <c r="O3" s="1989"/>
      <c r="P3" s="1989"/>
      <c r="Q3" s="1989"/>
      <c r="R3" s="1989"/>
    </row>
    <row r="4" spans="1:18" ht="40.5">
      <c r="A4" s="1223"/>
      <c r="B4" s="1225" t="s">
        <v>1667</v>
      </c>
      <c r="C4" s="3177" t="s">
        <v>3044</v>
      </c>
      <c r="D4" s="1990"/>
      <c r="E4" s="1226"/>
      <c r="F4" s="1227" t="s">
        <v>1668</v>
      </c>
      <c r="G4" s="3029" t="s">
        <v>2908</v>
      </c>
      <c r="H4" s="1989"/>
      <c r="I4" s="1989"/>
      <c r="J4" s="1989"/>
      <c r="K4" s="1989"/>
      <c r="L4" s="1989"/>
      <c r="M4" s="1989"/>
      <c r="N4" s="1989"/>
      <c r="O4" s="1989"/>
      <c r="P4" s="1989"/>
      <c r="Q4" s="1989"/>
      <c r="R4" s="1989"/>
    </row>
    <row r="5" spans="1:18" ht="41.25">
      <c r="A5" s="1223"/>
      <c r="B5" s="1225" t="s">
        <v>1669</v>
      </c>
      <c r="C5" s="3028" t="s">
        <v>2986</v>
      </c>
      <c r="D5" s="1990"/>
      <c r="E5" s="1226"/>
      <c r="F5" s="1225" t="s">
        <v>2542</v>
      </c>
      <c r="G5" s="3029" t="s">
        <v>2909</v>
      </c>
      <c r="H5" s="1989"/>
      <c r="I5" s="1989"/>
      <c r="J5" s="1989"/>
      <c r="K5" s="1989"/>
      <c r="L5" s="1989"/>
      <c r="M5" s="1989"/>
      <c r="N5" s="1989"/>
      <c r="O5" s="1989"/>
      <c r="P5" s="1989"/>
      <c r="Q5" s="1989"/>
      <c r="R5" s="1989"/>
    </row>
    <row r="6" spans="1:18" ht="54">
      <c r="A6" s="1223"/>
      <c r="B6" s="1225" t="s">
        <v>1655</v>
      </c>
      <c r="C6" s="3178" t="s">
        <v>3045</v>
      </c>
      <c r="D6" s="1990"/>
      <c r="E6" s="1226"/>
      <c r="F6" s="1225" t="s">
        <v>2543</v>
      </c>
      <c r="G6" s="3029" t="s">
        <v>2907</v>
      </c>
      <c r="H6" s="1989"/>
      <c r="I6" s="1989"/>
      <c r="J6" s="1989"/>
      <c r="K6" s="1989"/>
      <c r="L6" s="1989"/>
      <c r="M6" s="1989"/>
      <c r="N6" s="1989"/>
      <c r="O6" s="1989"/>
      <c r="P6" s="1989"/>
      <c r="Q6" s="1989"/>
      <c r="R6" s="1989"/>
    </row>
    <row r="7" spans="1:18" ht="41.25" thickBot="1">
      <c r="A7" s="1223"/>
      <c r="B7" s="1225" t="s">
        <v>2542</v>
      </c>
      <c r="C7" s="3178" t="s">
        <v>3046</v>
      </c>
      <c r="D7" s="1991"/>
      <c r="E7" s="1228"/>
      <c r="F7" s="1229" t="s">
        <v>1670</v>
      </c>
      <c r="G7" s="3031" t="s">
        <v>2910</v>
      </c>
      <c r="H7" s="1989"/>
      <c r="I7" s="1989"/>
      <c r="J7" s="1989"/>
      <c r="K7" s="1989"/>
      <c r="L7" s="1989"/>
      <c r="M7" s="1989"/>
      <c r="N7" s="1989"/>
      <c r="O7" s="1989"/>
      <c r="P7" s="1989"/>
      <c r="Q7" s="1989"/>
      <c r="R7" s="1989"/>
    </row>
    <row r="8" spans="1:18" ht="27">
      <c r="A8" s="1223"/>
      <c r="B8" s="1225" t="s">
        <v>2543</v>
      </c>
      <c r="C8" s="3178" t="s">
        <v>2987</v>
      </c>
      <c r="D8" s="1991"/>
      <c r="E8" s="1991"/>
      <c r="F8" s="1536"/>
      <c r="G8" s="1536"/>
      <c r="H8" s="1989"/>
      <c r="I8" s="1989"/>
      <c r="J8" s="1989"/>
      <c r="K8" s="1989"/>
      <c r="L8" s="1989"/>
      <c r="M8" s="1989"/>
      <c r="N8" s="1989"/>
      <c r="O8" s="1989"/>
      <c r="P8" s="1989"/>
      <c r="Q8" s="1989"/>
      <c r="R8" s="1989"/>
    </row>
    <row r="9" spans="1:18" ht="40.5">
      <c r="A9" s="1223"/>
      <c r="B9" s="1225" t="s">
        <v>1656</v>
      </c>
      <c r="C9" s="3177" t="s">
        <v>3651</v>
      </c>
      <c r="D9" s="1990"/>
      <c r="E9" s="1991"/>
      <c r="F9" s="1536"/>
      <c r="G9" s="1536"/>
      <c r="H9" s="1989"/>
      <c r="I9" s="1989"/>
      <c r="J9" s="1989"/>
      <c r="K9" s="1989"/>
      <c r="L9" s="1989"/>
      <c r="M9" s="1989"/>
      <c r="N9" s="1989"/>
      <c r="O9" s="1989"/>
      <c r="P9" s="1989"/>
      <c r="Q9" s="1989"/>
      <c r="R9" s="1989"/>
    </row>
    <row r="10" spans="1:18" s="1997" customFormat="1" ht="14.25" thickBot="1">
      <c r="A10" s="1230"/>
      <c r="B10" s="1231" t="s">
        <v>1671</v>
      </c>
      <c r="C10" s="3179" t="s">
        <v>3048</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67.5">
      <c r="A15" s="2548" t="s">
        <v>1657</v>
      </c>
      <c r="B15" s="1236" t="s">
        <v>1653</v>
      </c>
      <c r="C15" s="1237" t="str">
        <f>C3</f>
        <v>估价对象周边居住用地比例较小、居住小区规模和社区发展完善程度一般，综合评价居住社区成熟度一般</v>
      </c>
      <c r="D15" s="1990"/>
      <c r="E15" s="2545" t="s">
        <v>1658</v>
      </c>
      <c r="F15" s="1236" t="s">
        <v>1673</v>
      </c>
      <c r="G15" s="1238" t="str">
        <f>G3</f>
        <v>估价对象位于XX开发区，园区建设成熟度XX，产业集聚程度XX</v>
      </c>
    </row>
    <row r="16" spans="1:18" ht="40.5">
      <c r="A16" s="2549"/>
      <c r="B16" s="1239" t="s">
        <v>1667</v>
      </c>
      <c r="C16" s="1240" t="str">
        <f>C4</f>
        <v>周边商业氛围较差，人流量一般，商业繁华度一般</v>
      </c>
      <c r="D16" s="1990"/>
      <c r="E16" s="2546"/>
      <c r="F16" s="1241" t="s">
        <v>1668</v>
      </c>
      <c r="G16" s="1003" t="str">
        <f>G4</f>
        <v>估价对象周边道路状况、公共交通通达情况、停车便捷程度，综合评价交通便捷度较好</v>
      </c>
    </row>
    <row r="17" spans="1:7" ht="40.5">
      <c r="A17" s="2549"/>
      <c r="B17" s="1239" t="s">
        <v>1669</v>
      </c>
      <c r="C17" s="1240" t="str">
        <f>C5</f>
        <v>估价对象位于XX商圈，周边办公楼项目较多，入驻率高，办公集聚程度较好</v>
      </c>
      <c r="D17" s="1991"/>
      <c r="E17" s="2546"/>
      <c r="F17" s="1241" t="s">
        <v>1674</v>
      </c>
      <c r="G17" s="2746"/>
    </row>
    <row r="18" spans="1:7" ht="54">
      <c r="A18" s="2549"/>
      <c r="B18" s="1241" t="s">
        <v>1655</v>
      </c>
      <c r="C18" s="1003" t="str">
        <f>C6</f>
        <v>估价对象周边道路状况较通达、公共交通通达情况一般、停车较便捷，综合评价交通便捷度一般</v>
      </c>
      <c r="D18" s="1991"/>
      <c r="E18" s="2546"/>
      <c r="F18" s="1241" t="s">
        <v>1670</v>
      </c>
      <c r="G18" s="1003" t="str">
        <f>G7</f>
        <v>该园区内是否有污染型企业，绿化情况，卫生条件，整体环境状况判断</v>
      </c>
    </row>
    <row r="19" spans="1:7" ht="27">
      <c r="A19" s="2549"/>
      <c r="B19" s="1241" t="s">
        <v>1659</v>
      </c>
      <c r="C19" s="3180" t="s">
        <v>2989</v>
      </c>
      <c r="D19" s="1990"/>
      <c r="E19" s="2546"/>
      <c r="F19" s="1225" t="s">
        <v>2542</v>
      </c>
      <c r="G19" s="1003" t="str">
        <f>G5</f>
        <v>估价对象所在区域公共配套设施齐备情况</v>
      </c>
    </row>
    <row r="20" spans="1:7" ht="40.5">
      <c r="A20" s="2549"/>
      <c r="B20" s="1241" t="s">
        <v>1660</v>
      </c>
      <c r="C20" s="1240" t="str">
        <f>C9</f>
        <v>区域自然环境较好；人文环境一般；综合评价环境状况较好</v>
      </c>
      <c r="D20" s="1991"/>
      <c r="E20" s="2546"/>
      <c r="F20" s="1225" t="s">
        <v>2543</v>
      </c>
      <c r="G20" s="1003" t="str">
        <f>G6</f>
        <v>估价对象所在区域基础设施水平</v>
      </c>
    </row>
    <row r="21" spans="1:7" ht="27">
      <c r="A21" s="2549"/>
      <c r="B21" s="1225" t="s">
        <v>2542</v>
      </c>
      <c r="C21" s="1003" t="str">
        <f>C7</f>
        <v>估价对象所在区域公共配套设施程度一般</v>
      </c>
      <c r="D21" s="1990"/>
      <c r="E21" s="2546"/>
      <c r="F21" s="1241" t="s">
        <v>1661</v>
      </c>
      <c r="G21" s="3032"/>
    </row>
    <row r="22" spans="1:7" ht="27">
      <c r="A22" s="2549"/>
      <c r="B22" s="1225" t="s">
        <v>2543</v>
      </c>
      <c r="C22" s="1003" t="str">
        <f>C8</f>
        <v>估价对象所在区域基础设施水平七通</v>
      </c>
      <c r="D22" s="1990"/>
      <c r="E22" s="2546"/>
      <c r="F22" s="1241" t="s">
        <v>1671</v>
      </c>
      <c r="G22" s="2746"/>
    </row>
    <row r="23" spans="1:7" ht="15" thickBot="1">
      <c r="A23" s="2549"/>
      <c r="B23" s="1241" t="s">
        <v>1661</v>
      </c>
      <c r="C23" s="3032" t="s">
        <v>2990</v>
      </c>
      <c r="E23" s="2547"/>
      <c r="F23" s="1242" t="s">
        <v>1675</v>
      </c>
      <c r="G23" s="3033"/>
    </row>
    <row r="24" spans="1:7" ht="14.25" thickBot="1">
      <c r="A24" s="2550"/>
      <c r="B24" s="1242" t="s">
        <v>1662</v>
      </c>
      <c r="C24" s="1243" t="str">
        <f>C10</f>
        <v>主干道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C14" sqref="C14:C16"/>
    </sheetView>
  </sheetViews>
  <sheetFormatPr defaultColWidth="14.625" defaultRowHeight="13.5"/>
  <cols>
    <col min="1" max="1" width="24.375" customWidth="1"/>
  </cols>
  <sheetData>
    <row r="1" spans="1:9" ht="16.5">
      <c r="A1" s="2992" t="s">
        <v>2838</v>
      </c>
      <c r="B1" s="2992">
        <f>SUM(B14:B23)</f>
        <v>251614.22999999998</v>
      </c>
      <c r="C1" s="2993"/>
      <c r="D1" s="2993"/>
      <c r="E1" s="2993"/>
      <c r="F1" s="2993"/>
    </row>
    <row r="2" spans="1:9" ht="16.5">
      <c r="A2" s="2992" t="s">
        <v>2839</v>
      </c>
      <c r="B2" s="2992">
        <f>SUM(C14:C23)</f>
        <v>184764.5</v>
      </c>
      <c r="C2" s="2993"/>
      <c r="D2" s="2993"/>
      <c r="E2" s="2993"/>
      <c r="F2" s="2993"/>
    </row>
    <row r="3" spans="1:9" ht="16.5">
      <c r="A3" s="2992" t="s">
        <v>2840</v>
      </c>
      <c r="B3" s="2994">
        <f>项目基本情况!D3</f>
        <v>43833</v>
      </c>
      <c r="C3" s="2993"/>
      <c r="D3" s="2993"/>
      <c r="E3" s="2993"/>
      <c r="F3" s="2993"/>
    </row>
    <row r="4" spans="1:9" ht="33">
      <c r="A4" s="2992" t="s">
        <v>2841</v>
      </c>
      <c r="B4" s="2992" t="s">
        <v>2842</v>
      </c>
      <c r="C4" s="2992" t="s">
        <v>2843</v>
      </c>
      <c r="D4" s="2992" t="s">
        <v>2844</v>
      </c>
      <c r="E4" s="2993"/>
      <c r="F4" s="2993"/>
    </row>
    <row r="5" spans="1:9" ht="16.5">
      <c r="A5" s="2992" t="s">
        <v>2845</v>
      </c>
      <c r="B5" s="2992">
        <f ca="1">SUM(D14:D23)</f>
        <v>620926</v>
      </c>
      <c r="C5" s="2992">
        <f ca="1">ROUND(B5*10000/$B$1,0)</f>
        <v>24678</v>
      </c>
      <c r="D5" s="2992">
        <f ca="1">ROUND(B5*10000/$B$2,0)</f>
        <v>33606</v>
      </c>
      <c r="E5" s="2993"/>
      <c r="F5" s="2993"/>
    </row>
    <row r="6" spans="1:9" ht="16.5">
      <c r="A6" s="2992" t="s">
        <v>2846</v>
      </c>
      <c r="B6" s="2992">
        <f ca="1">SUM(G14:G23)</f>
        <v>620926</v>
      </c>
      <c r="C6" s="2992">
        <f t="shared" ref="C6:C8" ca="1" si="0">ROUND(B6*10000/$B$1,0)</f>
        <v>24678</v>
      </c>
      <c r="D6" s="2992">
        <f t="shared" ref="D6:D8" ca="1" si="1">ROUND(B6*10000/$B$2,0)</f>
        <v>33606</v>
      </c>
      <c r="E6" s="2993"/>
      <c r="F6" s="2993"/>
    </row>
    <row r="7" spans="1:9" ht="16.5">
      <c r="A7" s="2992" t="s">
        <v>2847</v>
      </c>
      <c r="B7" s="2992">
        <f>SUM(H14:H23)</f>
        <v>0</v>
      </c>
      <c r="C7" s="2992">
        <f t="shared" si="0"/>
        <v>0</v>
      </c>
      <c r="D7" s="2992">
        <f t="shared" si="1"/>
        <v>0</v>
      </c>
      <c r="E7" s="2993"/>
      <c r="F7" s="2993"/>
    </row>
    <row r="8" spans="1:9" ht="16.5">
      <c r="A8" s="2992" t="s">
        <v>2848</v>
      </c>
      <c r="B8" s="2992">
        <f>SUM(I14:I23)</f>
        <v>0</v>
      </c>
      <c r="C8" s="2992">
        <f t="shared" si="0"/>
        <v>0</v>
      </c>
      <c r="D8" s="2992">
        <f t="shared" si="1"/>
        <v>0</v>
      </c>
      <c r="E8" s="2993"/>
      <c r="F8" s="2993"/>
    </row>
    <row r="9" spans="1:9" ht="16.5">
      <c r="A9" s="2992" t="s">
        <v>2849</v>
      </c>
      <c r="B9" s="2995"/>
      <c r="C9" s="2993"/>
      <c r="D9" s="2993"/>
      <c r="E9" s="2993"/>
      <c r="F9" s="2993"/>
    </row>
    <row r="10" spans="1:9" ht="16.5">
      <c r="A10" s="2992" t="s">
        <v>2850</v>
      </c>
      <c r="B10" s="2995"/>
      <c r="C10" s="2993"/>
      <c r="D10" s="2993"/>
      <c r="E10" s="2993"/>
      <c r="F10" s="2993"/>
    </row>
    <row r="11" spans="1:9" ht="16.5">
      <c r="A11" s="2992" t="s">
        <v>2867</v>
      </c>
      <c r="B11" s="2995"/>
      <c r="C11" s="2993"/>
      <c r="D11" s="2993"/>
      <c r="E11" s="2993"/>
      <c r="F11" s="2993"/>
    </row>
    <row r="12" spans="1:9" ht="16.5">
      <c r="A12" s="2993"/>
      <c r="B12" s="2993"/>
      <c r="C12" s="2993"/>
      <c r="D12" s="2993"/>
      <c r="E12" s="2993"/>
      <c r="F12" s="2993"/>
    </row>
    <row r="13" spans="1:9" ht="33">
      <c r="A13" s="2998" t="s">
        <v>2866</v>
      </c>
      <c r="B13" s="2996" t="s">
        <v>2838</v>
      </c>
      <c r="C13" s="2996" t="s">
        <v>2839</v>
      </c>
      <c r="D13" s="2996" t="s">
        <v>2851</v>
      </c>
      <c r="E13" s="2992" t="s">
        <v>2865</v>
      </c>
      <c r="F13" s="2992" t="s">
        <v>2844</v>
      </c>
      <c r="G13" s="2996" t="s">
        <v>2852</v>
      </c>
      <c r="H13" s="2996" t="s">
        <v>2853</v>
      </c>
      <c r="I13" s="2996" t="s">
        <v>2854</v>
      </c>
    </row>
    <row r="14" spans="1:9" ht="16.5">
      <c r="A14" s="2999" t="s">
        <v>2864</v>
      </c>
      <c r="B14" s="2996">
        <f>结果表!L38</f>
        <v>138941.47999999998</v>
      </c>
      <c r="C14" s="2996">
        <f>结果表!K38</f>
        <v>83137.16</v>
      </c>
      <c r="D14" s="2996">
        <f ca="1">结果表!C42</f>
        <v>433477</v>
      </c>
      <c r="E14" s="2996">
        <f ca="1">ROUND(D14*10000/B14,0)</f>
        <v>31199</v>
      </c>
      <c r="F14" s="2996">
        <f ca="1">ROUND(D14*10000/C14,0)</f>
        <v>52140</v>
      </c>
      <c r="G14" s="2996">
        <f ca="1">结果表!C44</f>
        <v>433477</v>
      </c>
      <c r="H14" s="2996" t="str">
        <f>结果表!C45</f>
        <v>——</v>
      </c>
      <c r="I14" s="2996" t="str">
        <f>结果表!C46</f>
        <v>——</v>
      </c>
    </row>
    <row r="15" spans="1:9" ht="16.5">
      <c r="A15" s="2999" t="s">
        <v>2855</v>
      </c>
      <c r="B15" s="3205">
        <f>[2]系统读取表!$B$14</f>
        <v>20000</v>
      </c>
      <c r="C15" s="3205">
        <f>[2]系统读取表!$C$14</f>
        <v>59170.52</v>
      </c>
      <c r="D15" s="3205">
        <f ca="1">[2]系统读取表!$G$14</f>
        <v>53377</v>
      </c>
      <c r="E15" s="2996">
        <f t="shared" ref="E15:E23" ca="1" si="2">ROUND(D15*10000/B15,0)</f>
        <v>26689</v>
      </c>
      <c r="F15" s="2996">
        <f t="shared" ref="F15:F23" ca="1" si="3">ROUND(D15*10000/C15,0)</f>
        <v>9021</v>
      </c>
      <c r="G15" s="3206">
        <f ca="1">D15</f>
        <v>53377</v>
      </c>
      <c r="H15" s="2997"/>
      <c r="I15" s="3000"/>
    </row>
    <row r="16" spans="1:9" ht="16.5">
      <c r="A16" s="2999" t="s">
        <v>2856</v>
      </c>
      <c r="B16" s="3205">
        <f>[3]系统读取表!$B$14</f>
        <v>92672.75</v>
      </c>
      <c r="C16" s="3205">
        <f>[3]系统读取表!$C$14</f>
        <v>42456.82</v>
      </c>
      <c r="D16" s="3213">
        <f ca="1">[3]系统读取表!$G$14</f>
        <v>134072</v>
      </c>
      <c r="E16" s="2996">
        <f t="shared" ca="1" si="2"/>
        <v>14467</v>
      </c>
      <c r="F16" s="2996">
        <f t="shared" ca="1" si="3"/>
        <v>31578</v>
      </c>
      <c r="G16" s="3206">
        <f ca="1">D16</f>
        <v>134072</v>
      </c>
      <c r="H16" s="2997"/>
      <c r="I16" s="3000"/>
    </row>
    <row r="17" spans="1:9" ht="16.5">
      <c r="A17" s="2999" t="s">
        <v>2857</v>
      </c>
      <c r="B17" s="3000"/>
      <c r="C17" s="3000"/>
      <c r="D17" s="3000"/>
      <c r="E17" s="2996" t="e">
        <f t="shared" si="2"/>
        <v>#DIV/0!</v>
      </c>
      <c r="F17" s="2996" t="e">
        <f t="shared" si="3"/>
        <v>#DIV/0!</v>
      </c>
      <c r="G17" s="2997"/>
      <c r="H17" s="2997"/>
      <c r="I17" s="3000"/>
    </row>
    <row r="18" spans="1:9" ht="16.5">
      <c r="A18" s="2999" t="s">
        <v>2858</v>
      </c>
      <c r="B18" s="3000"/>
      <c r="C18" s="3000"/>
      <c r="D18" s="3000"/>
      <c r="E18" s="2996" t="e">
        <f t="shared" si="2"/>
        <v>#DIV/0!</v>
      </c>
      <c r="F18" s="2996" t="e">
        <f t="shared" si="3"/>
        <v>#DIV/0!</v>
      </c>
      <c r="G18" s="3000"/>
      <c r="H18" s="3000"/>
      <c r="I18" s="3000"/>
    </row>
    <row r="19" spans="1:9" ht="16.5">
      <c r="A19" s="2999" t="s">
        <v>2859</v>
      </c>
      <c r="B19" s="3000"/>
      <c r="C19" s="3000"/>
      <c r="D19" s="3000"/>
      <c r="E19" s="2996" t="e">
        <f t="shared" si="2"/>
        <v>#DIV/0!</v>
      </c>
      <c r="F19" s="2996" t="e">
        <f t="shared" si="3"/>
        <v>#DIV/0!</v>
      </c>
      <c r="G19" s="3000"/>
      <c r="H19" s="3000"/>
      <c r="I19" s="3000"/>
    </row>
    <row r="20" spans="1:9" ht="16.5">
      <c r="A20" s="2999" t="s">
        <v>2860</v>
      </c>
      <c r="B20" s="3000"/>
      <c r="C20" s="3000"/>
      <c r="D20" s="3000"/>
      <c r="E20" s="2996" t="e">
        <f t="shared" si="2"/>
        <v>#DIV/0!</v>
      </c>
      <c r="F20" s="2996" t="e">
        <f t="shared" si="3"/>
        <v>#DIV/0!</v>
      </c>
      <c r="G20" s="3000"/>
      <c r="H20" s="3000"/>
      <c r="I20" s="3000"/>
    </row>
    <row r="21" spans="1:9" ht="16.5">
      <c r="A21" s="2999" t="s">
        <v>2861</v>
      </c>
      <c r="B21" s="3000"/>
      <c r="C21" s="3000"/>
      <c r="D21" s="3000"/>
      <c r="E21" s="2996" t="e">
        <f t="shared" si="2"/>
        <v>#DIV/0!</v>
      </c>
      <c r="F21" s="2996" t="e">
        <f t="shared" si="3"/>
        <v>#DIV/0!</v>
      </c>
      <c r="G21" s="3000"/>
      <c r="H21" s="3000"/>
      <c r="I21" s="3000"/>
    </row>
    <row r="22" spans="1:9" ht="16.5">
      <c r="A22" s="2999" t="s">
        <v>2862</v>
      </c>
      <c r="B22" s="3000"/>
      <c r="C22" s="3000"/>
      <c r="D22" s="3000"/>
      <c r="E22" s="2996" t="e">
        <f t="shared" si="2"/>
        <v>#DIV/0!</v>
      </c>
      <c r="F22" s="2996" t="e">
        <f t="shared" si="3"/>
        <v>#DIV/0!</v>
      </c>
      <c r="G22" s="3000"/>
      <c r="H22" s="3000"/>
      <c r="I22" s="3000"/>
    </row>
    <row r="23" spans="1:9" ht="16.5">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2051</v>
      </c>
      <c r="B1" s="1758"/>
      <c r="C1" s="1786" t="s">
        <v>2052</v>
      </c>
      <c r="D1" s="1787" t="s">
        <v>3674</v>
      </c>
      <c r="E1" s="1786" t="s">
        <v>2053</v>
      </c>
      <c r="F1" s="1788" t="s">
        <v>3675</v>
      </c>
      <c r="G1" s="309"/>
      <c r="H1" s="309"/>
      <c r="I1" s="309"/>
      <c r="J1" s="2010"/>
      <c r="K1" s="2010"/>
      <c r="L1" s="2010"/>
      <c r="M1" s="2010"/>
      <c r="N1" s="2010"/>
      <c r="O1" s="2010"/>
      <c r="P1" s="2010"/>
      <c r="Q1" s="2010"/>
      <c r="R1" s="2010"/>
      <c r="S1" s="2010"/>
      <c r="T1" s="2010"/>
      <c r="U1" s="2010"/>
      <c r="V1" s="2010"/>
    </row>
    <row r="2" spans="1:22" ht="21.75" customHeight="1" thickBot="1">
      <c r="A2" s="3339" t="str">
        <f>项目基本情况!K2</f>
        <v>北京市海淀区地铁16号线北安河 车辆段综合利用项目HD00-0700-0001、0002、0003、0004地块A334托幼用地、F3其他类多功能用地、R2二类居住用地项目（现状结构转换层）出让国有建设用地使用权</v>
      </c>
      <c r="B2" s="3340"/>
      <c r="C2" s="3341"/>
      <c r="D2" s="3341"/>
      <c r="E2" s="3341"/>
      <c r="F2" s="3341"/>
      <c r="G2" s="3340"/>
      <c r="H2" s="3340"/>
      <c r="I2" s="3342"/>
      <c r="J2" s="2011"/>
      <c r="K2" s="2010"/>
      <c r="L2" s="2010"/>
      <c r="M2" s="2010"/>
      <c r="N2" s="2010"/>
      <c r="O2" s="2010"/>
      <c r="P2" s="2010"/>
      <c r="Q2" s="2010"/>
      <c r="R2" s="2010"/>
      <c r="S2" s="2010"/>
      <c r="T2" s="2010"/>
      <c r="U2" s="2010"/>
      <c r="V2" s="2010"/>
    </row>
    <row r="3" spans="1:22" ht="14.25">
      <c r="A3" s="3332" t="s">
        <v>298</v>
      </c>
      <c r="B3" s="3333"/>
      <c r="C3" s="3333"/>
      <c r="D3" s="3333"/>
      <c r="E3" s="3333"/>
      <c r="F3" s="3333"/>
      <c r="G3" s="3333"/>
      <c r="H3" s="3333"/>
      <c r="I3" s="3333"/>
      <c r="J3" s="2011"/>
      <c r="K3" s="2010"/>
      <c r="L3" s="2010"/>
      <c r="M3" s="2010"/>
      <c r="N3" s="2010"/>
      <c r="O3" s="2010"/>
      <c r="P3" s="2010"/>
      <c r="Q3" s="2010"/>
      <c r="R3" s="2010"/>
      <c r="S3" s="2010"/>
      <c r="T3" s="2010"/>
      <c r="U3" s="2010"/>
      <c r="V3" s="2010"/>
    </row>
    <row r="4" spans="1:22" ht="14.25">
      <c r="A4" s="257" t="s">
        <v>299</v>
      </c>
      <c r="B4" s="258" t="s">
        <v>300</v>
      </c>
      <c r="C4" s="259" t="s">
        <v>3676</v>
      </c>
      <c r="D4" s="259" t="s">
        <v>3677</v>
      </c>
      <c r="E4" s="3304" t="s">
        <v>301</v>
      </c>
      <c r="F4" s="3305"/>
      <c r="G4" s="3305"/>
      <c r="H4" s="3305"/>
      <c r="I4" s="3334"/>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03" t="s">
        <v>302</v>
      </c>
      <c r="B5" s="3329">
        <v>25</v>
      </c>
      <c r="C5" s="3327"/>
      <c r="D5" s="3331"/>
      <c r="E5" s="260" t="s">
        <v>303</v>
      </c>
      <c r="F5" s="261"/>
      <c r="G5" s="261"/>
      <c r="H5" s="261"/>
      <c r="I5" s="262"/>
      <c r="J5" s="2011"/>
      <c r="K5" s="2010"/>
      <c r="L5" s="2010"/>
      <c r="M5" s="2010"/>
      <c r="N5" s="2010"/>
      <c r="O5" s="2010"/>
      <c r="P5" s="2010"/>
      <c r="Q5" s="2010"/>
      <c r="R5" s="2010"/>
      <c r="S5" s="2010"/>
      <c r="T5" s="2010"/>
      <c r="U5" s="2010"/>
      <c r="V5" s="2010"/>
    </row>
    <row r="6" spans="1:22" ht="14.25">
      <c r="A6" s="3303"/>
      <c r="B6" s="3329"/>
      <c r="C6" s="3330"/>
      <c r="D6" s="3331"/>
      <c r="E6" s="260" t="s">
        <v>304</v>
      </c>
      <c r="F6" s="261"/>
      <c r="G6" s="261"/>
      <c r="H6" s="261"/>
      <c r="I6" s="262"/>
      <c r="J6" s="2011"/>
      <c r="K6" s="2010"/>
      <c r="L6" s="2010"/>
      <c r="M6" s="2010"/>
      <c r="N6" s="2010"/>
      <c r="O6" s="2010"/>
      <c r="P6" s="2010"/>
      <c r="Q6" s="2010"/>
      <c r="R6" s="2010"/>
      <c r="S6" s="2010"/>
      <c r="T6" s="2010"/>
      <c r="U6" s="2010"/>
      <c r="V6" s="2010"/>
    </row>
    <row r="7" spans="1:22" ht="14.25">
      <c r="A7" s="3303"/>
      <c r="B7" s="3329"/>
      <c r="C7" s="3328"/>
      <c r="D7" s="3331"/>
      <c r="E7" s="260" t="s">
        <v>305</v>
      </c>
      <c r="F7" s="261"/>
      <c r="G7" s="261"/>
      <c r="H7" s="261"/>
      <c r="I7" s="262"/>
      <c r="J7" s="2011"/>
      <c r="K7" s="2010"/>
      <c r="L7" s="2010"/>
      <c r="M7" s="2010"/>
      <c r="N7" s="2010"/>
      <c r="O7" s="2010"/>
      <c r="P7" s="2010"/>
      <c r="Q7" s="2010"/>
      <c r="R7" s="2010"/>
      <c r="S7" s="2010"/>
      <c r="T7" s="2010"/>
      <c r="U7" s="2010"/>
      <c r="V7" s="2010"/>
    </row>
    <row r="8" spans="1:22" ht="14.25">
      <c r="A8" s="3303" t="s">
        <v>306</v>
      </c>
      <c r="B8" s="3329">
        <v>15</v>
      </c>
      <c r="C8" s="3327"/>
      <c r="D8" s="3331"/>
      <c r="E8" s="260" t="s">
        <v>307</v>
      </c>
      <c r="F8" s="261"/>
      <c r="G8" s="261"/>
      <c r="H8" s="261"/>
      <c r="I8" s="262"/>
      <c r="J8" s="2011"/>
      <c r="K8" s="2010"/>
      <c r="L8" s="2010"/>
      <c r="M8" s="2010"/>
      <c r="N8" s="2010"/>
      <c r="O8" s="2010"/>
      <c r="P8" s="2010"/>
      <c r="Q8" s="2010"/>
      <c r="R8" s="2010"/>
      <c r="S8" s="2010"/>
      <c r="T8" s="2010"/>
      <c r="U8" s="2010"/>
      <c r="V8" s="2010"/>
    </row>
    <row r="9" spans="1:22" ht="14.25">
      <c r="A9" s="3303"/>
      <c r="B9" s="3329"/>
      <c r="C9" s="3328"/>
      <c r="D9" s="3331"/>
      <c r="E9" s="260" t="s">
        <v>308</v>
      </c>
      <c r="F9" s="261"/>
      <c r="G9" s="261"/>
      <c r="H9" s="261"/>
      <c r="I9" s="262"/>
      <c r="J9" s="2011"/>
      <c r="K9" s="2010"/>
      <c r="L9" s="2010"/>
      <c r="M9" s="2010"/>
      <c r="N9" s="2010"/>
      <c r="O9" s="2010"/>
      <c r="P9" s="2010"/>
      <c r="Q9" s="2010"/>
      <c r="R9" s="2010"/>
      <c r="S9" s="2010"/>
      <c r="T9" s="2010"/>
      <c r="U9" s="2010"/>
      <c r="V9" s="2010"/>
    </row>
    <row r="10" spans="1:22" ht="14.25">
      <c r="A10" s="3303" t="s">
        <v>309</v>
      </c>
      <c r="B10" s="3329">
        <v>15</v>
      </c>
      <c r="C10" s="3327"/>
      <c r="D10" s="3331"/>
      <c r="E10" s="260" t="s">
        <v>310</v>
      </c>
      <c r="F10" s="261"/>
      <c r="G10" s="261"/>
      <c r="H10" s="261"/>
      <c r="I10" s="262"/>
      <c r="J10" s="2011"/>
      <c r="K10" s="2010"/>
      <c r="L10" s="2010"/>
      <c r="M10" s="2010"/>
      <c r="N10" s="2010"/>
      <c r="O10" s="2010"/>
      <c r="P10" s="2010"/>
      <c r="Q10" s="2010"/>
      <c r="R10" s="2010"/>
      <c r="S10" s="2010"/>
      <c r="T10" s="2010"/>
      <c r="U10" s="2010"/>
      <c r="V10" s="2010"/>
    </row>
    <row r="11" spans="1:22" ht="14.25">
      <c r="A11" s="3303"/>
      <c r="B11" s="3329"/>
      <c r="C11" s="3328"/>
      <c r="D11" s="3331"/>
      <c r="E11" s="260" t="s">
        <v>311</v>
      </c>
      <c r="F11" s="261"/>
      <c r="G11" s="261"/>
      <c r="H11" s="261"/>
      <c r="I11" s="262"/>
      <c r="J11" s="2011"/>
      <c r="K11" s="2010"/>
      <c r="L11" s="2010"/>
      <c r="M11" s="2010"/>
      <c r="N11" s="2010"/>
      <c r="O11" s="2010"/>
      <c r="P11" s="2010"/>
      <c r="Q11" s="2010"/>
      <c r="R11" s="2010"/>
      <c r="S11" s="2010"/>
      <c r="T11" s="2010"/>
      <c r="U11" s="2010"/>
      <c r="V11" s="2010"/>
    </row>
    <row r="12" spans="1:22" ht="14.25">
      <c r="A12" s="3303" t="s">
        <v>312</v>
      </c>
      <c r="B12" s="3329">
        <v>15</v>
      </c>
      <c r="C12" s="3327"/>
      <c r="D12" s="3331"/>
      <c r="E12" s="260" t="s">
        <v>313</v>
      </c>
      <c r="F12" s="261"/>
      <c r="G12" s="261"/>
      <c r="H12" s="261"/>
      <c r="I12" s="262"/>
      <c r="J12" s="2011"/>
      <c r="K12" s="2010"/>
      <c r="L12" s="2010"/>
      <c r="M12" s="2010"/>
      <c r="N12" s="2010"/>
      <c r="O12" s="2010"/>
      <c r="P12" s="2010"/>
      <c r="Q12" s="2010"/>
      <c r="R12" s="2010"/>
      <c r="S12" s="2010"/>
      <c r="T12" s="2010"/>
      <c r="U12" s="2010"/>
      <c r="V12" s="2010"/>
    </row>
    <row r="13" spans="1:22" ht="14.25">
      <c r="A13" s="3303"/>
      <c r="B13" s="3329"/>
      <c r="C13" s="3328"/>
      <c r="D13" s="3331"/>
      <c r="E13" s="260" t="s">
        <v>314</v>
      </c>
      <c r="F13" s="261"/>
      <c r="G13" s="261"/>
      <c r="H13" s="261"/>
      <c r="I13" s="262"/>
      <c r="J13" s="2011"/>
      <c r="K13" s="2010"/>
      <c r="L13" s="2010"/>
      <c r="M13" s="2010"/>
      <c r="N13" s="2010"/>
      <c r="O13" s="2010"/>
      <c r="P13" s="2010"/>
      <c r="Q13" s="2010"/>
      <c r="R13" s="2010"/>
      <c r="S13" s="2010"/>
      <c r="T13" s="2010"/>
      <c r="U13" s="2010"/>
      <c r="V13" s="2010"/>
    </row>
    <row r="14" spans="1:22" ht="14.25">
      <c r="A14" s="3303" t="s">
        <v>315</v>
      </c>
      <c r="B14" s="3329">
        <v>30</v>
      </c>
      <c r="C14" s="3327">
        <v>5</v>
      </c>
      <c r="D14" s="3331">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03"/>
      <c r="B15" s="3329"/>
      <c r="C15" s="3330"/>
      <c r="D15" s="3331"/>
      <c r="E15" s="260" t="s">
        <v>317</v>
      </c>
      <c r="F15" s="261"/>
      <c r="G15" s="261"/>
      <c r="H15" s="261"/>
      <c r="I15" s="262"/>
      <c r="J15" s="2011"/>
      <c r="K15" s="2010"/>
      <c r="L15" s="2010"/>
      <c r="M15" s="2010"/>
      <c r="N15" s="2010"/>
      <c r="O15" s="2010"/>
      <c r="P15" s="2010"/>
      <c r="Q15" s="2010"/>
      <c r="R15" s="2010"/>
      <c r="S15" s="2010"/>
      <c r="T15" s="2010"/>
      <c r="U15" s="2010"/>
      <c r="V15" s="2010"/>
    </row>
    <row r="16" spans="1:22" ht="14.25">
      <c r="A16" s="3303"/>
      <c r="B16" s="3329"/>
      <c r="C16" s="3328"/>
      <c r="D16" s="3331"/>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5</v>
      </c>
      <c r="D17" s="264">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5" t="s">
        <v>320</v>
      </c>
      <c r="B18" s="104"/>
      <c r="C18" s="266">
        <f>ROUND(C17/SUM(C17:D17),2)</f>
        <v>0.5</v>
      </c>
      <c r="D18" s="266">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408530</v>
      </c>
      <c r="D19" s="269">
        <f ca="1">SUMIF(INDIRECT("'"&amp;D4&amp;"'"&amp;"!A:A"),结果表!B19,INDIRECT("'"&amp;D4&amp;"'"&amp;"!B:B"))</f>
        <v>458423</v>
      </c>
      <c r="E19" s="267" t="s">
        <v>323</v>
      </c>
      <c r="F19" s="268" t="s">
        <v>322</v>
      </c>
      <c r="G19" s="270">
        <f ca="1">ROUND(C19*$C$18+D19*$D$18,0)</f>
        <v>433477</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29403</v>
      </c>
      <c r="D20" s="275">
        <f ca="1">SUMIF(INDIRECT("'"&amp;D4&amp;"'"&amp;"!A:A"),结果表!B20,INDIRECT("'"&amp;D4&amp;"'"&amp;"!B:B"))</f>
        <v>32994</v>
      </c>
      <c r="E20" s="272"/>
      <c r="F20" s="273" t="s">
        <v>325</v>
      </c>
      <c r="G20" s="276">
        <f ca="1">ROUND(C20*$C$18+D20*$D$18,0)</f>
        <v>31199</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49139</v>
      </c>
      <c r="D21" s="150">
        <f ca="1">SUMIF(INDIRECT("'"&amp;D4&amp;"'"&amp;"!A:A"),结果表!B21,INDIRECT("'"&amp;D4&amp;"'"&amp;"!B:B"))</f>
        <v>55141</v>
      </c>
      <c r="E21" s="272"/>
      <c r="F21" s="278" t="s">
        <v>327</v>
      </c>
      <c r="G21" s="280">
        <f ca="1">ROUND(C21*$C$18+D21*$D$18,0)</f>
        <v>52140</v>
      </c>
      <c r="H21" s="1245" t="s">
        <v>326</v>
      </c>
      <c r="I21" s="309"/>
      <c r="J21" s="2010"/>
      <c r="K21" s="2010"/>
      <c r="L21" s="2010"/>
      <c r="M21" s="2010"/>
      <c r="N21" s="2010"/>
      <c r="O21" s="2010"/>
      <c r="P21" s="2010"/>
      <c r="Q21" s="2010"/>
      <c r="R21" s="2010"/>
      <c r="S21" s="2010"/>
      <c r="T21" s="2010"/>
      <c r="U21" s="2010"/>
      <c r="V21" s="2010"/>
    </row>
    <row r="22" spans="1:26" ht="15.75" thickBot="1">
      <c r="A22" s="125" t="s">
        <v>328</v>
      </c>
      <c r="B22" s="1246"/>
      <c r="C22" s="1247"/>
      <c r="D22" s="281">
        <f ca="1">IF(C19&lt;D19,D19/C19-1,C19/D19-1)</f>
        <v>0.12212811788607936</v>
      </c>
      <c r="E22" s="282"/>
      <c r="F22" s="283"/>
      <c r="G22" s="284">
        <f ca="1">ROUND(G19/('数据-汇总表'!D3/666.67),0)</f>
        <v>3476</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9" t="s">
        <v>330</v>
      </c>
      <c r="B24" s="268"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10"/>
      <c r="B25" s="1315" t="s">
        <v>331</v>
      </c>
      <c r="C25" s="288">
        <f>IF(B30=0,0,C30)</f>
        <v>0</v>
      </c>
      <c r="D25" s="289"/>
      <c r="E25" s="309"/>
      <c r="F25" s="309"/>
      <c r="G25" s="309"/>
      <c r="H25" s="309"/>
      <c r="I25" s="309"/>
      <c r="J25" s="2010"/>
      <c r="K25" s="1249" t="str">
        <f ca="1">项目基本情况!B16&amp;"国有建设用地使用权价格："&amp;O38&amp;"万元"</f>
        <v>出让国有建设用地使用权价格：433477万元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大写金额：人民币肆拾叁亿叁仟肆佰柒拾柒万元整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单位面积地价：52140元/平方米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楼面地价：31199元/平方米</v>
      </c>
      <c r="L28" s="1246"/>
      <c r="M28" s="1246"/>
      <c r="N28" s="1246"/>
      <c r="O28" s="1245"/>
      <c r="P28" s="2010"/>
      <c r="V28" s="2010"/>
    </row>
    <row r="29" spans="1:26" ht="18">
      <c r="A29" s="291"/>
      <c r="B29" s="292"/>
      <c r="C29" s="292"/>
      <c r="D29" s="293"/>
      <c r="E29" s="309"/>
      <c r="F29" s="309"/>
      <c r="G29" s="309"/>
      <c r="H29" s="309"/>
      <c r="I29" s="309"/>
      <c r="J29" s="2010"/>
      <c r="K29" s="1252" t="str">
        <f ca="1">IF(OR(项目基本情况!E8="抵押价格",项目基本情况!E8="已注销及未注销"),"抵押价格："&amp;O39&amp;"万元","——")</f>
        <v>抵押价格：433477万元</v>
      </c>
      <c r="L29" s="1246"/>
      <c r="M29" s="1246"/>
      <c r="N29" s="1246"/>
      <c r="O29" s="1245"/>
      <c r="P29" s="2010"/>
      <c r="V29" s="2010"/>
    </row>
    <row r="30" spans="1:26" ht="18.75" thickBot="1">
      <c r="A30" s="3075" t="s">
        <v>336</v>
      </c>
      <c r="B30" s="307"/>
      <c r="C30" s="307"/>
      <c r="D30" s="308"/>
      <c r="E30" s="3076" t="s">
        <v>2955</v>
      </c>
      <c r="F30" s="309"/>
      <c r="G30" s="309"/>
      <c r="H30" s="309"/>
      <c r="I30" s="309"/>
      <c r="J30" s="2010"/>
      <c r="K30" s="1252" t="str">
        <f ca="1">IF(K29="——","——","大写金额：人民币"&amp;NUMBERSTRING(INT(O39*10000),2)&amp;"元整")</f>
        <v>大写金额：人民币肆拾叁亿叁仟肆佰柒拾柒万元整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5" t="s">
        <v>1688</v>
      </c>
      <c r="C32" s="1376">
        <f ca="1">G19-C24</f>
        <v>433477</v>
      </c>
      <c r="D32" s="1377"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8" t="s">
        <v>1690</v>
      </c>
      <c r="C33" s="263">
        <f ca="1">ROUND(C32*10000/'数据-汇总表'!E3,0)</f>
        <v>31199</v>
      </c>
      <c r="D33" s="1379" t="s">
        <v>1691</v>
      </c>
      <c r="E33" s="3309" t="s">
        <v>338</v>
      </c>
      <c r="F33" s="294" t="s">
        <v>339</v>
      </c>
      <c r="G33" s="295"/>
      <c r="H33" s="978"/>
      <c r="I33" s="1253"/>
      <c r="J33" s="2010"/>
      <c r="K33" s="1252" t="str">
        <f>IF(项目基本情况!E9="——","——","抵押净值："&amp;C46&amp;"万元")</f>
        <v>抵押净值：——万元</v>
      </c>
      <c r="L33" s="1246"/>
      <c r="M33" s="1246"/>
      <c r="N33" s="1246"/>
      <c r="O33" s="1245"/>
      <c r="P33" s="2010"/>
      <c r="V33" s="2010"/>
    </row>
    <row r="34" spans="1:26" s="1248" customFormat="1" ht="18.75" thickBot="1">
      <c r="A34" s="298"/>
      <c r="B34" s="1380" t="s">
        <v>1692</v>
      </c>
      <c r="C34" s="263">
        <f ca="1">ROUND(C32*10000/'数据-汇总表'!D3,0)</f>
        <v>52140</v>
      </c>
      <c r="D34" s="1381" t="s">
        <v>1691</v>
      </c>
      <c r="E34" s="3350"/>
      <c r="F34" s="126" t="s">
        <v>341</v>
      </c>
      <c r="G34" s="297"/>
      <c r="H34" s="104"/>
      <c r="I34" s="309"/>
      <c r="J34" s="2010"/>
      <c r="K34" s="1255" t="e">
        <f>IF(K33="——","——","大写金额：人民币"&amp;NUMBERSTRING(INT(O41*10000),2)&amp;"元整")</f>
        <v>#VALUE!</v>
      </c>
      <c r="L34" s="1256"/>
      <c r="M34" s="1256"/>
      <c r="N34" s="1256"/>
      <c r="O34" s="1257"/>
      <c r="P34" s="2010"/>
      <c r="Q34" s="290"/>
      <c r="R34" s="290"/>
      <c r="S34" s="290"/>
      <c r="T34" s="290"/>
      <c r="U34" s="290"/>
      <c r="V34" s="2010"/>
      <c r="W34" s="290"/>
      <c r="X34" s="290"/>
      <c r="Y34" s="290"/>
      <c r="Z34" s="290"/>
    </row>
    <row r="35" spans="1:26" ht="15.75" thickBot="1">
      <c r="A35" s="282"/>
      <c r="B35" s="1382"/>
      <c r="C35" s="1383">
        <f ca="1">ROUND(C32/('数据-汇总表'!D3/666.67),0)</f>
        <v>3476</v>
      </c>
      <c r="D35" s="1384" t="s">
        <v>1693</v>
      </c>
      <c r="E35" s="3351"/>
      <c r="F35" s="299" t="s">
        <v>342</v>
      </c>
      <c r="G35" s="980"/>
      <c r="H35" s="979" t="s">
        <v>343</v>
      </c>
      <c r="I35" s="309"/>
      <c r="J35" s="2010"/>
      <c r="K35" s="3324" t="s">
        <v>350</v>
      </c>
      <c r="L35" s="3324" t="s">
        <v>351</v>
      </c>
      <c r="M35" s="1258" t="s">
        <v>352</v>
      </c>
      <c r="N35" s="3324" t="s">
        <v>353</v>
      </c>
      <c r="O35" s="3324" t="s">
        <v>354</v>
      </c>
      <c r="P35" s="2010"/>
      <c r="V35" s="2010"/>
    </row>
    <row r="36" spans="1:26" ht="16.5" customHeight="1">
      <c r="A36" s="301" t="s">
        <v>344</v>
      </c>
      <c r="B36" s="302" t="s">
        <v>333</v>
      </c>
      <c r="C36" s="303" t="s">
        <v>345</v>
      </c>
      <c r="D36" s="303" t="s">
        <v>346</v>
      </c>
      <c r="E36" s="304" t="s">
        <v>347</v>
      </c>
      <c r="F36" s="309"/>
      <c r="G36" s="309"/>
      <c r="H36" s="309"/>
      <c r="I36" s="309"/>
      <c r="J36" s="2012"/>
      <c r="K36" s="3325"/>
      <c r="L36" s="3325"/>
      <c r="M36" s="1260" t="s">
        <v>355</v>
      </c>
      <c r="N36" s="3325"/>
      <c r="O36" s="3325"/>
      <c r="P36" s="2010"/>
      <c r="V36" s="2010"/>
    </row>
    <row r="37" spans="1:26" ht="16.5" customHeight="1" thickBot="1">
      <c r="A37" s="1254" t="s">
        <v>348</v>
      </c>
      <c r="B37" s="305"/>
      <c r="C37" s="292"/>
      <c r="D37" s="292"/>
      <c r="E37" s="293"/>
      <c r="F37" s="309"/>
      <c r="G37" s="309"/>
      <c r="H37" s="309"/>
      <c r="I37" s="309"/>
      <c r="J37" s="2012"/>
      <c r="K37" s="3326"/>
      <c r="L37" s="3326"/>
      <c r="M37" s="1261"/>
      <c r="N37" s="3326"/>
      <c r="O37" s="3326"/>
      <c r="P37" s="2010"/>
      <c r="V37" s="2010"/>
    </row>
    <row r="38" spans="1:26" ht="16.5" customHeight="1" thickBot="1">
      <c r="A38" s="1254" t="s">
        <v>349</v>
      </c>
      <c r="B38" s="305"/>
      <c r="C38" s="292"/>
      <c r="D38" s="292"/>
      <c r="E38" s="293"/>
      <c r="F38" s="309"/>
      <c r="G38" s="309"/>
      <c r="H38" s="309"/>
      <c r="I38" s="309"/>
      <c r="J38" s="2012"/>
      <c r="K38" s="1262">
        <f>'数据-汇总表'!D3</f>
        <v>83137.16</v>
      </c>
      <c r="L38" s="1263">
        <f>'数据-汇总表'!E3</f>
        <v>138941.47999999998</v>
      </c>
      <c r="M38" s="1263">
        <f ca="1">C34</f>
        <v>52140</v>
      </c>
      <c r="N38" s="1263">
        <f ca="1">C33</f>
        <v>31199</v>
      </c>
      <c r="O38" s="1264">
        <f ca="1">C32</f>
        <v>433477</v>
      </c>
      <c r="P38" s="2010"/>
      <c r="V38" s="2010"/>
    </row>
    <row r="39" spans="1:26" ht="16.5" customHeight="1" thickBot="1">
      <c r="A39" s="1259"/>
      <c r="B39" s="306"/>
      <c r="C39" s="307"/>
      <c r="D39" s="307"/>
      <c r="E39" s="308"/>
      <c r="F39" s="309"/>
      <c r="G39" s="309"/>
      <c r="H39" s="309"/>
      <c r="I39" s="309"/>
      <c r="J39" s="2012"/>
      <c r="K39" s="3369" t="str">
        <f>MID(A44,3,LEN(A44)-2)</f>
        <v>抵押价格</v>
      </c>
      <c r="L39" s="3370"/>
      <c r="M39" s="3370"/>
      <c r="N39" s="3371"/>
      <c r="O39" s="1386">
        <f ca="1">C44</f>
        <v>433477</v>
      </c>
      <c r="P39" s="2010"/>
      <c r="V39" s="2010"/>
    </row>
    <row r="40" spans="1:26" ht="19.5" thickBot="1">
      <c r="A40" s="103" t="s">
        <v>873</v>
      </c>
      <c r="B40" s="309"/>
      <c r="C40" s="309"/>
      <c r="D40" s="309"/>
      <c r="E40" s="309"/>
      <c r="F40" s="309"/>
      <c r="G40" s="309"/>
      <c r="H40" s="309"/>
      <c r="I40" s="309"/>
      <c r="J40" s="2012"/>
      <c r="K40" s="3369" t="str">
        <f t="shared" ref="K40:K41" si="0">MID(A45,3,LEN(A45)-2)</f>
        <v/>
      </c>
      <c r="L40" s="3370"/>
      <c r="M40" s="3370"/>
      <c r="N40" s="3371"/>
      <c r="O40" s="1386" t="str">
        <f>C45</f>
        <v>——</v>
      </c>
      <c r="P40" s="2010"/>
      <c r="V40" s="2010"/>
    </row>
    <row r="41" spans="1:26" ht="16.5" thickBot="1">
      <c r="A41" s="310" t="s">
        <v>356</v>
      </c>
      <c r="B41" s="311"/>
      <c r="C41" s="312" t="s">
        <v>357</v>
      </c>
      <c r="D41" s="313" t="s">
        <v>358</v>
      </c>
      <c r="E41" s="313" t="s">
        <v>359</v>
      </c>
      <c r="F41" s="314" t="s">
        <v>360</v>
      </c>
      <c r="G41" s="309"/>
      <c r="H41" s="309"/>
      <c r="I41" s="309"/>
      <c r="J41" s="2012"/>
      <c r="K41" s="3369" t="str">
        <f t="shared" si="0"/>
        <v/>
      </c>
      <c r="L41" s="3370"/>
      <c r="M41" s="3370"/>
      <c r="N41" s="3371"/>
      <c r="O41" s="1386" t="str">
        <f>C46</f>
        <v>——</v>
      </c>
      <c r="P41" s="2010"/>
      <c r="V41" s="2010"/>
    </row>
    <row r="42" spans="1:26" ht="29.25">
      <c r="A42" s="3311" t="s">
        <v>2063</v>
      </c>
      <c r="B42" s="3312"/>
      <c r="C42" s="263">
        <f ca="1">C32</f>
        <v>433477</v>
      </c>
      <c r="D42" s="315">
        <f ca="1">C33</f>
        <v>31199</v>
      </c>
      <c r="E42" s="315">
        <f ca="1">C34</f>
        <v>52140</v>
      </c>
      <c r="F42" s="316">
        <f ca="1">C35</f>
        <v>3476</v>
      </c>
      <c r="G42" s="309"/>
      <c r="H42" s="309"/>
      <c r="I42" s="317"/>
      <c r="J42" s="2012"/>
      <c r="K42" s="1265" t="s">
        <v>361</v>
      </c>
      <c r="L42" s="2029" t="s">
        <v>362</v>
      </c>
      <c r="M42" s="1266" t="s">
        <v>363</v>
      </c>
      <c r="N42" s="2030" t="s">
        <v>364</v>
      </c>
      <c r="O42" s="2031" t="s">
        <v>365</v>
      </c>
      <c r="P42" s="2010"/>
      <c r="V42" s="2010"/>
    </row>
    <row r="43" spans="1:26" ht="30">
      <c r="A43" s="3322" t="s">
        <v>2725</v>
      </c>
      <c r="B43" s="3323"/>
      <c r="C43" s="263">
        <f>IF(H33="正常操作",G33+G34+G35,G34+G35)</f>
        <v>0</v>
      </c>
      <c r="D43" s="315" t="s">
        <v>43</v>
      </c>
      <c r="E43" s="315" t="s">
        <v>44</v>
      </c>
      <c r="F43" s="316" t="s">
        <v>44</v>
      </c>
      <c r="G43" s="2818" t="s">
        <v>952</v>
      </c>
      <c r="H43" s="309"/>
      <c r="I43" s="317"/>
      <c r="J43" s="2012"/>
      <c r="K43" s="1267" t="str">
        <f>C4</f>
        <v>比较法-住宅、综合</v>
      </c>
      <c r="L43" s="1268">
        <f ca="1">IF(L42="估价结果/万元",C19,C20)</f>
        <v>408530</v>
      </c>
      <c r="M43" s="1269">
        <f>C18</f>
        <v>0.5</v>
      </c>
      <c r="N43" s="1270">
        <f ca="1">IF(N42="测算结果/万元",G19,G20)</f>
        <v>433477</v>
      </c>
      <c r="O43" s="1271">
        <f ca="1">IF(O42="最终结果/万元",C32,C33)</f>
        <v>433477</v>
      </c>
      <c r="P43" s="2010"/>
      <c r="V43" s="2010"/>
    </row>
    <row r="44" spans="1:26" ht="30.75" thickBot="1">
      <c r="A44" s="3311" t="str">
        <f>IF(OR(项目基本情况!E8="抵押价格",项目基本情况!E8="已注销及未注销"),"3.抵押价格","——")</f>
        <v>3.抵押价格</v>
      </c>
      <c r="B44" s="3312"/>
      <c r="C44" s="263">
        <f ca="1">IF(A44="——","——",C42-C43)</f>
        <v>433477</v>
      </c>
      <c r="D44" s="315">
        <f ca="1">ROUND(C44*10000/'数据-汇总表'!E3,0)</f>
        <v>31199</v>
      </c>
      <c r="E44" s="315">
        <f ca="1">ROUND(C44*10000/'数据-汇总表'!D3,0)</f>
        <v>52140</v>
      </c>
      <c r="F44" s="316">
        <f ca="1">ROUND(C44/('数据-汇总表'!D3/666.67),0)</f>
        <v>3476</v>
      </c>
      <c r="G44" s="309"/>
      <c r="H44" s="309"/>
      <c r="I44" s="317"/>
      <c r="J44" s="2012"/>
      <c r="K44" s="1272" t="str">
        <f>D4</f>
        <v>剩余法-待开发</v>
      </c>
      <c r="L44" s="1273">
        <f ca="1">IF(L42="估价结果/万元",D19,D20)</f>
        <v>458423</v>
      </c>
      <c r="M44" s="1274">
        <f>D18</f>
        <v>0.5</v>
      </c>
      <c r="N44" s="1275"/>
      <c r="O44" s="1276"/>
      <c r="P44" s="2010"/>
      <c r="V44" s="2010"/>
    </row>
    <row r="45" spans="1:26" ht="15">
      <c r="A45" s="3317" t="str">
        <f>IF(项目基本情况!E8="已注销及未注销","4.抵押担保权已注销时的抵押价格",IF(项目基本情况!E8="已注销","3.抵押担保权已注销时的抵押价格","——"))</f>
        <v>——</v>
      </c>
      <c r="B45" s="3318"/>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13" t="str">
        <f>IF(项目基本情况!E9="抵押净值",IF(A45="——","4.抵押净值","5.抵押净值"),"——")</f>
        <v>——</v>
      </c>
      <c r="B46" s="3314"/>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4" t="s">
        <v>368</v>
      </c>
      <c r="G53" s="335"/>
      <c r="H53" s="335"/>
      <c r="I53" s="336" t="s">
        <v>369</v>
      </c>
      <c r="J53" s="2013"/>
      <c r="K53" s="2010"/>
      <c r="L53" s="2010"/>
      <c r="M53" s="2010"/>
      <c r="N53" s="2010"/>
      <c r="O53" s="2010"/>
      <c r="P53" s="2010"/>
      <c r="Q53" s="2010"/>
      <c r="R53" s="2010"/>
      <c r="S53" s="2010"/>
      <c r="T53" s="2010"/>
      <c r="U53" s="2010"/>
      <c r="V53" s="2010"/>
    </row>
    <row r="54" spans="1:22" ht="12.75">
      <c r="A54" s="256"/>
      <c r="B54" s="337"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6"/>
      <c r="B57" s="337"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7"/>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7"/>
      <c r="C61" s="338"/>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58" t="s">
        <v>374</v>
      </c>
      <c r="B63" s="3359"/>
      <c r="C63" s="3360"/>
      <c r="D63" s="339">
        <f ca="1">ROUND(C42*F63,0)</f>
        <v>260086</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9" t="s">
        <v>378</v>
      </c>
      <c r="B64" s="3320"/>
      <c r="C64" s="3320"/>
      <c r="D64" s="3320"/>
      <c r="E64" s="3320"/>
      <c r="F64" s="3320"/>
      <c r="G64" s="3321"/>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315" t="s">
        <v>386</v>
      </c>
      <c r="B66" s="3316"/>
      <c r="C66" s="3316"/>
      <c r="D66" s="260">
        <f ca="1">IF(H66="情况1",0,IF(H66="情况2",D70,IF(H66="情况3",D71,IF(H66="情况4",D72))))</f>
        <v>13871</v>
      </c>
      <c r="E66" s="991" t="str">
        <f>IF(H66="情况4","(销售额-原购置价)×税（费）率","销售额×税（费）率")</f>
        <v>销售额×税（费）率</v>
      </c>
      <c r="F66" s="348">
        <f>IF(H66="情况1","免征",'数据-取费表'!B41)</f>
        <v>5.6000000000000001E-2</v>
      </c>
      <c r="G66" s="349" t="s">
        <v>387</v>
      </c>
      <c r="H66" s="190" t="s">
        <v>388</v>
      </c>
      <c r="I66" s="1282"/>
      <c r="J66" s="2016"/>
      <c r="K66" s="1285">
        <v>1</v>
      </c>
      <c r="L66" s="3373" t="s">
        <v>385</v>
      </c>
      <c r="M66" s="3374"/>
      <c r="N66" s="2419"/>
      <c r="O66" s="2420"/>
      <c r="P66" s="2421"/>
      <c r="Q66" s="2010"/>
      <c r="R66" s="2010"/>
      <c r="S66" s="2010"/>
      <c r="T66" s="2010"/>
      <c r="U66" s="2010"/>
      <c r="V66" s="2010"/>
    </row>
    <row r="67" spans="1:22" ht="25.5" customHeight="1">
      <c r="A67" s="350" t="s">
        <v>390</v>
      </c>
      <c r="B67" s="3306" t="s">
        <v>391</v>
      </c>
      <c r="C67" s="3306"/>
      <c r="D67" s="351">
        <v>0</v>
      </c>
      <c r="E67" s="40" t="s">
        <v>392</v>
      </c>
      <c r="F67" s="61" t="s">
        <v>21</v>
      </c>
      <c r="G67" s="3361"/>
      <c r="H67" s="309"/>
      <c r="I67" s="1286"/>
      <c r="J67" s="2017"/>
      <c r="K67" s="1958">
        <v>2</v>
      </c>
      <c r="L67" s="3372" t="s">
        <v>389</v>
      </c>
      <c r="M67" s="3372"/>
      <c r="N67" s="1319">
        <f>'数据-取费表'!B2</f>
        <v>43833</v>
      </c>
      <c r="O67" s="1319"/>
      <c r="P67" s="1319"/>
      <c r="Q67" s="2010"/>
      <c r="R67" s="2010"/>
      <c r="S67" s="2010"/>
      <c r="T67" s="2010"/>
      <c r="U67" s="2010"/>
      <c r="V67" s="2010"/>
    </row>
    <row r="68" spans="1:22" ht="25.5" customHeight="1">
      <c r="A68" s="352"/>
      <c r="B68" s="3306" t="s">
        <v>394</v>
      </c>
      <c r="C68" s="3306"/>
      <c r="D68" s="353"/>
      <c r="E68" s="76"/>
      <c r="F68" s="354"/>
      <c r="G68" s="3362"/>
      <c r="H68" s="309"/>
      <c r="I68" s="1286"/>
      <c r="J68" s="2017"/>
      <c r="K68" s="1958">
        <v>3</v>
      </c>
      <c r="L68" s="3372" t="s">
        <v>393</v>
      </c>
      <c r="M68" s="3372"/>
      <c r="N68" s="1287">
        <f ca="1">C42</f>
        <v>433477</v>
      </c>
      <c r="O68" s="1287"/>
      <c r="P68" s="1287"/>
      <c r="Q68" s="2010"/>
      <c r="R68" s="2010"/>
      <c r="S68" s="2010"/>
      <c r="T68" s="2010"/>
      <c r="U68" s="2010"/>
      <c r="V68" s="2010"/>
    </row>
    <row r="69" spans="1:22" ht="12" customHeight="1">
      <c r="A69" s="355"/>
      <c r="B69" s="3306" t="s">
        <v>395</v>
      </c>
      <c r="C69" s="3306"/>
      <c r="D69" s="356"/>
      <c r="E69" s="72"/>
      <c r="F69" s="354"/>
      <c r="G69" s="3363"/>
      <c r="H69" s="309"/>
      <c r="I69" s="1286"/>
      <c r="J69" s="2017"/>
      <c r="K69" s="1288">
        <v>4</v>
      </c>
      <c r="L69" s="3377" t="s">
        <v>2877</v>
      </c>
      <c r="M69" s="3378"/>
      <c r="N69" s="1289">
        <f ca="1">C44</f>
        <v>433477</v>
      </c>
      <c r="O69" s="1289"/>
      <c r="P69" s="1289"/>
      <c r="Q69" s="2010"/>
      <c r="R69" s="2010"/>
      <c r="S69" s="2010"/>
      <c r="T69" s="2010"/>
      <c r="U69" s="2010"/>
      <c r="V69" s="2010"/>
    </row>
    <row r="70" spans="1:22" ht="24" customHeight="1">
      <c r="A70" s="357" t="s">
        <v>396</v>
      </c>
      <c r="B70" s="3306" t="s">
        <v>397</v>
      </c>
      <c r="C70" s="3306"/>
      <c r="D70" s="356">
        <f ca="1">ROUND(D63*'数据-取费表'!B41/(1+'数据-取费表'!C42),0)</f>
        <v>13871</v>
      </c>
      <c r="E70" s="17" t="s">
        <v>398</v>
      </c>
      <c r="F70" s="358">
        <f>'数据-取费表'!B41</f>
        <v>5.6000000000000001E-2</v>
      </c>
      <c r="G70" s="359"/>
      <c r="H70" s="309"/>
      <c r="I70" s="1286"/>
      <c r="J70" s="2017"/>
      <c r="K70" s="3009"/>
      <c r="L70" s="3010"/>
      <c r="M70" s="3010"/>
      <c r="N70" s="3011" t="s">
        <v>2882</v>
      </c>
      <c r="O70" s="3010"/>
      <c r="P70" s="3012"/>
      <c r="Q70" s="2010"/>
      <c r="R70" s="2010"/>
      <c r="S70" s="2010"/>
      <c r="T70" s="2010"/>
      <c r="U70" s="2010"/>
      <c r="V70" s="2010"/>
    </row>
    <row r="71" spans="1:22" ht="12" customHeight="1">
      <c r="A71" s="357" t="s">
        <v>404</v>
      </c>
      <c r="B71" s="3307" t="s">
        <v>405</v>
      </c>
      <c r="C71" s="3308"/>
      <c r="D71" s="356">
        <f ca="1">ROUND(D63*'数据-取费表'!B41/(1+'数据-取费表'!C42),0)</f>
        <v>13871</v>
      </c>
      <c r="E71" s="17" t="s">
        <v>398</v>
      </c>
      <c r="F71" s="358">
        <f>'数据-取费表'!B41</f>
        <v>5.6000000000000001E-2</v>
      </c>
      <c r="G71" s="359"/>
      <c r="H71" s="309"/>
      <c r="I71" s="1286"/>
      <c r="J71" s="2017"/>
      <c r="K71" s="3008" t="s">
        <v>399</v>
      </c>
      <c r="L71" s="3379" t="s">
        <v>400</v>
      </c>
      <c r="M71" s="3379"/>
      <c r="N71" s="3008" t="s">
        <v>401</v>
      </c>
      <c r="O71" s="3008" t="s">
        <v>402</v>
      </c>
      <c r="P71" s="3008" t="s">
        <v>403</v>
      </c>
      <c r="Q71" s="2010"/>
      <c r="R71" s="2010"/>
      <c r="S71" s="2010"/>
      <c r="T71" s="2010"/>
      <c r="U71" s="2010"/>
      <c r="V71" s="2010"/>
    </row>
    <row r="72" spans="1:22" ht="12" customHeight="1">
      <c r="A72" s="357" t="s">
        <v>407</v>
      </c>
      <c r="B72" s="3307" t="s">
        <v>408</v>
      </c>
      <c r="C72" s="3308"/>
      <c r="D72" s="356">
        <f ca="1">C86</f>
        <v>13759</v>
      </c>
      <c r="E72" s="72" t="s">
        <v>409</v>
      </c>
      <c r="F72" s="358">
        <f>'数据-取费表'!B41</f>
        <v>5.6000000000000001E-2</v>
      </c>
      <c r="G72" s="359"/>
      <c r="H72" s="1292"/>
      <c r="I72" s="1286"/>
      <c r="J72" s="2017"/>
      <c r="K72" s="1958">
        <v>1</v>
      </c>
      <c r="L72" s="3354" t="s">
        <v>406</v>
      </c>
      <c r="M72" s="3354"/>
      <c r="N72" s="1290">
        <f ca="1">D66</f>
        <v>13871</v>
      </c>
      <c r="O72" s="1841" t="str">
        <f>E66</f>
        <v>销售额×税（费）率</v>
      </c>
      <c r="P72" s="1291">
        <f>F66</f>
        <v>5.6000000000000001E-2</v>
      </c>
      <c r="Q72" s="2010"/>
      <c r="R72" s="2010"/>
      <c r="S72" s="2010"/>
      <c r="T72" s="2010"/>
      <c r="U72" s="2010"/>
      <c r="V72" s="2010"/>
    </row>
    <row r="73" spans="1:22" ht="24" customHeight="1">
      <c r="A73" s="3348" t="s">
        <v>411</v>
      </c>
      <c r="B73" s="3316"/>
      <c r="C73" s="3316"/>
      <c r="D73" s="360">
        <f>IF(H73="个人住宅",0,ROUND(D63*I73,0))</f>
        <v>0</v>
      </c>
      <c r="E73" s="17" t="s">
        <v>412</v>
      </c>
      <c r="F73" s="358" t="str">
        <f>IF(H73="正常",I73,"免征")</f>
        <v>免征</v>
      </c>
      <c r="G73" s="359"/>
      <c r="H73" s="190" t="s">
        <v>2451</v>
      </c>
      <c r="I73" s="358">
        <f>'数据-取费表'!B49</f>
        <v>5.0000000000000001E-4</v>
      </c>
      <c r="J73" s="2017"/>
      <c r="K73" s="1958">
        <v>2</v>
      </c>
      <c r="L73" s="3354" t="s">
        <v>410</v>
      </c>
      <c r="M73" s="3354"/>
      <c r="N73" s="1290">
        <f t="shared" ref="N73:P74" si="1">D73</f>
        <v>0</v>
      </c>
      <c r="O73" s="1841" t="str">
        <f t="shared" si="1"/>
        <v>销售额×税（费）率</v>
      </c>
      <c r="P73" s="1291" t="str">
        <f t="shared" si="1"/>
        <v>免征</v>
      </c>
      <c r="Q73" s="2010"/>
      <c r="R73" s="2010"/>
      <c r="S73" s="2010"/>
      <c r="T73" s="2010"/>
      <c r="U73" s="2010"/>
      <c r="V73" s="2010"/>
    </row>
    <row r="74" spans="1:22" ht="24.75">
      <c r="A74" s="3348" t="s">
        <v>415</v>
      </c>
      <c r="B74" s="3316"/>
      <c r="C74" s="3316"/>
      <c r="D74" s="360">
        <f ca="1">IF(H74="个人住宅",D75,D76)</f>
        <v>146553</v>
      </c>
      <c r="E74" s="17" t="s">
        <v>416</v>
      </c>
      <c r="F74" s="358" t="str">
        <f>IF(H74="正常",F76,"免征")</f>
        <v>——</v>
      </c>
      <c r="G74" s="981" t="s">
        <v>417</v>
      </c>
      <c r="H74" s="361" t="s">
        <v>413</v>
      </c>
      <c r="I74" s="41"/>
      <c r="J74" s="2017"/>
      <c r="K74" s="1958">
        <v>3</v>
      </c>
      <c r="L74" s="3354" t="s">
        <v>414</v>
      </c>
      <c r="M74" s="3354"/>
      <c r="N74" s="1290">
        <f t="shared" ca="1" si="1"/>
        <v>146553</v>
      </c>
      <c r="O74" s="1841" t="str">
        <f t="shared" si="1"/>
        <v>增值额×税（费）率</v>
      </c>
      <c r="P74" s="1293" t="str">
        <f t="shared" si="1"/>
        <v>——</v>
      </c>
      <c r="Q74" s="2010"/>
      <c r="R74" s="2010"/>
      <c r="S74" s="2010"/>
      <c r="T74" s="2010"/>
      <c r="U74" s="2010"/>
      <c r="V74" s="2010"/>
    </row>
    <row r="75" spans="1:22" ht="24">
      <c r="A75" s="357" t="s">
        <v>418</v>
      </c>
      <c r="B75" s="3304" t="s">
        <v>419</v>
      </c>
      <c r="C75" s="3334"/>
      <c r="D75" s="362">
        <v>0</v>
      </c>
      <c r="E75" s="40" t="s">
        <v>420</v>
      </c>
      <c r="F75" s="363"/>
      <c r="G75" s="359"/>
      <c r="H75" s="41"/>
      <c r="I75" s="41"/>
      <c r="J75" s="2017"/>
      <c r="K75" s="3001">
        <f>IF(H77="非个人房产","",4)</f>
        <v>4</v>
      </c>
      <c r="L75" s="3354" t="str">
        <f>IF(H77="非个人房产","——","个人所得税")</f>
        <v>个人所得税</v>
      </c>
      <c r="M75" s="3354"/>
      <c r="N75" s="1294">
        <f ca="1">D77</f>
        <v>2601</v>
      </c>
      <c r="O75" s="1854" t="str">
        <f>E77</f>
        <v>销售额×税（费）率</v>
      </c>
      <c r="P75" s="1295">
        <f>F77</f>
        <v>0.01</v>
      </c>
      <c r="Q75" s="2010"/>
      <c r="R75" s="2010"/>
      <c r="S75" s="2010"/>
      <c r="T75" s="2010"/>
      <c r="U75" s="2010"/>
      <c r="V75" s="2010"/>
    </row>
    <row r="76" spans="1:22" ht="24.75">
      <c r="A76" s="357" t="s">
        <v>396</v>
      </c>
      <c r="B76" s="3304" t="s">
        <v>422</v>
      </c>
      <c r="C76" s="3305"/>
      <c r="D76" s="360">
        <f ca="1">IF(H76="转让取得",C99,C115)</f>
        <v>146553</v>
      </c>
      <c r="E76" s="17" t="s">
        <v>423</v>
      </c>
      <c r="F76" s="52" t="s">
        <v>21</v>
      </c>
      <c r="G76" s="359"/>
      <c r="H76" s="361" t="s">
        <v>424</v>
      </c>
      <c r="I76" s="41"/>
      <c r="J76" s="2017"/>
      <c r="K76" s="3001" t="str">
        <f>IF(项目基本情况!K6="上海银行",IF(K75="",4,K75+1),"")</f>
        <v/>
      </c>
      <c r="L76" s="3365" t="str">
        <f>IF(项目基本情况!K6="上海银行","其他处置费用","")</f>
        <v/>
      </c>
      <c r="M76" s="3366"/>
      <c r="N76" s="1290" t="str">
        <f>IF(项目基本情况!K6="上海银行",N89,"")</f>
        <v/>
      </c>
      <c r="O76" s="3367" t="str">
        <f>IF(项目基本情况!K6="上海银行","包含处置中涉及的律师、诉讼、拍卖、评估等费用","")</f>
        <v/>
      </c>
      <c r="P76" s="3368"/>
      <c r="Q76" s="2010"/>
      <c r="R76" s="2010"/>
      <c r="S76" s="2010"/>
      <c r="T76" s="2010"/>
      <c r="U76" s="2010"/>
      <c r="V76" s="2010"/>
    </row>
    <row r="77" spans="1:22" ht="26.25" thickBot="1">
      <c r="A77" s="3356" t="s">
        <v>426</v>
      </c>
      <c r="B77" s="3357"/>
      <c r="C77" s="3357"/>
      <c r="D77" s="364">
        <f ca="1">IF(H77="非个人房产","——",IF(H77="个人住宅",0,ROUND(D63*I77,0)))</f>
        <v>2601</v>
      </c>
      <c r="E77" s="365" t="str">
        <f>IF(H77="非个人房产","——","销售额×税（费）率")</f>
        <v>销售额×税（费）率</v>
      </c>
      <c r="F77" s="366">
        <f>IF(H77="非个人房产","——",IF(H77="个人住宅","免征",I77))</f>
        <v>0.01</v>
      </c>
      <c r="G77" s="982" t="s">
        <v>417</v>
      </c>
      <c r="H77" s="361" t="s">
        <v>2878</v>
      </c>
      <c r="I77" s="367">
        <v>0.01</v>
      </c>
      <c r="J77" s="2017"/>
      <c r="K77" s="3355">
        <f>IF(AND(K75="",K76=""),4,IF(项目基本情况!K6="上海银行",K76+1,K75+1))</f>
        <v>5</v>
      </c>
      <c r="L77" s="3354" t="s">
        <v>2879</v>
      </c>
      <c r="M77" s="3007" t="s">
        <v>421</v>
      </c>
      <c r="N77" s="1296"/>
      <c r="O77" s="1297">
        <f ca="1">SUMIF(N72:N76,"&lt;9e307")</f>
        <v>163025</v>
      </c>
      <c r="P77" s="1298"/>
      <c r="Q77" s="3005">
        <f ca="1">O77/N69</f>
        <v>0.37608685120548496</v>
      </c>
      <c r="R77" s="2010"/>
      <c r="S77" s="2010"/>
      <c r="T77" s="2010"/>
      <c r="U77" s="2010"/>
      <c r="V77" s="2010"/>
    </row>
    <row r="78" spans="1:22" ht="12" customHeight="1">
      <c r="A78" s="1299"/>
      <c r="B78" s="309"/>
      <c r="C78" s="309"/>
      <c r="D78" s="309"/>
      <c r="E78" s="41"/>
      <c r="F78" s="41"/>
      <c r="G78" s="41"/>
      <c r="H78" s="1001"/>
      <c r="I78" s="309"/>
      <c r="J78" s="2017"/>
      <c r="K78" s="3355"/>
      <c r="L78" s="3354"/>
      <c r="M78" s="3007" t="s">
        <v>425</v>
      </c>
      <c r="N78" s="1296"/>
      <c r="O78" s="1297" t="str">
        <f ca="1">NUMBERSTRING(INT(O77*10000),2)&amp;"元整"</f>
        <v>壹拾陆亿叁仟零贰拾伍万元整</v>
      </c>
      <c r="P78" s="1298"/>
      <c r="Q78" s="2010"/>
      <c r="R78" s="2010"/>
      <c r="S78" s="2010"/>
      <c r="T78" s="2010"/>
      <c r="U78" s="2010"/>
      <c r="V78" s="2010"/>
    </row>
    <row r="79" spans="1:22" ht="13.5" thickBot="1">
      <c r="A79" s="3349" t="s">
        <v>427</v>
      </c>
      <c r="B79" s="3349"/>
      <c r="C79" s="3349"/>
      <c r="D79" s="3349"/>
      <c r="E79" s="3349"/>
      <c r="F79" s="41"/>
      <c r="G79" s="41"/>
      <c r="H79" s="1001"/>
      <c r="I79" s="309"/>
      <c r="J79" s="2017"/>
      <c r="K79" s="3375">
        <f>K77+1</f>
        <v>6</v>
      </c>
      <c r="L79" s="3354" t="s">
        <v>2880</v>
      </c>
      <c r="M79" s="3007" t="s">
        <v>421</v>
      </c>
      <c r="N79" s="1296"/>
      <c r="O79" s="1297">
        <f ca="1">N69-O77</f>
        <v>270452</v>
      </c>
      <c r="P79" s="1298"/>
      <c r="Q79" s="2010"/>
      <c r="R79" s="2010"/>
      <c r="S79" s="2010"/>
      <c r="T79" s="2010"/>
      <c r="U79" s="2010"/>
      <c r="V79" s="2010"/>
    </row>
    <row r="80" spans="1:22" ht="25.5">
      <c r="A80" s="3344" t="s">
        <v>428</v>
      </c>
      <c r="B80" s="3345"/>
      <c r="C80" s="992"/>
      <c r="D80" s="992" t="s">
        <v>429</v>
      </c>
      <c r="E80" s="368" t="s">
        <v>430</v>
      </c>
      <c r="F80" s="41"/>
      <c r="G80" s="41"/>
      <c r="H80" s="1001"/>
      <c r="I80" s="309"/>
      <c r="J80" s="2010"/>
      <c r="K80" s="3376"/>
      <c r="L80" s="3354"/>
      <c r="M80" s="3007" t="s">
        <v>425</v>
      </c>
      <c r="N80" s="1296"/>
      <c r="O80" s="1297" t="str">
        <f ca="1">NUMBERSTRING(INT(O79*10000),2)&amp;"元整"</f>
        <v>贰拾柒亿零肆佰伍拾贰万元整</v>
      </c>
      <c r="P80" s="1298"/>
      <c r="Q80" s="2010"/>
      <c r="R80" s="2010"/>
      <c r="S80" s="2010"/>
      <c r="T80" s="2010"/>
      <c r="U80" s="2010"/>
      <c r="V80" s="2010"/>
    </row>
    <row r="81" spans="1:26" ht="13.5" thickBot="1">
      <c r="A81" s="379" t="s">
        <v>1823</v>
      </c>
      <c r="B81" s="369" t="s">
        <v>431</v>
      </c>
      <c r="C81" s="370">
        <f ca="1">ROUND((C82+C83)/(1+'数据-取费表'!C42),0)</f>
        <v>247701</v>
      </c>
      <c r="D81" s="371"/>
      <c r="E81" s="372"/>
      <c r="F81" s="41"/>
      <c r="G81" s="41"/>
      <c r="H81" s="1001"/>
      <c r="I81" s="309"/>
      <c r="J81" s="2010"/>
      <c r="K81" s="3001">
        <f>K79+1</f>
        <v>7</v>
      </c>
      <c r="L81" s="3352" t="s">
        <v>2881</v>
      </c>
      <c r="M81" s="3353"/>
      <c r="N81" s="1300"/>
      <c r="O81" s="1301">
        <f ca="1">ROUND(O79*10000/'数据-汇总表'!E3,0)</f>
        <v>19465</v>
      </c>
      <c r="P81" s="1302"/>
      <c r="Q81" s="2010"/>
      <c r="R81" s="2010"/>
      <c r="S81" s="2010"/>
      <c r="T81" s="2010"/>
      <c r="U81" s="2010"/>
      <c r="V81" s="2010"/>
    </row>
    <row r="82" spans="1:26" ht="13.5" thickTop="1">
      <c r="A82" s="373" t="s">
        <v>1824</v>
      </c>
      <c r="B82" s="374" t="s">
        <v>432</v>
      </c>
      <c r="C82" s="375">
        <f ca="1">D63</f>
        <v>260086</v>
      </c>
      <c r="D82" s="376" t="s">
        <v>19</v>
      </c>
      <c r="E82" s="377"/>
      <c r="F82" s="41"/>
      <c r="G82" s="41"/>
      <c r="H82" s="1001"/>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1"/>
      <c r="G83" s="41"/>
      <c r="H83" s="1001"/>
      <c r="I83" s="309"/>
      <c r="J83" s="2010"/>
      <c r="K83" s="3364" t="s">
        <v>2868</v>
      </c>
      <c r="L83" s="3013" t="s">
        <v>2869</v>
      </c>
      <c r="M83" s="3003">
        <f ca="1">IF(N69&gt;10000,N69*0.5%,IF(AND(N69&gt;1000,N69&lt;=10000),N69*1%,IF(AND(N69&gt;100,N69&lt;=1000),N69*3%,IF(AND(N69&gt;10,N69&lt;=100),N69*5%,N69*8%))))</f>
        <v>2167.3850000000002</v>
      </c>
      <c r="N83" s="52">
        <f ca="1">ROUND(M83,1)</f>
        <v>2167.4</v>
      </c>
      <c r="O83" s="3006"/>
      <c r="P83" s="2010"/>
      <c r="Q83" s="2010"/>
      <c r="R83" s="2010"/>
      <c r="S83" s="2010"/>
      <c r="T83" s="2010"/>
      <c r="U83" s="2010"/>
      <c r="V83" s="2010"/>
    </row>
    <row r="84" spans="1:26" ht="12.75">
      <c r="A84" s="379" t="s">
        <v>1826</v>
      </c>
      <c r="B84" s="380" t="s">
        <v>434</v>
      </c>
      <c r="C84" s="381">
        <v>2000</v>
      </c>
      <c r="D84" s="382" t="s">
        <v>19</v>
      </c>
      <c r="E84" s="3046" t="s">
        <v>2928</v>
      </c>
      <c r="F84" s="41"/>
      <c r="G84" s="41"/>
      <c r="H84" s="1001"/>
      <c r="I84" s="309"/>
      <c r="J84" s="2010"/>
      <c r="K84" s="3364"/>
      <c r="L84" s="3013" t="s">
        <v>2870</v>
      </c>
      <c r="M84" s="3003">
        <f ca="1">IF(N69&gt;2000,N69*0.5%,IF(AND(N69&gt;1000,N69&lt;=2000),N69*0.6%,IF(AND(N69&gt;500,N69&lt;=1000),N69*0.7%,IF(AND(N69&gt;200,N69&lt;=500),N69*0.8%,IF(AND(N69&gt;100,N69&lt;=200),N69*0.9%,IF(AND(N69&gt;50,N69&lt;=100),N69*1%,IF(AND(N69&gt;20,N69&lt;=50),N69*1.5%,IF(AND(N69&gt;10,N69&lt;=20),N69*2%,IF(AND(N69&gt;1,N69&lt;=10),N69*2.5%)))))))))</f>
        <v>2167.3850000000002</v>
      </c>
      <c r="N84" s="52">
        <f t="shared" ref="N84:N85" ca="1" si="2">ROUND(M84,1)</f>
        <v>2167.4</v>
      </c>
      <c r="O84" s="2010" t="s">
        <v>2871</v>
      </c>
      <c r="P84" s="2010"/>
      <c r="Q84" s="2010"/>
      <c r="R84" s="2010"/>
      <c r="S84" s="2010"/>
      <c r="T84" s="2010"/>
      <c r="U84" s="2010"/>
      <c r="V84" s="2010"/>
    </row>
    <row r="85" spans="1:26" ht="12.75">
      <c r="A85" s="379" t="s">
        <v>1827</v>
      </c>
      <c r="B85" s="380" t="s">
        <v>435</v>
      </c>
      <c r="C85" s="383">
        <f ca="1">C81-C84</f>
        <v>245701</v>
      </c>
      <c r="D85" s="376" t="s">
        <v>19</v>
      </c>
      <c r="E85" s="377"/>
      <c r="F85" s="41"/>
      <c r="G85" s="41"/>
      <c r="H85" s="1001"/>
      <c r="I85" s="309"/>
      <c r="J85" s="2010"/>
      <c r="K85" s="3364"/>
      <c r="L85" s="3013" t="s">
        <v>2872</v>
      </c>
      <c r="M85" s="3003">
        <f ca="1">IF(N69&gt;1000,N69*0.1%,IF(AND(N69&gt;500,N69&lt;=1000),N69*0.5%,IF(AND(N69&gt;50,N69&lt;=500),N69*1%,IF(AND(N69&gt;1,N69&lt;=50),N69*1.5%))))</f>
        <v>433.47700000000003</v>
      </c>
      <c r="N85" s="52">
        <f t="shared" ca="1" si="2"/>
        <v>433.5</v>
      </c>
      <c r="O85" s="2010" t="s">
        <v>2871</v>
      </c>
      <c r="P85" s="2010"/>
      <c r="Q85" s="2010"/>
      <c r="R85" s="2010"/>
      <c r="S85" s="2010"/>
      <c r="T85" s="2010"/>
      <c r="U85" s="2010"/>
      <c r="V85" s="2010"/>
    </row>
    <row r="86" spans="1:26" ht="13.5" thickBot="1">
      <c r="A86" s="384" t="s">
        <v>1828</v>
      </c>
      <c r="B86" s="385" t="s">
        <v>436</v>
      </c>
      <c r="C86" s="386">
        <f ca="1">IF(C85&lt;=0,0,ROUND(C85*D86,0))</f>
        <v>13759</v>
      </c>
      <c r="D86" s="387">
        <f>'数据-取费表'!B41</f>
        <v>5.6000000000000001E-2</v>
      </c>
      <c r="E86" s="388"/>
      <c r="F86" s="41"/>
      <c r="G86" s="41"/>
      <c r="H86" s="1001"/>
      <c r="I86" s="309"/>
      <c r="J86" s="2010"/>
      <c r="K86" s="3364"/>
      <c r="L86" s="3013" t="s">
        <v>2873</v>
      </c>
      <c r="M86" s="3003">
        <f ca="1">N69*0.5%</f>
        <v>2167.3850000000002</v>
      </c>
      <c r="N86" s="52">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1"/>
      <c r="G87" s="41"/>
      <c r="H87" s="1001"/>
      <c r="I87" s="309"/>
      <c r="J87" s="2010"/>
      <c r="K87" s="3364"/>
      <c r="L87" s="3013" t="s">
        <v>2875</v>
      </c>
      <c r="M87" s="3003">
        <f ca="1">IF(N69&gt;=10000,(8.25+(N69-10000)*0.01%),IF(AND(N69&gt;=8000,N69&lt;10000),(7.85+(N69-8000)*0.02%),IF(AND(N69&gt;=5000,N69&lt;8000),(6.65+(N69-5000)*0.04%),IF(AND(N69&gt;=2000,N69&lt;5000),(4.25+(PN69-2000)*0.08%),IF(AND(N69&gt;=1000,N69&lt;2000),(2.75+(N69-1000)*0.15%),IF(AND(N69&gt;=100,N69&lt;1000),(0.5+(N69-100)*0.25%),IF(AND(N69&gt;0,N69&lt;100),N69*0.5%)))))))</f>
        <v>50.597700000000003</v>
      </c>
      <c r="N87" s="52">
        <f ca="1">ROUND(M87*0.9,1)</f>
        <v>45.5</v>
      </c>
      <c r="O87" s="3006"/>
      <c r="P87" s="309"/>
      <c r="Q87" s="2010"/>
      <c r="R87" s="2010"/>
      <c r="S87" s="2010"/>
      <c r="T87" s="2010"/>
      <c r="U87" s="2010"/>
      <c r="V87" s="2010"/>
      <c r="W87" s="290"/>
      <c r="X87" s="290"/>
      <c r="Y87" s="290"/>
      <c r="Z87" s="290"/>
    </row>
    <row r="88" spans="1:26" s="1308" customFormat="1" ht="15" thickBot="1">
      <c r="A88" s="3346" t="s">
        <v>437</v>
      </c>
      <c r="B88" s="3347"/>
      <c r="C88" s="3347"/>
      <c r="D88" s="3347"/>
      <c r="E88" s="3347"/>
      <c r="F88" s="3347"/>
      <c r="G88" s="3347"/>
      <c r="H88" s="3347"/>
      <c r="I88" s="1309"/>
      <c r="J88" s="2018"/>
      <c r="K88" s="3364"/>
      <c r="L88" s="3013" t="s">
        <v>2876</v>
      </c>
      <c r="M88" s="3003">
        <f ca="1">IF(N69&gt;10000,N69*0.5%,IF(AND(N69&gt;5000,N69&lt;=10000),N69*1%,IF(AND(N69&gt;1000,N69&lt;=5000),N69*2%,IF(AND(N69&gt;200,N69&lt;=1000),N69*3%,N69*5%))))</f>
        <v>2167.3850000000002</v>
      </c>
      <c r="N88" s="52">
        <f ca="1">ROUND(M88,1)</f>
        <v>2167.4</v>
      </c>
      <c r="O88" s="3006"/>
      <c r="P88" s="11"/>
      <c r="Q88" s="2015"/>
      <c r="R88" s="2015"/>
      <c r="S88" s="2015"/>
      <c r="T88" s="2015"/>
      <c r="U88" s="2015"/>
      <c r="V88" s="2015"/>
      <c r="W88" s="2019"/>
      <c r="X88" s="2019"/>
      <c r="Y88" s="2019"/>
      <c r="Z88" s="2019"/>
    </row>
    <row r="89" spans="1:26" s="1308" customFormat="1" ht="14.25">
      <c r="A89" s="3344" t="s">
        <v>428</v>
      </c>
      <c r="B89" s="3345"/>
      <c r="C89" s="992"/>
      <c r="D89" s="992" t="s">
        <v>429</v>
      </c>
      <c r="E89" s="389" t="s">
        <v>438</v>
      </c>
      <c r="F89" s="390"/>
      <c r="G89" s="390"/>
      <c r="H89" s="391"/>
      <c r="I89" s="1310"/>
      <c r="J89" s="2020"/>
      <c r="K89" s="3364"/>
      <c r="L89" s="3013" t="s">
        <v>27</v>
      </c>
      <c r="M89" s="3004"/>
      <c r="N89" s="52">
        <f ca="1">ROUND(SUM(N83:N88),0)</f>
        <v>6982</v>
      </c>
      <c r="O89" s="3014">
        <f ca="1">N89/N69</f>
        <v>1.6106967613045215E-2</v>
      </c>
      <c r="P89" s="2015"/>
      <c r="Q89" s="2015"/>
      <c r="R89" s="2015"/>
      <c r="S89" s="2015"/>
      <c r="T89" s="2015"/>
      <c r="U89" s="2015"/>
      <c r="V89" s="2015"/>
      <c r="W89" s="2019"/>
      <c r="X89" s="2019"/>
      <c r="Y89" s="2019"/>
      <c r="Z89" s="2019"/>
    </row>
    <row r="90" spans="1:26" s="1308" customFormat="1" ht="14.25">
      <c r="A90" s="379" t="s">
        <v>1823</v>
      </c>
      <c r="B90" s="380" t="s">
        <v>439</v>
      </c>
      <c r="C90" s="383">
        <f ca="1">ROUND(D63/(1+'数据-取费表'!C42),0)</f>
        <v>247701</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1829</v>
      </c>
      <c r="B91" s="346" t="s">
        <v>440</v>
      </c>
      <c r="C91" s="383">
        <f ca="1">C92+C96</f>
        <v>4047</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1832</v>
      </c>
      <c r="B94" s="398" t="s">
        <v>446</v>
      </c>
      <c r="C94" s="376">
        <f>IF(F93="购房发票",ROUND(C93*H93*5%,0),0)</f>
        <v>500</v>
      </c>
      <c r="D94" s="399">
        <v>0.05</v>
      </c>
      <c r="E94" s="3307" t="s">
        <v>447</v>
      </c>
      <c r="F94" s="3306"/>
      <c r="G94" s="3306"/>
      <c r="H94" s="3343"/>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2425</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1834</v>
      </c>
      <c r="B96" s="374" t="s">
        <v>450</v>
      </c>
      <c r="C96" s="403">
        <f ca="1">ROUND(D63*D96/(1+'数据-取费表'!C42),0)</f>
        <v>1486</v>
      </c>
      <c r="D96" s="404">
        <f>'数据-取费表'!B43</f>
        <v>6.000000000000001E-3</v>
      </c>
      <c r="E96" s="3335" t="s">
        <v>2424</v>
      </c>
      <c r="F96" s="3336"/>
      <c r="G96" s="3336"/>
      <c r="H96" s="3337"/>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1835</v>
      </c>
      <c r="B97" s="380" t="s">
        <v>451</v>
      </c>
      <c r="C97" s="383">
        <f ca="1">C90-C91</f>
        <v>243654</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0" t="s">
        <v>452</v>
      </c>
      <c r="C98" s="405">
        <f ca="1">IF(C97&lt;=0,0,C97/C91)</f>
        <v>60.206078576723499</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1837</v>
      </c>
      <c r="B99" s="385" t="s">
        <v>453</v>
      </c>
      <c r="C99" s="406">
        <f ca="1">ROUND(IF(C97&lt;=0,0,IF(C98&gt;=200%,C97*60%-C91*35%,IF(C98&gt;=100%,C97*50%-C91*15%,IF(C98&gt;=50%,C97*40%-C91*5%,IF(C98&lt;50%,C97*30%,0))))),0)</f>
        <v>144776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46" t="s">
        <v>454</v>
      </c>
      <c r="B101" s="3347"/>
      <c r="C101" s="3347"/>
      <c r="D101" s="3347"/>
      <c r="E101" s="3347"/>
      <c r="F101" s="3347"/>
      <c r="G101" s="3347"/>
      <c r="H101" s="3347"/>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44" t="s">
        <v>428</v>
      </c>
      <c r="B102" s="3345"/>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1823</v>
      </c>
      <c r="B103" s="380" t="s">
        <v>439</v>
      </c>
      <c r="C103" s="383">
        <f ca="1">ROUND(D63/(1+'数据-取费表'!C42),0)</f>
        <v>247701</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1829</v>
      </c>
      <c r="B104" s="346" t="s">
        <v>440</v>
      </c>
      <c r="C104" s="383">
        <f ca="1">IF(H106="仅含出让金",C105+C108+C109+C110+C111+C112,C105+C109+C110+C111+C112)</f>
        <v>2176</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1830</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1831</v>
      </c>
      <c r="B106" s="374" t="s">
        <v>456</v>
      </c>
      <c r="C106" s="414">
        <v>555</v>
      </c>
      <c r="D106" s="404"/>
      <c r="E106" s="415" t="s">
        <v>457</v>
      </c>
      <c r="F106" s="984"/>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4" t="s">
        <v>461</v>
      </c>
      <c r="C109" s="403">
        <f>IF(H109="——",IF(F1="现房",'剩余法-现房'!C18,'剩余法-待开发'!C18),I109)</f>
        <v>55</v>
      </c>
      <c r="D109" s="404"/>
      <c r="E109" s="3338" t="s">
        <v>462</v>
      </c>
      <c r="F109" s="3336"/>
      <c r="G109" s="3336"/>
      <c r="H109" s="1923" t="s">
        <v>2275</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4" t="s">
        <v>463</v>
      </c>
      <c r="C110" s="403">
        <f>ROUND((C105+C108+C109)*D110,0)</f>
        <v>63</v>
      </c>
      <c r="D110" s="404">
        <v>0.1</v>
      </c>
      <c r="E110" s="3338" t="s">
        <v>464</v>
      </c>
      <c r="F110" s="3336"/>
      <c r="G110" s="3336"/>
      <c r="H110" s="3337"/>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4" t="s">
        <v>450</v>
      </c>
      <c r="C111" s="403">
        <f ca="1">ROUND(D63*D111/(1+'数据-取费表'!C42),0)</f>
        <v>1486</v>
      </c>
      <c r="D111" s="404">
        <f>'数据-取费表'!B43</f>
        <v>6.000000000000001E-3</v>
      </c>
      <c r="E111" s="3335" t="s">
        <v>2424</v>
      </c>
      <c r="F111" s="3336"/>
      <c r="G111" s="3336"/>
      <c r="H111" s="3337"/>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4" t="s">
        <v>465</v>
      </c>
      <c r="C112" s="403">
        <f>ROUND(C108*D112,0)</f>
        <v>0</v>
      </c>
      <c r="D112" s="404">
        <v>0.2</v>
      </c>
      <c r="E112" s="3338" t="s">
        <v>2449</v>
      </c>
      <c r="F112" s="3336"/>
      <c r="G112" s="3336"/>
      <c r="H112" s="3337"/>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1835</v>
      </c>
      <c r="B113" s="380" t="s">
        <v>451</v>
      </c>
      <c r="C113" s="383">
        <f ca="1">ROUND(C103-C104,0)</f>
        <v>245525</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0" t="s">
        <v>452</v>
      </c>
      <c r="C114" s="405">
        <f ca="1">IF(C113&lt;=0,0,C113/C104)</f>
        <v>112.83318014705883</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1837</v>
      </c>
      <c r="B115" s="385" t="s">
        <v>453</v>
      </c>
      <c r="C115" s="406">
        <f ca="1">ROUND(IF(C113&lt;=0,0,IF(C114&gt;=200%,C113*60%-C104*35%,IF(C114&gt;=100%,C113*50%-C104*15%,IF(C114&gt;=50%,C113*40%-C104*5%,IF(C114&lt;50%,C113*30%,0))))),0)</f>
        <v>146553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70" zoomScaleNormal="95" zoomScaleSheetLayoutView="70" workbookViewId="0">
      <selection activeCell="K48" sqref="K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408530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3" t="s">
        <v>1684</v>
      </c>
      <c r="B3" s="508">
        <f>ROUND(B2*10000/'数据-汇总表'!E3,0)</f>
        <v>29403</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49139</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3276</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89" t="s">
        <v>522</v>
      </c>
      <c r="D6" s="3390"/>
      <c r="E6" s="3389" t="s">
        <v>523</v>
      </c>
      <c r="F6" s="3390"/>
      <c r="G6" s="3389" t="s">
        <v>524</v>
      </c>
      <c r="H6" s="3390"/>
      <c r="I6" s="3389" t="s">
        <v>525</v>
      </c>
      <c r="J6" s="3390"/>
      <c r="K6" s="512" t="s">
        <v>526</v>
      </c>
      <c r="L6" s="2115"/>
      <c r="M6" s="2114"/>
      <c r="N6" s="2114"/>
      <c r="O6" s="2116"/>
      <c r="P6" s="3391" t="s">
        <v>527</v>
      </c>
      <c r="Q6" s="3392"/>
      <c r="R6" s="3397" t="s">
        <v>523</v>
      </c>
      <c r="S6" s="3398"/>
      <c r="T6" s="3397" t="s">
        <v>524</v>
      </c>
      <c r="U6" s="3398"/>
      <c r="V6" s="3384" t="s">
        <v>525</v>
      </c>
      <c r="W6" s="3384"/>
      <c r="X6" s="1550"/>
      <c r="Y6" s="3397" t="s">
        <v>527</v>
      </c>
      <c r="Z6" s="3398"/>
      <c r="AA6" s="3386" t="s">
        <v>523</v>
      </c>
      <c r="AB6" s="3387" t="s">
        <v>524</v>
      </c>
      <c r="AC6" s="3386" t="s">
        <v>525</v>
      </c>
    </row>
    <row r="7" spans="1:30" ht="20.25">
      <c r="A7" s="513"/>
      <c r="B7" s="514"/>
      <c r="C7" s="3405" t="s">
        <v>2917</v>
      </c>
      <c r="D7" s="3406"/>
      <c r="E7" s="3405" t="str">
        <f>土地案例!A155</f>
        <v>北京市海淀区&amp;quot;海淀北部地区整体开发&amp;quot;苏家坨镇HD00-0303-6031、6032、6033地块(中关村环保科技示范园)F1住宅混合公建用地、A33基础教育用地</v>
      </c>
      <c r="F7" s="3406"/>
      <c r="G7" s="3405" t="str">
        <f>土地案例!A156</f>
        <v>北京市海淀区西三旗建材城中路东侧1814-630等地块R2二类居住用地、A4体育用地、A334托幼用地</v>
      </c>
      <c r="H7" s="3406"/>
      <c r="I7" s="3405" t="str">
        <f>土地案例!A158</f>
        <v>北京市海淀区清河安宁庄1820-618A等地块R2二类居住用地、A8社区综合服务设施用地、S32公交场站设施用地、U17邮政设施用地</v>
      </c>
      <c r="J7" s="3406"/>
      <c r="K7" s="512"/>
      <c r="L7" s="2115"/>
      <c r="M7" s="2114"/>
      <c r="N7" s="2114"/>
      <c r="O7" s="2116"/>
      <c r="P7" s="3393"/>
      <c r="Q7" s="3394"/>
      <c r="R7" s="3399"/>
      <c r="S7" s="3400"/>
      <c r="T7" s="3399"/>
      <c r="U7" s="3400"/>
      <c r="V7" s="3384"/>
      <c r="W7" s="3384"/>
      <c r="X7" s="1550"/>
      <c r="Y7" s="3399"/>
      <c r="Z7" s="3400"/>
      <c r="AA7" s="3387"/>
      <c r="AB7" s="3387"/>
      <c r="AC7" s="3387"/>
    </row>
    <row r="8" spans="1:30" ht="21" thickBot="1">
      <c r="A8" s="513"/>
      <c r="B8" s="514"/>
      <c r="C8" s="3407" t="s">
        <v>2921</v>
      </c>
      <c r="D8" s="3408"/>
      <c r="E8" s="3407" t="s">
        <v>2921</v>
      </c>
      <c r="F8" s="3408"/>
      <c r="G8" s="3403" t="s">
        <v>2921</v>
      </c>
      <c r="H8" s="3404"/>
      <c r="I8" s="3403" t="s">
        <v>2921</v>
      </c>
      <c r="J8" s="3404"/>
      <c r="K8" s="512" t="s">
        <v>528</v>
      </c>
      <c r="L8" s="2115"/>
      <c r="M8" s="2114"/>
      <c r="N8" s="2114"/>
      <c r="O8" s="2116"/>
      <c r="P8" s="3395"/>
      <c r="Q8" s="3396"/>
      <c r="R8" s="3399"/>
      <c r="S8" s="3400"/>
      <c r="T8" s="3401"/>
      <c r="U8" s="3402"/>
      <c r="V8" s="3384"/>
      <c r="W8" s="3384"/>
      <c r="X8" s="1550"/>
      <c r="Y8" s="3401"/>
      <c r="Z8" s="3402"/>
      <c r="AA8" s="3388"/>
      <c r="AB8" s="3388"/>
      <c r="AC8" s="3388"/>
    </row>
    <row r="9" spans="1:30" s="1214" customFormat="1" ht="21" thickBot="1">
      <c r="A9" s="2864"/>
      <c r="B9" s="2871" t="s">
        <v>529</v>
      </c>
      <c r="C9" s="2863">
        <f>'数据-取费表'!B2</f>
        <v>43833</v>
      </c>
      <c r="D9" s="518">
        <v>100</v>
      </c>
      <c r="E9" s="519" t="str">
        <f>土地案例!I155</f>
        <v>2019-05-28</v>
      </c>
      <c r="F9" s="520">
        <f>SUMIF(72:72,YEAR(E9)&amp;"-"&amp;INT((MONTH(E9)+2)/3),73:73)</f>
        <v>97</v>
      </c>
      <c r="G9" s="521" t="str">
        <f>土地案例!I156</f>
        <v>2019-01-24</v>
      </c>
      <c r="H9" s="518">
        <f>SUMIF(72:72,YEAR(G9)&amp;"-"&amp;INT((MONTH(G9)+2)/3),73:73)</f>
        <v>96</v>
      </c>
      <c r="I9" s="521" t="str">
        <f>土地案例!I158</f>
        <v>2019-01-24</v>
      </c>
      <c r="J9" s="518">
        <f>SUMIF(72:72,YEAR(I9)&amp;"-"&amp;INT((MONTH(I9)+2)/3),73:73)</f>
        <v>96</v>
      </c>
      <c r="K9" s="522"/>
      <c r="L9" s="2117"/>
      <c r="M9" s="2114"/>
      <c r="N9" s="2114"/>
      <c r="O9" s="2118"/>
      <c r="P9" s="3414" t="s">
        <v>530</v>
      </c>
      <c r="Q9" s="3416"/>
      <c r="R9" s="1551" t="s">
        <v>8</v>
      </c>
      <c r="S9" s="1552">
        <f t="shared" ref="S9:S17" si="0">F9</f>
        <v>97</v>
      </c>
      <c r="T9" s="1551" t="s">
        <v>8</v>
      </c>
      <c r="U9" s="1552">
        <f t="shared" ref="U9:U17" si="1">H9</f>
        <v>96</v>
      </c>
      <c r="V9" s="1551" t="s">
        <v>8</v>
      </c>
      <c r="W9" s="1552">
        <f t="shared" ref="W9:W17" si="2">J9</f>
        <v>96</v>
      </c>
      <c r="X9" s="1553"/>
      <c r="Y9" s="3414" t="s">
        <v>530</v>
      </c>
      <c r="Z9" s="3415"/>
      <c r="AA9" s="1554">
        <f>D9/F9</f>
        <v>1.0309278350515463</v>
      </c>
      <c r="AB9" s="1554">
        <f>D9/H9</f>
        <v>1.0416666666666667</v>
      </c>
      <c r="AC9" s="1554">
        <f>D9/J9</f>
        <v>1.0416666666666667</v>
      </c>
    </row>
    <row r="10" spans="1:30" s="1214" customFormat="1" ht="21" thickBot="1">
      <c r="A10" s="2865"/>
      <c r="B10" s="287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7"/>
      <c r="M10" s="2114"/>
      <c r="N10" s="2114"/>
      <c r="O10" s="2118"/>
      <c r="P10" s="3414" t="s">
        <v>533</v>
      </c>
      <c r="Q10" s="3415"/>
      <c r="R10" s="1551" t="s">
        <v>8</v>
      </c>
      <c r="S10" s="1552">
        <f t="shared" si="0"/>
        <v>100</v>
      </c>
      <c r="T10" s="1551" t="s">
        <v>8</v>
      </c>
      <c r="U10" s="1552">
        <f t="shared" si="1"/>
        <v>100</v>
      </c>
      <c r="V10" s="1551" t="s">
        <v>8</v>
      </c>
      <c r="W10" s="1552">
        <f t="shared" si="2"/>
        <v>100</v>
      </c>
      <c r="X10" s="1553"/>
      <c r="Y10" s="3414" t="s">
        <v>533</v>
      </c>
      <c r="Z10" s="3415"/>
      <c r="AA10" s="1554">
        <f t="shared" ref="AA10:AA47" si="3">D10/F10</f>
        <v>1</v>
      </c>
      <c r="AB10" s="1554">
        <f t="shared" ref="AB10:AB47" si="4">D10/H10</f>
        <v>1</v>
      </c>
      <c r="AC10" s="1554">
        <f t="shared" ref="AC10:AC47" si="5">D10/J10</f>
        <v>1</v>
      </c>
    </row>
    <row r="11" spans="1:30" s="1214" customFormat="1" ht="20.25">
      <c r="A11" s="2866"/>
      <c r="B11" s="2873" t="s">
        <v>2751</v>
      </c>
      <c r="C11" s="2860" t="s">
        <v>923</v>
      </c>
      <c r="D11" s="253">
        <v>100</v>
      </c>
      <c r="E11" s="2860" t="s">
        <v>923</v>
      </c>
      <c r="F11" s="253">
        <f>SUMIF(77:77,E11,78:78)-SUMIF(77:77,C11,78:78)+100</f>
        <v>100</v>
      </c>
      <c r="G11" s="2860" t="s">
        <v>923</v>
      </c>
      <c r="H11" s="253">
        <f>SUMIF(77:77,G11,78:78)-SUMIF(77:77,C11,78:78)+100</f>
        <v>100</v>
      </c>
      <c r="I11" s="2860" t="s">
        <v>923</v>
      </c>
      <c r="J11" s="253">
        <f>SUMIF(77:77,I11,78:78)-SUMIF(77:77,C11,78:78)+100</f>
        <v>100</v>
      </c>
      <c r="K11" s="522"/>
      <c r="L11" s="2117"/>
      <c r="M11" s="2114"/>
      <c r="N11" s="2114"/>
      <c r="O11" s="2119"/>
      <c r="P11" s="3383" t="s">
        <v>535</v>
      </c>
      <c r="Q11" s="1145" t="str">
        <f t="shared" ref="Q11:Q17" si="6">B11</f>
        <v>用途</v>
      </c>
      <c r="R11" s="1551" t="s">
        <v>8</v>
      </c>
      <c r="S11" s="1552">
        <f t="shared" si="0"/>
        <v>100</v>
      </c>
      <c r="T11" s="1551" t="s">
        <v>8</v>
      </c>
      <c r="U11" s="1552">
        <f t="shared" si="1"/>
        <v>100</v>
      </c>
      <c r="V11" s="1551" t="s">
        <v>8</v>
      </c>
      <c r="W11" s="1552">
        <f t="shared" si="2"/>
        <v>100</v>
      </c>
      <c r="X11" s="1553"/>
      <c r="Y11" s="3329" t="s">
        <v>536</v>
      </c>
      <c r="Z11" s="1144" t="str">
        <f t="shared" ref="Z11:Z17" si="7">Q11</f>
        <v>用途</v>
      </c>
      <c r="AA11" s="1554">
        <f t="shared" si="3"/>
        <v>1</v>
      </c>
      <c r="AB11" s="1554">
        <f t="shared" si="4"/>
        <v>1</v>
      </c>
      <c r="AC11" s="1554">
        <f t="shared" si="5"/>
        <v>1</v>
      </c>
    </row>
    <row r="12" spans="1:30" s="1332" customFormat="1" ht="27">
      <c r="A12" s="2867"/>
      <c r="B12" s="2872" t="s">
        <v>2752</v>
      </c>
      <c r="C12" s="908"/>
      <c r="D12" s="254">
        <v>100</v>
      </c>
      <c r="E12" s="527"/>
      <c r="F12" s="254">
        <f>ROUND(100/'数据-取费表'!G16,0)</f>
        <v>100</v>
      </c>
      <c r="G12" s="528"/>
      <c r="H12" s="254">
        <f>ROUND(100/'数据-取费表'!G16,0)</f>
        <v>100</v>
      </c>
      <c r="I12" s="528"/>
      <c r="J12" s="254">
        <f>ROUND(100/'数据-取费表'!G16,0)</f>
        <v>100</v>
      </c>
      <c r="K12" s="529"/>
      <c r="L12" s="2120"/>
      <c r="M12" s="2114"/>
      <c r="N12" s="2114"/>
      <c r="O12" s="2121"/>
      <c r="P12" s="3383"/>
      <c r="Q12" s="1145" t="str">
        <f t="shared" si="6"/>
        <v>土地使用年限（年）</v>
      </c>
      <c r="R12" s="1551" t="s">
        <v>8</v>
      </c>
      <c r="S12" s="1552">
        <f t="shared" si="0"/>
        <v>100</v>
      </c>
      <c r="T12" s="1551" t="s">
        <v>8</v>
      </c>
      <c r="U12" s="1552">
        <f t="shared" si="1"/>
        <v>100</v>
      </c>
      <c r="V12" s="1551" t="s">
        <v>8</v>
      </c>
      <c r="W12" s="1552">
        <f t="shared" si="2"/>
        <v>100</v>
      </c>
      <c r="X12" s="1553"/>
      <c r="Y12" s="3329"/>
      <c r="Z12" s="1144" t="str">
        <f t="shared" si="7"/>
        <v>土地使用年限（年）</v>
      </c>
      <c r="AA12" s="1554">
        <f t="shared" si="3"/>
        <v>1</v>
      </c>
      <c r="AB12" s="1554">
        <f t="shared" si="4"/>
        <v>1</v>
      </c>
      <c r="AC12" s="1554">
        <f t="shared" si="5"/>
        <v>1</v>
      </c>
    </row>
    <row r="13" spans="1:30" ht="20.25">
      <c r="A13" s="2868"/>
      <c r="B13" s="2872" t="s">
        <v>2753</v>
      </c>
      <c r="C13" s="532">
        <f>'数据-汇总表'!I6</f>
        <v>1.67</v>
      </c>
      <c r="D13" s="254">
        <v>100</v>
      </c>
      <c r="E13" s="531">
        <v>3</v>
      </c>
      <c r="F13" s="254">
        <f>LOOKUP(E13,82:82,83:83)-LOOKUP(C13,82:82,83:83)+100</f>
        <v>96</v>
      </c>
      <c r="G13" s="532">
        <f>土地案例!G156</f>
        <v>2.15</v>
      </c>
      <c r="H13" s="254">
        <f>LOOKUP(G13,82:82,83:83)-LOOKUP(C13,82:82,83:83)+100</f>
        <v>98</v>
      </c>
      <c r="I13" s="531">
        <f>土地案例!G158</f>
        <v>2.06</v>
      </c>
      <c r="J13" s="254">
        <f>LOOKUP(I13,82:82,83:83)-LOOKUP(C13,82:82,83:83)+100</f>
        <v>98</v>
      </c>
      <c r="K13" s="533">
        <v>2</v>
      </c>
      <c r="L13" s="2122"/>
      <c r="M13" s="2114"/>
      <c r="N13" s="2114"/>
      <c r="O13" s="2123"/>
      <c r="P13" s="3383"/>
      <c r="Q13" s="1145" t="str">
        <f t="shared" si="6"/>
        <v>容积率</v>
      </c>
      <c r="R13" s="1551" t="s">
        <v>8</v>
      </c>
      <c r="S13" s="1552">
        <f t="shared" si="0"/>
        <v>96</v>
      </c>
      <c r="T13" s="1551" t="s">
        <v>8</v>
      </c>
      <c r="U13" s="1552">
        <f t="shared" si="1"/>
        <v>98</v>
      </c>
      <c r="V13" s="1551" t="s">
        <v>8</v>
      </c>
      <c r="W13" s="1552">
        <f t="shared" si="2"/>
        <v>98</v>
      </c>
      <c r="X13" s="1553"/>
      <c r="Y13" s="3329"/>
      <c r="Z13" s="1144" t="str">
        <f t="shared" si="7"/>
        <v>容积率</v>
      </c>
      <c r="AA13" s="1554">
        <f t="shared" si="3"/>
        <v>1.0416666666666667</v>
      </c>
      <c r="AB13" s="1554">
        <f t="shared" si="4"/>
        <v>1.0204081632653061</v>
      </c>
      <c r="AC13" s="1554">
        <f t="shared" si="5"/>
        <v>1.0204081632653061</v>
      </c>
    </row>
    <row r="14" spans="1:30" s="1214" customFormat="1" ht="21" thickBot="1">
      <c r="A14" s="2865"/>
      <c r="B14" s="2874" t="s">
        <v>2754</v>
      </c>
      <c r="C14" s="2861" t="s">
        <v>3679</v>
      </c>
      <c r="D14" s="536">
        <v>100</v>
      </c>
      <c r="E14" s="1369" t="s">
        <v>3679</v>
      </c>
      <c r="F14" s="254">
        <f>SUMIF(84:84,E14,85:85)-SUMIF(84:84,C14,85:85)+100</f>
        <v>100</v>
      </c>
      <c r="G14" s="3201" t="s">
        <v>3678</v>
      </c>
      <c r="H14" s="254">
        <f>SUMIF(84:84,G14,85:85)-SUMIF(84:84,C14,85:85)+100</f>
        <v>100</v>
      </c>
      <c r="I14" s="3202" t="s">
        <v>3680</v>
      </c>
      <c r="J14" s="254">
        <f>SUMIF(84:84,I14,85:85)-SUMIF(84:84,C14,85:85)+100</f>
        <v>105</v>
      </c>
      <c r="K14" s="529"/>
      <c r="L14" s="2117"/>
      <c r="M14" s="2114"/>
      <c r="N14" s="2114"/>
      <c r="O14" s="2119"/>
      <c r="P14" s="3383"/>
      <c r="Q14" s="1145" t="str">
        <f t="shared" si="6"/>
        <v>配建</v>
      </c>
      <c r="R14" s="1551" t="s">
        <v>8</v>
      </c>
      <c r="S14" s="1552">
        <f t="shared" si="0"/>
        <v>100</v>
      </c>
      <c r="T14" s="1551" t="s">
        <v>8</v>
      </c>
      <c r="U14" s="1552">
        <f t="shared" si="1"/>
        <v>100</v>
      </c>
      <c r="V14" s="1551" t="s">
        <v>8</v>
      </c>
      <c r="W14" s="1552">
        <f t="shared" si="2"/>
        <v>105</v>
      </c>
      <c r="X14" s="1553"/>
      <c r="Y14" s="3329"/>
      <c r="Z14" s="1144" t="str">
        <f t="shared" si="7"/>
        <v>配建</v>
      </c>
      <c r="AA14" s="1554">
        <f>D14/F14</f>
        <v>1</v>
      </c>
      <c r="AB14" s="1554">
        <f>D14/H14</f>
        <v>1</v>
      </c>
      <c r="AC14" s="1554">
        <f>D14/J14</f>
        <v>0.95238095238095233</v>
      </c>
    </row>
    <row r="15" spans="1:30" ht="20.25" hidden="1">
      <c r="A15" s="2869"/>
      <c r="B15" s="2875">
        <v>111</v>
      </c>
      <c r="C15" s="910"/>
      <c r="D15" s="538">
        <v>100</v>
      </c>
      <c r="E15" s="539"/>
      <c r="F15" s="254">
        <f>SUMIF(86:86,E15,87:87)-SUMIF(86:86,C15,87:87)+100</f>
        <v>100</v>
      </c>
      <c r="G15" s="540"/>
      <c r="H15" s="538">
        <f>SUMIF(86:86,G15,87:87)-SUMIF(86:86,C15,87:87)+100</f>
        <v>100</v>
      </c>
      <c r="I15" s="540"/>
      <c r="J15" s="538">
        <f>SUMIF(86:86,I15,87:87)-SUMIF(86:86,C15,87:87)+100</f>
        <v>100</v>
      </c>
      <c r="K15" s="529"/>
      <c r="L15" s="2124"/>
      <c r="M15" s="2114"/>
      <c r="N15" s="2114"/>
      <c r="O15" s="2123"/>
      <c r="P15" s="3383"/>
      <c r="Q15" s="1145">
        <f t="shared" si="6"/>
        <v>111</v>
      </c>
      <c r="R15" s="1551" t="s">
        <v>8</v>
      </c>
      <c r="S15" s="1552">
        <f t="shared" si="0"/>
        <v>100</v>
      </c>
      <c r="T15" s="1551" t="s">
        <v>8</v>
      </c>
      <c r="U15" s="1552">
        <f t="shared" si="1"/>
        <v>100</v>
      </c>
      <c r="V15" s="1551" t="s">
        <v>8</v>
      </c>
      <c r="W15" s="1552">
        <f t="shared" si="2"/>
        <v>100</v>
      </c>
      <c r="X15" s="1553"/>
      <c r="Y15" s="3329"/>
      <c r="Z15" s="1144">
        <f t="shared" si="7"/>
        <v>111</v>
      </c>
      <c r="AA15" s="1554">
        <f>D15/F15</f>
        <v>1</v>
      </c>
      <c r="AB15" s="1554">
        <f>D15/H15</f>
        <v>1</v>
      </c>
      <c r="AC15" s="1554">
        <f>D15/J15</f>
        <v>1</v>
      </c>
    </row>
    <row r="16" spans="1:30" ht="21" hidden="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3"/>
      <c r="Q16" s="1145">
        <f t="shared" si="6"/>
        <v>111</v>
      </c>
      <c r="R16" s="1551" t="s">
        <v>8</v>
      </c>
      <c r="S16" s="1552">
        <f t="shared" si="0"/>
        <v>100</v>
      </c>
      <c r="T16" s="1551" t="s">
        <v>8</v>
      </c>
      <c r="U16" s="1552">
        <f t="shared" si="1"/>
        <v>100</v>
      </c>
      <c r="V16" s="1551" t="s">
        <v>8</v>
      </c>
      <c r="W16" s="1552">
        <f t="shared" si="2"/>
        <v>100</v>
      </c>
      <c r="X16" s="1553"/>
      <c r="Y16" s="3329"/>
      <c r="Z16" s="1144">
        <f t="shared" si="7"/>
        <v>111</v>
      </c>
      <c r="AA16" s="1554">
        <f>D16/F16</f>
        <v>1</v>
      </c>
      <c r="AB16" s="1554">
        <f>D16/H16</f>
        <v>1</v>
      </c>
      <c r="AC16" s="1554">
        <f>D16/J16</f>
        <v>1</v>
      </c>
    </row>
    <row r="17" spans="1:29" ht="99.75">
      <c r="A17" s="2862" t="s">
        <v>2749</v>
      </c>
      <c r="B17" s="576" t="s">
        <v>295</v>
      </c>
      <c r="C17" s="546" t="str">
        <f>估价对象房地状况!C15</f>
        <v>估价对象周边居住用地比例较小、居住小区规模和社区发展完善程度一般，综合评价居住社区成熟度一般</v>
      </c>
      <c r="D17" s="549">
        <v>100</v>
      </c>
      <c r="E17" s="550"/>
      <c r="F17" s="547">
        <f>SUMIF(90:90,E18,91:91)-SUMIF(90:90,C18,91:91)+100</f>
        <v>100</v>
      </c>
      <c r="G17" s="548"/>
      <c r="H17" s="547">
        <f>SUMIF(90:90,G18,91:91)-SUMIF(90:90,C18,91:91)+100</f>
        <v>103</v>
      </c>
      <c r="I17" s="550"/>
      <c r="J17" s="547">
        <f>SUMIF(90:90,I18,91:91)-SUMIF(90:90,C18,91:91)+100</f>
        <v>100</v>
      </c>
      <c r="K17" s="533">
        <v>3</v>
      </c>
      <c r="L17" s="2124"/>
      <c r="M17" s="2114"/>
      <c r="N17" s="2114"/>
      <c r="O17" s="2123"/>
      <c r="P17" s="3417" t="s">
        <v>540</v>
      </c>
      <c r="Q17" s="1555" t="str">
        <f t="shared" si="6"/>
        <v>居住社区成熟度</v>
      </c>
      <c r="R17" s="1556" t="s">
        <v>8</v>
      </c>
      <c r="S17" s="1557">
        <f t="shared" si="0"/>
        <v>100</v>
      </c>
      <c r="T17" s="1556" t="s">
        <v>8</v>
      </c>
      <c r="U17" s="1557">
        <f t="shared" si="1"/>
        <v>103</v>
      </c>
      <c r="V17" s="1556" t="s">
        <v>8</v>
      </c>
      <c r="W17" s="1557">
        <f t="shared" si="2"/>
        <v>100</v>
      </c>
      <c r="X17" s="1550"/>
      <c r="Y17" s="3417" t="s">
        <v>540</v>
      </c>
      <c r="Z17" s="1558" t="str">
        <f t="shared" si="7"/>
        <v>居住社区成熟度</v>
      </c>
      <c r="AA17" s="1559">
        <f t="shared" si="3"/>
        <v>1</v>
      </c>
      <c r="AB17" s="1559">
        <f t="shared" si="4"/>
        <v>0.970873786407767</v>
      </c>
      <c r="AC17" s="1559">
        <f t="shared" si="5"/>
        <v>1</v>
      </c>
    </row>
    <row r="18" spans="1:29" ht="20.25">
      <c r="A18" s="530"/>
      <c r="B18" s="551"/>
      <c r="C18" s="552" t="s">
        <v>3633</v>
      </c>
      <c r="D18" s="555"/>
      <c r="E18" s="552" t="s">
        <v>3633</v>
      </c>
      <c r="F18" s="553"/>
      <c r="G18" s="554" t="s">
        <v>3649</v>
      </c>
      <c r="H18" s="557"/>
      <c r="I18" s="556" t="s">
        <v>3633</v>
      </c>
      <c r="J18" s="553"/>
      <c r="K18" s="529"/>
      <c r="L18" s="2124"/>
      <c r="M18" s="2114"/>
      <c r="N18" s="2114"/>
      <c r="O18" s="2123"/>
      <c r="P18" s="3418"/>
      <c r="Q18" s="1555"/>
      <c r="R18" s="1556"/>
      <c r="S18" s="1557"/>
      <c r="T18" s="1556"/>
      <c r="U18" s="1557"/>
      <c r="V18" s="1556"/>
      <c r="W18" s="1557"/>
      <c r="X18" s="1550"/>
      <c r="Y18" s="3418"/>
      <c r="Z18" s="1558"/>
      <c r="AA18" s="1559">
        <v>1</v>
      </c>
      <c r="AB18" s="1559">
        <v>1</v>
      </c>
      <c r="AC18" s="1559">
        <v>1</v>
      </c>
    </row>
    <row r="19" spans="1:29" ht="57">
      <c r="A19" s="530"/>
      <c r="B19" s="558" t="s">
        <v>541</v>
      </c>
      <c r="C19" s="559" t="str">
        <f>估价对象房地状况!C16</f>
        <v>周边商业氛围较差，人流量一般，商业繁华度一般</v>
      </c>
      <c r="D19" s="561">
        <v>100</v>
      </c>
      <c r="E19" s="562"/>
      <c r="F19" s="557">
        <f>SUMIF(92:92,E20,93:93)-SUMIF(92:92,C20,93:93)+100</f>
        <v>100</v>
      </c>
      <c r="G19" s="560"/>
      <c r="H19" s="563">
        <f>SUMIF(92:92,G20,93:93)-SUMIF(92:92,C20,93:93)+100</f>
        <v>103</v>
      </c>
      <c r="I19" s="562"/>
      <c r="J19" s="563">
        <f>SUMIF(92:92,I20,93:93)-SUMIF(92:92,C20,93:93)+100</f>
        <v>100</v>
      </c>
      <c r="K19" s="533">
        <v>3</v>
      </c>
      <c r="L19" s="2124"/>
      <c r="M19" s="2114"/>
      <c r="N19" s="2114"/>
      <c r="O19" s="2123"/>
      <c r="P19" s="3418"/>
      <c r="Q19" s="1555" t="str">
        <f>B19</f>
        <v>商业繁华度</v>
      </c>
      <c r="R19" s="1556" t="s">
        <v>8</v>
      </c>
      <c r="S19" s="1557">
        <f>F19</f>
        <v>100</v>
      </c>
      <c r="T19" s="1556" t="s">
        <v>8</v>
      </c>
      <c r="U19" s="1557">
        <f>H19</f>
        <v>103</v>
      </c>
      <c r="V19" s="1556" t="s">
        <v>8</v>
      </c>
      <c r="W19" s="1557">
        <f>J19</f>
        <v>100</v>
      </c>
      <c r="X19" s="1550"/>
      <c r="Y19" s="3418"/>
      <c r="Z19" s="1558" t="str">
        <f>Q19</f>
        <v>商业繁华度</v>
      </c>
      <c r="AA19" s="1559">
        <f t="shared" si="3"/>
        <v>1</v>
      </c>
      <c r="AB19" s="1559">
        <f t="shared" si="4"/>
        <v>0.970873786407767</v>
      </c>
      <c r="AC19" s="1559">
        <f t="shared" si="5"/>
        <v>1</v>
      </c>
    </row>
    <row r="20" spans="1:29" ht="20.25">
      <c r="A20" s="530"/>
      <c r="B20" s="564"/>
      <c r="C20" s="565" t="s">
        <v>3633</v>
      </c>
      <c r="D20" s="561"/>
      <c r="E20" s="552" t="s">
        <v>3633</v>
      </c>
      <c r="F20" s="557"/>
      <c r="G20" s="554" t="s">
        <v>3649</v>
      </c>
      <c r="H20" s="553"/>
      <c r="I20" s="567" t="s">
        <v>3633</v>
      </c>
      <c r="J20" s="553"/>
      <c r="K20" s="529"/>
      <c r="L20" s="2124"/>
      <c r="M20" s="2114"/>
      <c r="N20" s="2114"/>
      <c r="O20" s="2123"/>
      <c r="P20" s="3418"/>
      <c r="Q20" s="1555"/>
      <c r="R20" s="1556"/>
      <c r="S20" s="1557"/>
      <c r="T20" s="1556"/>
      <c r="U20" s="1557"/>
      <c r="V20" s="1556"/>
      <c r="W20" s="1557"/>
      <c r="X20" s="1550"/>
      <c r="Y20" s="3418"/>
      <c r="Z20" s="1558"/>
      <c r="AA20" s="1559">
        <v>1</v>
      </c>
      <c r="AB20" s="1559">
        <v>1</v>
      </c>
      <c r="AC20" s="155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18"/>
      <c r="Q21" s="1555" t="str">
        <f>B21</f>
        <v>办公集聚程度</v>
      </c>
      <c r="R21" s="1556" t="s">
        <v>8</v>
      </c>
      <c r="S21" s="1557">
        <f>F21</f>
        <v>100</v>
      </c>
      <c r="T21" s="1556" t="s">
        <v>8</v>
      </c>
      <c r="U21" s="1557">
        <f>H21</f>
        <v>100</v>
      </c>
      <c r="V21" s="1556" t="s">
        <v>8</v>
      </c>
      <c r="W21" s="1557">
        <f>J21</f>
        <v>100</v>
      </c>
      <c r="X21" s="1550"/>
      <c r="Y21" s="3418"/>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18"/>
      <c r="Q22" s="1555"/>
      <c r="R22" s="1556"/>
      <c r="S22" s="1557"/>
      <c r="T22" s="1556"/>
      <c r="U22" s="1557"/>
      <c r="V22" s="1556"/>
      <c r="W22" s="1557"/>
      <c r="X22" s="1550"/>
      <c r="Y22" s="3418"/>
      <c r="Z22" s="1558"/>
      <c r="AA22" s="1559">
        <v>1</v>
      </c>
      <c r="AB22" s="1559">
        <v>1</v>
      </c>
      <c r="AC22" s="1559">
        <v>1</v>
      </c>
    </row>
    <row r="23" spans="1:29" ht="85.5">
      <c r="A23" s="530"/>
      <c r="B23" s="558" t="s">
        <v>543</v>
      </c>
      <c r="C23" s="571" t="str">
        <f>估价对象房地状况!C18</f>
        <v>估价对象周边道路状况较通达、公共交通通达情况一般、停车较便捷，综合评价交通便捷度一般</v>
      </c>
      <c r="D23" s="561">
        <v>100</v>
      </c>
      <c r="E23" s="562"/>
      <c r="F23" s="563">
        <f>SUMIF(96:96,E24,97:97)-SUMIF(96:96,C24,97:97)+100</f>
        <v>100</v>
      </c>
      <c r="G23" s="560"/>
      <c r="H23" s="557">
        <f>SUMIF(96:96,G24,97:97)-SUMIF(96:96,C24,97:97)+100</f>
        <v>102</v>
      </c>
      <c r="I23" s="562"/>
      <c r="J23" s="557">
        <f>SUMIF(96:96,I24,97:97)-SUMIF(96:96,C24,97:97)+100</f>
        <v>100</v>
      </c>
      <c r="K23" s="533">
        <v>2</v>
      </c>
      <c r="L23" s="2124"/>
      <c r="M23" s="2114"/>
      <c r="N23" s="2114"/>
      <c r="O23" s="2123"/>
      <c r="P23" s="3418"/>
      <c r="Q23" s="1555" t="str">
        <f>B23</f>
        <v>交通便捷度</v>
      </c>
      <c r="R23" s="1556" t="s">
        <v>8</v>
      </c>
      <c r="S23" s="1557">
        <f>F23</f>
        <v>100</v>
      </c>
      <c r="T23" s="1556" t="s">
        <v>8</v>
      </c>
      <c r="U23" s="1557">
        <f>H23</f>
        <v>102</v>
      </c>
      <c r="V23" s="1556" t="s">
        <v>8</v>
      </c>
      <c r="W23" s="1557">
        <f>J23</f>
        <v>100</v>
      </c>
      <c r="X23" s="1550"/>
      <c r="Y23" s="3418"/>
      <c r="Z23" s="1558" t="str">
        <f>Q23</f>
        <v>交通便捷度</v>
      </c>
      <c r="AA23" s="1559">
        <f t="shared" si="3"/>
        <v>1</v>
      </c>
      <c r="AB23" s="1559">
        <f t="shared" si="4"/>
        <v>0.98039215686274506</v>
      </c>
      <c r="AC23" s="1559">
        <f t="shared" si="5"/>
        <v>1</v>
      </c>
    </row>
    <row r="24" spans="1:29" ht="20.25">
      <c r="A24" s="530"/>
      <c r="B24" s="576"/>
      <c r="C24" s="552" t="s">
        <v>3633</v>
      </c>
      <c r="D24" s="555"/>
      <c r="E24" s="552" t="s">
        <v>3633</v>
      </c>
      <c r="F24" s="553"/>
      <c r="G24" s="554" t="s">
        <v>3649</v>
      </c>
      <c r="H24" s="553"/>
      <c r="I24" s="556" t="s">
        <v>3633</v>
      </c>
      <c r="J24" s="553"/>
      <c r="K24" s="529"/>
      <c r="L24" s="2124"/>
      <c r="M24" s="2114"/>
      <c r="N24" s="2114"/>
      <c r="O24" s="2123"/>
      <c r="P24" s="3418"/>
      <c r="Q24" s="1555"/>
      <c r="R24" s="1556"/>
      <c r="S24" s="1557"/>
      <c r="T24" s="1556"/>
      <c r="U24" s="1557"/>
      <c r="V24" s="1556"/>
      <c r="W24" s="1557"/>
      <c r="X24" s="1550"/>
      <c r="Y24" s="3418"/>
      <c r="Z24" s="1558"/>
      <c r="AA24" s="1559">
        <v>1</v>
      </c>
      <c r="AB24" s="1559">
        <v>1</v>
      </c>
      <c r="AC24" s="1559">
        <v>1</v>
      </c>
    </row>
    <row r="25" spans="1:29" ht="27">
      <c r="A25" s="513"/>
      <c r="B25" s="258"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18"/>
      <c r="Q25" s="1555" t="str">
        <f t="shared" ref="Q25:Q39" si="8">B25</f>
        <v>区域土地利用方向</v>
      </c>
      <c r="R25" s="1556" t="s">
        <v>8</v>
      </c>
      <c r="S25" s="1557">
        <f>F25</f>
        <v>100</v>
      </c>
      <c r="T25" s="1556" t="s">
        <v>8</v>
      </c>
      <c r="U25" s="1557">
        <f>H25</f>
        <v>100</v>
      </c>
      <c r="V25" s="1556" t="s">
        <v>8</v>
      </c>
      <c r="W25" s="1557">
        <f>J25</f>
        <v>100</v>
      </c>
      <c r="X25" s="1550"/>
      <c r="Y25" s="3418"/>
      <c r="Z25" s="1558" t="str">
        <f>Q25</f>
        <v>区域土地利用方向</v>
      </c>
      <c r="AA25" s="1559">
        <f t="shared" si="3"/>
        <v>1</v>
      </c>
      <c r="AB25" s="1559">
        <f t="shared" si="4"/>
        <v>1</v>
      </c>
      <c r="AC25" s="1559">
        <f t="shared" si="5"/>
        <v>1</v>
      </c>
    </row>
    <row r="26" spans="1:29" ht="20.25">
      <c r="A26" s="513"/>
      <c r="B26" s="1005"/>
      <c r="C26" s="552" t="s">
        <v>3649</v>
      </c>
      <c r="D26" s="555"/>
      <c r="E26" s="552" t="s">
        <v>3649</v>
      </c>
      <c r="F26" s="553"/>
      <c r="G26" s="554" t="s">
        <v>3649</v>
      </c>
      <c r="H26" s="553"/>
      <c r="I26" s="554" t="s">
        <v>3649</v>
      </c>
      <c r="J26" s="553"/>
      <c r="K26" s="529"/>
      <c r="L26" s="2124"/>
      <c r="M26" s="2114"/>
      <c r="N26" s="2114"/>
      <c r="O26" s="2123"/>
      <c r="P26" s="3418"/>
      <c r="Q26" s="1555"/>
      <c r="R26" s="1556"/>
      <c r="S26" s="1557"/>
      <c r="T26" s="1556"/>
      <c r="U26" s="1557"/>
      <c r="V26" s="1556"/>
      <c r="W26" s="1557"/>
      <c r="X26" s="1550"/>
      <c r="Y26" s="3418"/>
      <c r="Z26" s="1558"/>
      <c r="AA26" s="1559"/>
      <c r="AB26" s="1559"/>
      <c r="AC26" s="1559"/>
    </row>
    <row r="27" spans="1:29" ht="57">
      <c r="A27" s="513"/>
      <c r="B27" s="576" t="s">
        <v>545</v>
      </c>
      <c r="C27" s="559" t="str">
        <f>估价对象房地状况!C20</f>
        <v>区域自然环境较好；人文环境一般；综合评价环境状况较好</v>
      </c>
      <c r="D27" s="561">
        <v>100</v>
      </c>
      <c r="E27" s="562"/>
      <c r="F27" s="557">
        <f>SUMIF(100:100,E28,101:101)-SUMIF(100:100,C28,101:101)+100</f>
        <v>100</v>
      </c>
      <c r="G27" s="560"/>
      <c r="H27" s="557">
        <f>SUMIF(100:100,G28,101:101)-SUMIF(100:100,C28,101:101)+100</f>
        <v>97</v>
      </c>
      <c r="I27" s="562"/>
      <c r="J27" s="557">
        <f>SUMIF(100:100,I28,101:101)-SUMIF(100:100,C28,101:101)+100</f>
        <v>100</v>
      </c>
      <c r="K27" s="533">
        <v>3</v>
      </c>
      <c r="L27" s="2124"/>
      <c r="M27" s="2114"/>
      <c r="N27" s="2114"/>
      <c r="O27" s="2123"/>
      <c r="P27" s="3418"/>
      <c r="Q27" s="1555" t="str">
        <f t="shared" si="8"/>
        <v>自然及人文环境状况</v>
      </c>
      <c r="R27" s="1556" t="s">
        <v>8</v>
      </c>
      <c r="S27" s="1557">
        <f>F27</f>
        <v>100</v>
      </c>
      <c r="T27" s="1556" t="s">
        <v>8</v>
      </c>
      <c r="U27" s="1557">
        <f>H27</f>
        <v>97</v>
      </c>
      <c r="V27" s="1556" t="s">
        <v>8</v>
      </c>
      <c r="W27" s="1557">
        <f>J27</f>
        <v>100</v>
      </c>
      <c r="X27" s="1550"/>
      <c r="Y27" s="3418"/>
      <c r="Z27" s="1558" t="str">
        <f>Q27</f>
        <v>自然及人文环境状况</v>
      </c>
      <c r="AA27" s="1559">
        <f t="shared" si="3"/>
        <v>1</v>
      </c>
      <c r="AB27" s="1559">
        <f t="shared" si="4"/>
        <v>1.0309278350515463</v>
      </c>
      <c r="AC27" s="1559">
        <f t="shared" si="5"/>
        <v>1</v>
      </c>
    </row>
    <row r="28" spans="1:29" ht="20.25">
      <c r="A28" s="513"/>
      <c r="B28" s="564"/>
      <c r="C28" s="552" t="s">
        <v>3649</v>
      </c>
      <c r="D28" s="555"/>
      <c r="E28" s="552" t="s">
        <v>3649</v>
      </c>
      <c r="F28" s="553"/>
      <c r="G28" s="552" t="s">
        <v>3633</v>
      </c>
      <c r="H28" s="553"/>
      <c r="I28" s="574" t="s">
        <v>3649</v>
      </c>
      <c r="J28" s="553"/>
      <c r="K28" s="529"/>
      <c r="L28" s="2124"/>
      <c r="M28" s="2114"/>
      <c r="N28" s="2114"/>
      <c r="O28" s="2123"/>
      <c r="P28" s="3418"/>
      <c r="Q28" s="1555"/>
      <c r="R28" s="1556"/>
      <c r="S28" s="1557"/>
      <c r="T28" s="1556"/>
      <c r="U28" s="1557"/>
      <c r="V28" s="1556"/>
      <c r="W28" s="1557"/>
      <c r="X28" s="1550"/>
      <c r="Y28" s="3418"/>
      <c r="Z28" s="1558"/>
      <c r="AA28" s="1559">
        <v>1</v>
      </c>
      <c r="AB28" s="1559">
        <v>1</v>
      </c>
      <c r="AC28" s="1559">
        <v>1</v>
      </c>
    </row>
    <row r="29" spans="1:29" s="1214" customFormat="1" ht="42.75">
      <c r="A29" s="575"/>
      <c r="B29" s="2552" t="s">
        <v>2544</v>
      </c>
      <c r="C29" s="571" t="str">
        <f>估价对象房地状况!C21</f>
        <v>估价对象所在区域公共配套设施程度一般</v>
      </c>
      <c r="D29" s="561">
        <v>100</v>
      </c>
      <c r="E29" s="562"/>
      <c r="F29" s="557">
        <f>SUMIF(102:102,E30,103:103)-SUMIF(102:102,C30,103:103)+100</f>
        <v>100</v>
      </c>
      <c r="G29" s="560"/>
      <c r="H29" s="557">
        <f>SUMIF(102:102,G30,103:103)-SUMIF(102:102,C30,103:103)+100</f>
        <v>103</v>
      </c>
      <c r="I29" s="562"/>
      <c r="J29" s="557">
        <f>SUMIF(102:102,I30,103:103)-SUMIF(102:102,C30,103:103)+100</f>
        <v>103</v>
      </c>
      <c r="K29" s="533">
        <v>3</v>
      </c>
      <c r="L29" s="2117"/>
      <c r="M29" s="2114"/>
      <c r="N29" s="2114"/>
      <c r="O29" s="2119"/>
      <c r="P29" s="3418"/>
      <c r="Q29" s="1145" t="str">
        <f t="shared" si="8"/>
        <v>公共配套设施</v>
      </c>
      <c r="R29" s="1551" t="s">
        <v>8</v>
      </c>
      <c r="S29" s="1552">
        <f>F29</f>
        <v>100</v>
      </c>
      <c r="T29" s="1551" t="s">
        <v>8</v>
      </c>
      <c r="U29" s="1552">
        <f>H29</f>
        <v>103</v>
      </c>
      <c r="V29" s="1551" t="s">
        <v>8</v>
      </c>
      <c r="W29" s="1552">
        <f>J29</f>
        <v>103</v>
      </c>
      <c r="X29" s="1553"/>
      <c r="Y29" s="3418"/>
      <c r="Z29" s="1144" t="str">
        <f>Q29</f>
        <v>公共配套设施</v>
      </c>
      <c r="AA29" s="1559">
        <f>D29/F29</f>
        <v>1</v>
      </c>
      <c r="AB29" s="1559">
        <f>D29/H29</f>
        <v>0.970873786407767</v>
      </c>
      <c r="AC29" s="1559">
        <f>D29/J29</f>
        <v>0.970873786407767</v>
      </c>
    </row>
    <row r="30" spans="1:29" s="1214" customFormat="1" ht="20.25">
      <c r="A30" s="575"/>
      <c r="B30" s="564"/>
      <c r="C30" s="577" t="s">
        <v>3633</v>
      </c>
      <c r="D30" s="555"/>
      <c r="E30" s="574" t="s">
        <v>3633</v>
      </c>
      <c r="F30" s="553"/>
      <c r="G30" s="554" t="s">
        <v>3649</v>
      </c>
      <c r="H30" s="553"/>
      <c r="I30" s="554" t="s">
        <v>3649</v>
      </c>
      <c r="J30" s="553"/>
      <c r="K30" s="529"/>
      <c r="L30" s="2117"/>
      <c r="M30" s="2114"/>
      <c r="N30" s="2114"/>
      <c r="O30" s="2119"/>
      <c r="P30" s="3418"/>
      <c r="Q30" s="1145"/>
      <c r="R30" s="1551"/>
      <c r="S30" s="1552"/>
      <c r="T30" s="1551"/>
      <c r="U30" s="1552"/>
      <c r="V30" s="1551"/>
      <c r="W30" s="1552"/>
      <c r="X30" s="1553"/>
      <c r="Y30" s="3418"/>
      <c r="Z30" s="1144"/>
      <c r="AA30" s="1559">
        <v>1</v>
      </c>
      <c r="AB30" s="1559">
        <v>1</v>
      </c>
      <c r="AC30" s="1559">
        <v>1</v>
      </c>
    </row>
    <row r="31" spans="1:29" s="1214" customFormat="1" ht="42.75">
      <c r="A31" s="575"/>
      <c r="B31" s="2552" t="s">
        <v>2545</v>
      </c>
      <c r="C31" s="571" t="str">
        <f>估价对象房地状况!C22</f>
        <v>估价对象所在区域基础设施水平七通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18"/>
      <c r="Q31" s="2539" t="str">
        <f t="shared" ref="Q31" si="9">B31</f>
        <v>基础设施水平</v>
      </c>
      <c r="R31" s="1551" t="s">
        <v>8</v>
      </c>
      <c r="S31" s="1552">
        <f>F31</f>
        <v>100</v>
      </c>
      <c r="T31" s="1551" t="s">
        <v>8</v>
      </c>
      <c r="U31" s="1552">
        <f>H31</f>
        <v>100</v>
      </c>
      <c r="V31" s="1551" t="s">
        <v>8</v>
      </c>
      <c r="W31" s="1552">
        <f>J31</f>
        <v>100</v>
      </c>
      <c r="X31" s="1553"/>
      <c r="Y31" s="3418"/>
      <c r="Z31" s="2536" t="str">
        <f>Q31</f>
        <v>基础设施水平</v>
      </c>
      <c r="AA31" s="1559">
        <f>D31/F31</f>
        <v>1</v>
      </c>
      <c r="AB31" s="1559">
        <f>D31/H31</f>
        <v>1</v>
      </c>
      <c r="AC31" s="1559">
        <f>D31/J31</f>
        <v>1</v>
      </c>
    </row>
    <row r="32" spans="1:29" s="1214" customFormat="1" ht="20.25">
      <c r="A32" s="575"/>
      <c r="B32" s="564"/>
      <c r="C32" s="577" t="s">
        <v>3652</v>
      </c>
      <c r="D32" s="555"/>
      <c r="E32" s="577" t="s">
        <v>3652</v>
      </c>
      <c r="F32" s="553"/>
      <c r="G32" s="577" t="s">
        <v>3652</v>
      </c>
      <c r="H32" s="553"/>
      <c r="I32" s="577" t="s">
        <v>3652</v>
      </c>
      <c r="J32" s="553"/>
      <c r="K32" s="529"/>
      <c r="L32" s="2117"/>
      <c r="M32" s="2114"/>
      <c r="N32" s="2114"/>
      <c r="O32" s="2119"/>
      <c r="P32" s="3418"/>
      <c r="Q32" s="2539"/>
      <c r="R32" s="1551"/>
      <c r="S32" s="1552"/>
      <c r="T32" s="1551"/>
      <c r="U32" s="1552"/>
      <c r="V32" s="1551"/>
      <c r="W32" s="1552"/>
      <c r="X32" s="1553"/>
      <c r="Y32" s="3418"/>
      <c r="Z32" s="2536"/>
      <c r="AA32" s="1559">
        <v>1</v>
      </c>
      <c r="AB32" s="1559">
        <v>1</v>
      </c>
      <c r="AC32" s="1559">
        <v>1</v>
      </c>
    </row>
    <row r="33" spans="1:29" ht="20.25">
      <c r="A33" s="530"/>
      <c r="B33" s="564" t="s">
        <v>547</v>
      </c>
      <c r="C33" s="578" t="s">
        <v>2990</v>
      </c>
      <c r="D33" s="573">
        <v>100</v>
      </c>
      <c r="E33" s="581" t="s">
        <v>2990</v>
      </c>
      <c r="F33" s="538">
        <f>SUMIF(106:106,E33,107:107)-SUMIF(106:106,C33,107:107)+100</f>
        <v>100</v>
      </c>
      <c r="G33" s="578" t="s">
        <v>2990</v>
      </c>
      <c r="H33" s="538">
        <f>SUMIF(106:106,G33,107:107)-SUMIF(106:106,C33,107:107)+100</f>
        <v>100</v>
      </c>
      <c r="I33" s="578" t="s">
        <v>2990</v>
      </c>
      <c r="J33" s="538">
        <f>SUMIF(106:106,I33,107:107)-SUMIF(106:106,C33,107:107)+100</f>
        <v>100</v>
      </c>
      <c r="K33" s="533">
        <v>2</v>
      </c>
      <c r="L33" s="2124"/>
      <c r="M33" s="2114"/>
      <c r="N33" s="2114"/>
      <c r="O33" s="2123"/>
      <c r="P33" s="3418"/>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18"/>
      <c r="Z33" s="1558" t="str">
        <f t="shared" ref="Z33:Z47" si="13">Q33</f>
        <v>临街状况</v>
      </c>
      <c r="AA33" s="1559">
        <f t="shared" si="3"/>
        <v>1</v>
      </c>
      <c r="AB33" s="1559">
        <f t="shared" si="4"/>
        <v>1</v>
      </c>
      <c r="AC33" s="1559">
        <f t="shared" si="5"/>
        <v>1</v>
      </c>
    </row>
    <row r="34" spans="1:29" ht="27">
      <c r="A34" s="530"/>
      <c r="B34" s="576" t="s">
        <v>548</v>
      </c>
      <c r="C34" s="3199" t="s">
        <v>3653</v>
      </c>
      <c r="D34" s="561">
        <v>100</v>
      </c>
      <c r="E34" s="3200" t="s">
        <v>3660</v>
      </c>
      <c r="F34" s="557">
        <f>SUMIF(108:108,E35,109:109)-SUMIF(108:108,C35,109:109)+100</f>
        <v>98</v>
      </c>
      <c r="G34" s="3199" t="s">
        <v>3661</v>
      </c>
      <c r="H34" s="557">
        <f>SUMIF(108:108,G35,109:109)-SUMIF(108:108,C35,109:109)+100</f>
        <v>98</v>
      </c>
      <c r="I34" s="3200" t="s">
        <v>3662</v>
      </c>
      <c r="J34" s="557">
        <f>SUMIF(108:108,I35,109:109)-SUMIF(108:108,C35,109:109)+100</f>
        <v>98</v>
      </c>
      <c r="K34" s="533">
        <v>1</v>
      </c>
      <c r="L34" s="2124"/>
      <c r="M34" s="2114"/>
      <c r="N34" s="2114"/>
      <c r="O34" s="2123"/>
      <c r="P34" s="3418"/>
      <c r="Q34" s="1555" t="str">
        <f t="shared" si="8"/>
        <v>毗邻道路的类型与等级</v>
      </c>
      <c r="R34" s="1556" t="s">
        <v>8</v>
      </c>
      <c r="S34" s="1557">
        <f t="shared" si="10"/>
        <v>98</v>
      </c>
      <c r="T34" s="1556" t="s">
        <v>8</v>
      </c>
      <c r="U34" s="1557">
        <f t="shared" si="11"/>
        <v>98</v>
      </c>
      <c r="V34" s="1556" t="s">
        <v>8</v>
      </c>
      <c r="W34" s="1557">
        <f t="shared" si="12"/>
        <v>98</v>
      </c>
      <c r="X34" s="1550"/>
      <c r="Y34" s="3418"/>
      <c r="Z34" s="1558" t="str">
        <f t="shared" si="13"/>
        <v>毗邻道路的类型与等级</v>
      </c>
      <c r="AA34" s="1559">
        <f t="shared" si="3"/>
        <v>1.0204081632653061</v>
      </c>
      <c r="AB34" s="1559">
        <f t="shared" si="4"/>
        <v>1.0204081632653061</v>
      </c>
      <c r="AC34" s="1559">
        <f t="shared" si="5"/>
        <v>1.0204081632653061</v>
      </c>
    </row>
    <row r="35" spans="1:29" ht="21" thickBot="1">
      <c r="A35" s="530"/>
      <c r="B35" s="564"/>
      <c r="C35" s="552" t="s">
        <v>3047</v>
      </c>
      <c r="D35" s="555"/>
      <c r="E35" s="574" t="s">
        <v>3659</v>
      </c>
      <c r="F35" s="553"/>
      <c r="G35" s="574" t="s">
        <v>3659</v>
      </c>
      <c r="H35" s="553"/>
      <c r="I35" s="574" t="s">
        <v>3659</v>
      </c>
      <c r="J35" s="553"/>
      <c r="K35" s="579"/>
      <c r="L35" s="2124"/>
      <c r="M35" s="2114"/>
      <c r="N35" s="2114"/>
      <c r="O35" s="2123"/>
      <c r="P35" s="3418"/>
      <c r="Q35" s="1555"/>
      <c r="R35" s="1556"/>
      <c r="S35" s="1557"/>
      <c r="T35" s="1556"/>
      <c r="U35" s="1557"/>
      <c r="V35" s="1556"/>
      <c r="W35" s="1557"/>
      <c r="X35" s="1550"/>
      <c r="Y35" s="3418"/>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18"/>
      <c r="Q36" s="1555" t="str">
        <f t="shared" si="8"/>
        <v>土地级别</v>
      </c>
      <c r="R36" s="1556" t="s">
        <v>8</v>
      </c>
      <c r="S36" s="1557">
        <f t="shared" si="10"/>
        <v>100</v>
      </c>
      <c r="T36" s="1556" t="s">
        <v>8</v>
      </c>
      <c r="U36" s="1557">
        <f t="shared" si="11"/>
        <v>100</v>
      </c>
      <c r="V36" s="1556" t="s">
        <v>8</v>
      </c>
      <c r="W36" s="1557">
        <f t="shared" si="12"/>
        <v>100</v>
      </c>
      <c r="X36" s="1550"/>
      <c r="Y36" s="3418"/>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8"/>
      <c r="Q37" s="1555">
        <f t="shared" si="8"/>
        <v>111</v>
      </c>
      <c r="R37" s="1556" t="s">
        <v>8</v>
      </c>
      <c r="S37" s="1557">
        <f t="shared" si="10"/>
        <v>100</v>
      </c>
      <c r="T37" s="1556" t="s">
        <v>8</v>
      </c>
      <c r="U37" s="1557">
        <f t="shared" si="11"/>
        <v>100</v>
      </c>
      <c r="V37" s="1556" t="s">
        <v>8</v>
      </c>
      <c r="W37" s="1557">
        <f t="shared" si="12"/>
        <v>100</v>
      </c>
      <c r="X37" s="1550"/>
      <c r="Y37" s="3418"/>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9" t="s">
        <v>550</v>
      </c>
      <c r="Q38" s="1555">
        <f t="shared" si="8"/>
        <v>111</v>
      </c>
      <c r="R38" s="1556" t="s">
        <v>8</v>
      </c>
      <c r="S38" s="1557">
        <f t="shared" si="10"/>
        <v>100</v>
      </c>
      <c r="T38" s="1556" t="s">
        <v>8</v>
      </c>
      <c r="U38" s="1557">
        <f t="shared" si="11"/>
        <v>100</v>
      </c>
      <c r="V38" s="1556" t="s">
        <v>8</v>
      </c>
      <c r="W38" s="1557">
        <f t="shared" si="12"/>
        <v>100</v>
      </c>
      <c r="X38" s="1550"/>
      <c r="Y38" s="3420" t="s">
        <v>550</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0"/>
      <c r="Q39" s="1555">
        <f t="shared" si="8"/>
        <v>111</v>
      </c>
      <c r="R39" s="1560" t="s">
        <v>8</v>
      </c>
      <c r="S39" s="1561">
        <f t="shared" si="10"/>
        <v>100</v>
      </c>
      <c r="T39" s="1560" t="s">
        <v>8</v>
      </c>
      <c r="U39" s="1561">
        <f t="shared" si="11"/>
        <v>100</v>
      </c>
      <c r="V39" s="1560" t="s">
        <v>8</v>
      </c>
      <c r="W39" s="1561">
        <f t="shared" si="12"/>
        <v>100</v>
      </c>
      <c r="X39" s="1562"/>
      <c r="Y39" s="3420"/>
      <c r="Z39" s="1563">
        <f t="shared" si="13"/>
        <v>111</v>
      </c>
      <c r="AA39" s="1559">
        <f t="shared" si="3"/>
        <v>1</v>
      </c>
      <c r="AB39" s="1559">
        <f t="shared" si="4"/>
        <v>1</v>
      </c>
      <c r="AC39" s="1559">
        <f t="shared" si="5"/>
        <v>1</v>
      </c>
    </row>
    <row r="40" spans="1:29" ht="20.25">
      <c r="A40" s="2859" t="s">
        <v>2750</v>
      </c>
      <c r="B40" s="593" t="s">
        <v>552</v>
      </c>
      <c r="C40" s="594">
        <f>'数据-基础表'!A3</f>
        <v>83137.16</v>
      </c>
      <c r="D40" s="595">
        <v>100</v>
      </c>
      <c r="E40" s="594">
        <f>土地案例!E155</f>
        <v>34507.51</v>
      </c>
      <c r="F40" s="595">
        <f>LOOKUP(E40,119:119,120:120)-LOOKUP(C40,119:119,120:120)+100</f>
        <v>94</v>
      </c>
      <c r="G40" s="594">
        <f>土地案例!E156</f>
        <v>14680.08</v>
      </c>
      <c r="H40" s="595">
        <f>LOOKUP(G40,119:119,120:120)-LOOKUP(C40,119:119,120:120)+100</f>
        <v>92</v>
      </c>
      <c r="I40" s="596">
        <f>土地案例!E158</f>
        <v>68981.53</v>
      </c>
      <c r="J40" s="595">
        <f>LOOKUP(I40,119:119,120:120)-LOOKUP(C40,119:119,120:120)+100</f>
        <v>98</v>
      </c>
      <c r="K40" s="579"/>
      <c r="L40" s="2124"/>
      <c r="M40" s="2114"/>
      <c r="N40" s="2114"/>
      <c r="O40" s="2123"/>
      <c r="P40" s="3420"/>
      <c r="Q40" s="1555" t="str">
        <f>B40</f>
        <v>宗地面积</v>
      </c>
      <c r="R40" s="1556" t="s">
        <v>8</v>
      </c>
      <c r="S40" s="1557">
        <f t="shared" si="10"/>
        <v>94</v>
      </c>
      <c r="T40" s="1556" t="s">
        <v>8</v>
      </c>
      <c r="U40" s="1557">
        <f t="shared" si="11"/>
        <v>92</v>
      </c>
      <c r="V40" s="1556" t="s">
        <v>8</v>
      </c>
      <c r="W40" s="1557">
        <f t="shared" si="12"/>
        <v>98</v>
      </c>
      <c r="X40" s="1550"/>
      <c r="Y40" s="3420"/>
      <c r="Z40" s="1558" t="str">
        <f t="shared" si="13"/>
        <v>宗地面积</v>
      </c>
      <c r="AA40" s="1559">
        <f t="shared" si="3"/>
        <v>1.0638297872340425</v>
      </c>
      <c r="AB40" s="1559">
        <f t="shared" si="4"/>
        <v>1.0869565217391304</v>
      </c>
      <c r="AC40" s="1559">
        <f t="shared" si="5"/>
        <v>1.0204081632653061</v>
      </c>
    </row>
    <row r="41" spans="1:29" ht="20.25">
      <c r="A41" s="592"/>
      <c r="B41" s="525" t="s">
        <v>553</v>
      </c>
      <c r="C41" s="597" t="s">
        <v>3655</v>
      </c>
      <c r="D41" s="538">
        <v>100</v>
      </c>
      <c r="E41" s="597" t="s">
        <v>3657</v>
      </c>
      <c r="F41" s="538">
        <f>SUMIF(121:121,E41,122:122)-SUMIF(121:121,C41,122:122)+100</f>
        <v>99</v>
      </c>
      <c r="G41" s="597" t="s">
        <v>3657</v>
      </c>
      <c r="H41" s="538">
        <f>SUMIF(121:121,G41,122:122)-SUMIF(121:121,C41,122:122)+100</f>
        <v>99</v>
      </c>
      <c r="I41" s="597" t="s">
        <v>3657</v>
      </c>
      <c r="J41" s="538">
        <f>SUMIF(121:121,I41,122:122)-SUMIF(121:121,C41,122:122)+100</f>
        <v>99</v>
      </c>
      <c r="K41" s="582">
        <v>1</v>
      </c>
      <c r="L41" s="2124"/>
      <c r="M41" s="2114"/>
      <c r="N41" s="2114"/>
      <c r="O41" s="2123"/>
      <c r="P41" s="3420"/>
      <c r="Q41" s="1555" t="str">
        <f t="shared" ref="Q41:Q47" si="14">B41</f>
        <v>宗地形状</v>
      </c>
      <c r="R41" s="1556" t="s">
        <v>8</v>
      </c>
      <c r="S41" s="1557">
        <f t="shared" si="10"/>
        <v>99</v>
      </c>
      <c r="T41" s="1556" t="s">
        <v>8</v>
      </c>
      <c r="U41" s="1557">
        <f t="shared" si="11"/>
        <v>99</v>
      </c>
      <c r="V41" s="1556" t="s">
        <v>8</v>
      </c>
      <c r="W41" s="1557">
        <f t="shared" si="12"/>
        <v>99</v>
      </c>
      <c r="X41" s="1550"/>
      <c r="Y41" s="3420"/>
      <c r="Z41" s="1558" t="str">
        <f t="shared" si="13"/>
        <v>宗地形状</v>
      </c>
      <c r="AA41" s="1559">
        <f t="shared" si="3"/>
        <v>1.0101010101010102</v>
      </c>
      <c r="AB41" s="1559">
        <f t="shared" si="4"/>
        <v>1.0101010101010102</v>
      </c>
      <c r="AC41" s="1559">
        <f t="shared" si="5"/>
        <v>1.0101010101010102</v>
      </c>
    </row>
    <row r="42" spans="1:29" ht="20.25">
      <c r="A42" s="592"/>
      <c r="B42" s="525" t="s">
        <v>554</v>
      </c>
      <c r="C42" s="597" t="s">
        <v>3647</v>
      </c>
      <c r="D42" s="538">
        <v>100</v>
      </c>
      <c r="E42" s="597" t="s">
        <v>3647</v>
      </c>
      <c r="F42" s="538">
        <f>SUMIF(123:123,E42,124:124)-SUMIF(123:123,C42,124:124)+100</f>
        <v>100</v>
      </c>
      <c r="G42" s="597" t="s">
        <v>3647</v>
      </c>
      <c r="H42" s="538">
        <f>SUMIF(123:123,G42,124:124)-SUMIF(123:123,C42,124:124)+100</f>
        <v>100</v>
      </c>
      <c r="I42" s="597" t="s">
        <v>3647</v>
      </c>
      <c r="J42" s="538">
        <f>SUMIF(123:123,I42,124:124)-SUMIF(123:123,C42,124:124)+100</f>
        <v>100</v>
      </c>
      <c r="K42" s="582">
        <v>1</v>
      </c>
      <c r="L42" s="2124"/>
      <c r="M42" s="2114"/>
      <c r="N42" s="2114"/>
      <c r="O42" s="2123"/>
      <c r="P42" s="3420"/>
      <c r="Q42" s="1555" t="str">
        <f t="shared" si="14"/>
        <v>临街宽度及深度</v>
      </c>
      <c r="R42" s="1556" t="s">
        <v>8</v>
      </c>
      <c r="S42" s="1557">
        <f t="shared" si="10"/>
        <v>100</v>
      </c>
      <c r="T42" s="1556" t="s">
        <v>8</v>
      </c>
      <c r="U42" s="1557">
        <f t="shared" si="11"/>
        <v>100</v>
      </c>
      <c r="V42" s="1556" t="s">
        <v>8</v>
      </c>
      <c r="W42" s="1557">
        <f t="shared" si="12"/>
        <v>100</v>
      </c>
      <c r="X42" s="1550"/>
      <c r="Y42" s="3420"/>
      <c r="Z42" s="1558" t="str">
        <f t="shared" si="13"/>
        <v>临街宽度及深度</v>
      </c>
      <c r="AA42" s="1559">
        <f t="shared" si="3"/>
        <v>1</v>
      </c>
      <c r="AB42" s="1559">
        <f t="shared" si="4"/>
        <v>1</v>
      </c>
      <c r="AC42" s="1559">
        <f t="shared" si="5"/>
        <v>1</v>
      </c>
    </row>
    <row r="43" spans="1:29" s="1214" customFormat="1" ht="20.25">
      <c r="A43" s="598"/>
      <c r="B43" s="1877" t="s">
        <v>2420</v>
      </c>
      <c r="C43" s="599" t="s">
        <v>3656</v>
      </c>
      <c r="D43" s="254">
        <v>100</v>
      </c>
      <c r="E43" s="599" t="s">
        <v>3652</v>
      </c>
      <c r="F43" s="538">
        <f>SUMIF(125:125,E43,126:126)-SUMIF(125:125,C43,126:126)+100</f>
        <v>101</v>
      </c>
      <c r="G43" s="599" t="s">
        <v>3658</v>
      </c>
      <c r="H43" s="538">
        <f>SUMIF(125:125,G43,126:126)-SUMIF(125:125,C43,126:126)+100</f>
        <v>97</v>
      </c>
      <c r="I43" s="599" t="s">
        <v>3658</v>
      </c>
      <c r="J43" s="538">
        <f>SUMIF(125:125,I43,126:126)-SUMIF(125:125,C43,126:126)+100</f>
        <v>97</v>
      </c>
      <c r="K43" s="582">
        <v>1</v>
      </c>
      <c r="L43" s="2117"/>
      <c r="M43" s="2114"/>
      <c r="N43" s="2114"/>
      <c r="O43" s="2119"/>
      <c r="P43" s="3420"/>
      <c r="Q43" s="1555" t="str">
        <f t="shared" si="14"/>
        <v>宗地开发程度</v>
      </c>
      <c r="R43" s="1551" t="s">
        <v>8</v>
      </c>
      <c r="S43" s="1552">
        <f t="shared" si="10"/>
        <v>101</v>
      </c>
      <c r="T43" s="1551" t="s">
        <v>8</v>
      </c>
      <c r="U43" s="1552">
        <f t="shared" si="11"/>
        <v>97</v>
      </c>
      <c r="V43" s="1551" t="s">
        <v>8</v>
      </c>
      <c r="W43" s="1552">
        <f t="shared" si="12"/>
        <v>97</v>
      </c>
      <c r="X43" s="1553"/>
      <c r="Y43" s="3420"/>
      <c r="Z43" s="1144" t="str">
        <f t="shared" si="13"/>
        <v>宗地开发程度</v>
      </c>
      <c r="AA43" s="1554">
        <f t="shared" si="3"/>
        <v>0.99009900990099009</v>
      </c>
      <c r="AB43" s="1554">
        <f t="shared" si="4"/>
        <v>1.0309278350515463</v>
      </c>
      <c r="AC43" s="1554">
        <f t="shared" si="5"/>
        <v>1.0309278350515463</v>
      </c>
    </row>
    <row r="44" spans="1:29" ht="21" thickBot="1">
      <c r="A44" s="592"/>
      <c r="B44" s="525" t="s">
        <v>555</v>
      </c>
      <c r="C44" s="597" t="s">
        <v>3649</v>
      </c>
      <c r="D44" s="538">
        <v>100</v>
      </c>
      <c r="E44" s="597" t="s">
        <v>3649</v>
      </c>
      <c r="F44" s="538">
        <f>SUMIF(127:127,E44,128:128)-SUMIF(127:127,C44,128:128)+100</f>
        <v>100</v>
      </c>
      <c r="G44" s="597" t="s">
        <v>3649</v>
      </c>
      <c r="H44" s="538">
        <f>SUMIF(127:127,G44,128:128)-SUMIF(127:127,C44,128:128)+100</f>
        <v>100</v>
      </c>
      <c r="I44" s="597" t="s">
        <v>3649</v>
      </c>
      <c r="J44" s="538">
        <f>SUMIF(127:127,I44,128:128)-SUMIF(127:127,C44,128:128)+100</f>
        <v>100</v>
      </c>
      <c r="K44" s="582">
        <v>1</v>
      </c>
      <c r="L44" s="2124"/>
      <c r="M44" s="2114"/>
      <c r="N44" s="2114"/>
      <c r="O44" s="2123"/>
      <c r="P44" s="3420" t="s">
        <v>550</v>
      </c>
      <c r="Q44" s="1555" t="str">
        <f t="shared" si="14"/>
        <v>工程地质条件</v>
      </c>
      <c r="R44" s="1556" t="s">
        <v>8</v>
      </c>
      <c r="S44" s="1557">
        <f t="shared" si="10"/>
        <v>100</v>
      </c>
      <c r="T44" s="1556" t="s">
        <v>8</v>
      </c>
      <c r="U44" s="1557">
        <f t="shared" si="11"/>
        <v>100</v>
      </c>
      <c r="V44" s="1556" t="s">
        <v>8</v>
      </c>
      <c r="W44" s="1557">
        <f t="shared" si="12"/>
        <v>100</v>
      </c>
      <c r="X44" s="1550"/>
      <c r="Y44" s="3420"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0"/>
      <c r="Q45" s="1555">
        <f t="shared" si="14"/>
        <v>111</v>
      </c>
      <c r="R45" s="1556" t="s">
        <v>8</v>
      </c>
      <c r="S45" s="1557">
        <f t="shared" si="10"/>
        <v>100</v>
      </c>
      <c r="T45" s="1556" t="s">
        <v>8</v>
      </c>
      <c r="U45" s="1557">
        <f t="shared" si="11"/>
        <v>100</v>
      </c>
      <c r="V45" s="1556" t="s">
        <v>8</v>
      </c>
      <c r="W45" s="1557">
        <f t="shared" si="12"/>
        <v>100</v>
      </c>
      <c r="X45" s="1550"/>
      <c r="Y45" s="3420"/>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0"/>
      <c r="Q46" s="1555">
        <f t="shared" si="14"/>
        <v>111</v>
      </c>
      <c r="R46" s="1556" t="s">
        <v>8</v>
      </c>
      <c r="S46" s="1557">
        <f t="shared" si="10"/>
        <v>100</v>
      </c>
      <c r="T46" s="1556" t="s">
        <v>8</v>
      </c>
      <c r="U46" s="1557">
        <f t="shared" si="11"/>
        <v>100</v>
      </c>
      <c r="V46" s="1556" t="s">
        <v>8</v>
      </c>
      <c r="W46" s="1557">
        <f t="shared" si="12"/>
        <v>100</v>
      </c>
      <c r="X46" s="1550"/>
      <c r="Y46" s="3420"/>
      <c r="Z46" s="1558">
        <f t="shared" si="13"/>
        <v>111</v>
      </c>
      <c r="AA46" s="1559">
        <f t="shared" si="3"/>
        <v>1</v>
      </c>
      <c r="AB46" s="1559">
        <f t="shared" si="4"/>
        <v>1</v>
      </c>
      <c r="AC46" s="1559">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0"/>
      <c r="Q47" s="1555">
        <f t="shared" si="14"/>
        <v>111</v>
      </c>
      <c r="R47" s="1560" t="s">
        <v>8</v>
      </c>
      <c r="S47" s="1561">
        <f t="shared" si="10"/>
        <v>100</v>
      </c>
      <c r="T47" s="1560" t="s">
        <v>8</v>
      </c>
      <c r="U47" s="1561">
        <f t="shared" si="11"/>
        <v>100</v>
      </c>
      <c r="V47" s="1560" t="s">
        <v>8</v>
      </c>
      <c r="W47" s="1561">
        <f t="shared" si="12"/>
        <v>100</v>
      </c>
      <c r="X47" s="1562"/>
      <c r="Y47" s="3420"/>
      <c r="Z47" s="1563">
        <f t="shared" si="13"/>
        <v>111</v>
      </c>
      <c r="AA47" s="1559">
        <f t="shared" si="3"/>
        <v>1</v>
      </c>
      <c r="AB47" s="1559">
        <f t="shared" si="4"/>
        <v>1</v>
      </c>
      <c r="AC47" s="1559">
        <f t="shared" si="5"/>
        <v>1</v>
      </c>
    </row>
    <row r="48" spans="1:29" ht="20.25">
      <c r="A48" s="605" t="s">
        <v>556</v>
      </c>
      <c r="B48" s="606" t="s">
        <v>3654</v>
      </c>
      <c r="C48" s="607" t="s">
        <v>1</v>
      </c>
      <c r="D48" s="608"/>
      <c r="E48" s="609">
        <v>27200</v>
      </c>
      <c r="F48" s="610"/>
      <c r="G48" s="611">
        <v>24029</v>
      </c>
      <c r="H48" s="612"/>
      <c r="I48" s="609">
        <v>27412</v>
      </c>
      <c r="J48" s="612"/>
      <c r="K48" s="1334"/>
      <c r="L48" s="2126"/>
      <c r="M48" s="2114"/>
      <c r="N48" s="2114"/>
      <c r="O48" s="2127"/>
      <c r="P48" s="3383" t="str">
        <f>A48</f>
        <v>成交单价</v>
      </c>
      <c r="Q48" s="3383"/>
      <c r="R48" s="3384">
        <f>E48</f>
        <v>27200</v>
      </c>
      <c r="S48" s="3384"/>
      <c r="T48" s="3384">
        <f>G48</f>
        <v>24029</v>
      </c>
      <c r="U48" s="3384"/>
      <c r="V48" s="3384">
        <f>I48</f>
        <v>27412</v>
      </c>
      <c r="W48" s="3384"/>
      <c r="X48" s="1542"/>
      <c r="Y48" s="1564"/>
      <c r="Z48" s="1542"/>
      <c r="AA48" s="1542"/>
      <c r="AB48" s="1542"/>
      <c r="AC48" s="1542"/>
    </row>
    <row r="49" spans="1:29" ht="21" thickBot="1">
      <c r="A49" s="613" t="s">
        <v>2688</v>
      </c>
      <c r="B49" s="614"/>
      <c r="C49" s="615">
        <f>R50</f>
        <v>29403</v>
      </c>
      <c r="D49" s="616"/>
      <c r="E49" s="615">
        <f>R49</f>
        <v>31711</v>
      </c>
      <c r="F49" s="617"/>
      <c r="G49" s="618">
        <f>T49</f>
        <v>27286</v>
      </c>
      <c r="H49" s="616"/>
      <c r="I49" s="615">
        <f>V49</f>
        <v>29212</v>
      </c>
      <c r="J49" s="616"/>
      <c r="K49" s="1335"/>
      <c r="L49" s="2126"/>
      <c r="M49" s="2114"/>
      <c r="N49" s="2114"/>
      <c r="O49" s="2127"/>
      <c r="P49" s="3383" t="str">
        <f>A49</f>
        <v>比较价格（元/平方米）</v>
      </c>
      <c r="Q49" s="3383"/>
      <c r="R49" s="3385">
        <f>ROUND(PRODUCT(R48,AA9:AA47),0)</f>
        <v>31711</v>
      </c>
      <c r="S49" s="3385"/>
      <c r="T49" s="3385">
        <f>ROUND(PRODUCT(T48,AB9:AB47),0)</f>
        <v>27286</v>
      </c>
      <c r="U49" s="3385"/>
      <c r="V49" s="3385">
        <f>ROUND(PRODUCT(V48,AC9:AC47),0)</f>
        <v>29212</v>
      </c>
      <c r="W49" s="3385"/>
      <c r="X49" s="1542"/>
      <c r="Y49" s="1542"/>
      <c r="Z49" s="1542"/>
      <c r="AA49" s="1542"/>
      <c r="AB49" s="1542"/>
      <c r="AC49" s="1542"/>
    </row>
    <row r="50" spans="1:29" ht="21" thickBot="1">
      <c r="A50" s="619" t="s">
        <v>2923</v>
      </c>
      <c r="B50" s="620"/>
      <c r="C50" s="621">
        <f>R50</f>
        <v>29403</v>
      </c>
      <c r="D50" s="621"/>
      <c r="E50" s="621"/>
      <c r="F50" s="621"/>
      <c r="G50" s="621"/>
      <c r="H50" s="621"/>
      <c r="I50" s="621"/>
      <c r="J50" s="621"/>
      <c r="K50" s="1336"/>
      <c r="L50" s="2126"/>
      <c r="M50" s="2114"/>
      <c r="N50" s="2114"/>
      <c r="O50" s="2127"/>
      <c r="P50" s="3380" t="str">
        <f>A50</f>
        <v>估价对象XX用房的比较价格（楼面单价，元/平方米）</v>
      </c>
      <c r="Q50" s="3381"/>
      <c r="R50" s="3382">
        <f>ROUND(AVERAGE(R49:V49),0)</f>
        <v>29403</v>
      </c>
      <c r="S50" s="3382"/>
      <c r="T50" s="3382"/>
      <c r="U50" s="3382"/>
      <c r="V50" s="3382"/>
      <c r="W50" s="3382"/>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0.16584558823529405</v>
      </c>
      <c r="F53" s="625" t="str">
        <f>IF(OR(E53&gt;=0.3,E53&lt;=-0.3),"超过30%","")</f>
        <v/>
      </c>
      <c r="G53" s="624">
        <f>IF(G48&lt;G49,G49/G48-1,G48/G49-1)</f>
        <v>0.13554455033501189</v>
      </c>
      <c r="H53" s="625" t="str">
        <f>IF(OR(G53&gt;=0.3,G53&lt;=-0.3),"超过30%","")</f>
        <v/>
      </c>
      <c r="I53" s="624">
        <f>IF(I48&lt;I49,I49/I48-1,I48/I49-1)</f>
        <v>6.5664672406245517E-2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0.16217107674265185</v>
      </c>
      <c r="F54" s="625" t="str">
        <f>IF(OR(E54&gt;=0.2,E54&lt;=-0.2),"超过20%","")</f>
        <v/>
      </c>
      <c r="G54" s="624">
        <f>IF(G49&lt;I49,I49/G49-1,G49/I49-1)</f>
        <v>7.0585648317818661E-2</v>
      </c>
      <c r="H54" s="625" t="str">
        <f>IF(OR(G54&gt;=0.2,G54&lt;=-0.2),"超过20%","")</f>
        <v/>
      </c>
      <c r="I54" s="624">
        <f>IF(I49&lt;E49,E49/I49-1,I49/E49-1)</f>
        <v>8.5547035464877519E-2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0.13196554163718832</v>
      </c>
      <c r="F55" s="625" t="str">
        <f>IF(OR(E55&gt;=0.3,E55&lt;=-0.3),"超过30%","")</f>
        <v/>
      </c>
      <c r="G55" s="624">
        <f>IF(G48&lt;I48,I48/G48-1,G48/I48-1)</f>
        <v>0.1407882142411252</v>
      </c>
      <c r="H55" s="625" t="str">
        <f>IF(OR(G55&gt;=0.3,G55&lt;=-0.3),"超过30%","")</f>
        <v/>
      </c>
      <c r="I55" s="624">
        <f>IF(I48&lt;E48,E48/I48-1,I48/E48-1)</f>
        <v>7.7941176470588402E-3</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2289</v>
      </c>
      <c r="E57" s="629" t="s">
        <v>562</v>
      </c>
      <c r="F57" s="630" t="s">
        <v>563</v>
      </c>
      <c r="G57" s="3409" t="s">
        <v>2277</v>
      </c>
      <c r="H57" s="3410"/>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564</v>
      </c>
      <c r="B58" s="632">
        <f>C50</f>
        <v>29403</v>
      </c>
      <c r="C58" s="633">
        <v>1</v>
      </c>
      <c r="D58" s="2210">
        <v>1</v>
      </c>
      <c r="E58" s="633">
        <f>'数据-汇总表'!E8+'数据-汇总表'!E9</f>
        <v>138941.47999999998</v>
      </c>
      <c r="F58" s="634">
        <f t="shared" ref="F58:F67" si="15">ROUND(B58*E58/10000,0)</f>
        <v>408530</v>
      </c>
      <c r="G58" s="3411"/>
      <c r="H58" s="3412"/>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565</v>
      </c>
      <c r="B59" s="636">
        <f>ROUND($C$50*C59*D59,0)</f>
        <v>4410</v>
      </c>
      <c r="C59" s="376">
        <f t="shared" ref="C59:C67" si="16">IF($C$57="北京市系数",I59,J59)</f>
        <v>0.6</v>
      </c>
      <c r="D59" s="2211">
        <v>0.25</v>
      </c>
      <c r="E59" s="637">
        <v>0</v>
      </c>
      <c r="F59" s="634">
        <f t="shared" si="15"/>
        <v>0</v>
      </c>
      <c r="G59" s="3413" t="s">
        <v>2278</v>
      </c>
      <c r="H59" s="1930" t="str">
        <f>项目基本情况!B43</f>
        <v>九级</v>
      </c>
      <c r="I59" s="1539">
        <f>SUMIF(修正!$A$45:$A$56,H59,修正!B45:B56)</f>
        <v>0.6</v>
      </c>
      <c r="J59" s="1541">
        <f>ROUND((C50*'数据-汇总表'!F19+('比较法-住宅、综合'!C50-19392)*'数据-汇总表'!F20)/10000,0)</f>
        <v>408530</v>
      </c>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566</v>
      </c>
      <c r="B60" s="636">
        <f t="shared" ref="B60:B67" si="17">ROUND($C$50*C60*D60,0)</f>
        <v>2205</v>
      </c>
      <c r="C60" s="376">
        <f t="shared" si="16"/>
        <v>0.3</v>
      </c>
      <c r="D60" s="2211">
        <v>0.25</v>
      </c>
      <c r="E60" s="637">
        <v>0</v>
      </c>
      <c r="F60" s="634">
        <f t="shared" si="15"/>
        <v>0</v>
      </c>
      <c r="G60" s="3413"/>
      <c r="H60" s="1930" t="str">
        <f>项目基本情况!B43</f>
        <v>九级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567</v>
      </c>
      <c r="B61" s="636">
        <f t="shared" si="17"/>
        <v>1470</v>
      </c>
      <c r="C61" s="376">
        <f t="shared" si="16"/>
        <v>0.2</v>
      </c>
      <c r="D61" s="2211">
        <v>0.25</v>
      </c>
      <c r="E61" s="637">
        <v>0</v>
      </c>
      <c r="F61" s="634">
        <f t="shared" si="15"/>
        <v>0</v>
      </c>
      <c r="G61" s="3413"/>
      <c r="H61" s="1930" t="str">
        <f>项目基本情况!B43</f>
        <v>九级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568</v>
      </c>
      <c r="B62" s="636">
        <f t="shared" si="17"/>
        <v>1470</v>
      </c>
      <c r="C62" s="376">
        <f t="shared" si="16"/>
        <v>0.2</v>
      </c>
      <c r="D62" s="2211">
        <v>0.25</v>
      </c>
      <c r="E62" s="637">
        <v>0</v>
      </c>
      <c r="F62" s="634">
        <f t="shared" si="15"/>
        <v>0</v>
      </c>
      <c r="G62" s="3413"/>
      <c r="H62" s="1930" t="str">
        <f>项目基本情况!B43</f>
        <v>九级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2324</v>
      </c>
      <c r="B63" s="636">
        <f t="shared" si="17"/>
        <v>1470</v>
      </c>
      <c r="C63" s="376">
        <f t="shared" si="16"/>
        <v>0.2</v>
      </c>
      <c r="D63" s="2211">
        <v>0.25</v>
      </c>
      <c r="E63" s="639">
        <f>'数据-汇总表'!E11</f>
        <v>0</v>
      </c>
      <c r="F63" s="634">
        <f t="shared" si="15"/>
        <v>0</v>
      </c>
      <c r="G63" s="1927" t="s">
        <v>2279</v>
      </c>
      <c r="H63" s="1930" t="str">
        <f>项目基本情况!C43</f>
        <v>九级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569</v>
      </c>
      <c r="B64" s="636">
        <f t="shared" si="17"/>
        <v>1470</v>
      </c>
      <c r="C64" s="376">
        <f t="shared" si="16"/>
        <v>0.2</v>
      </c>
      <c r="D64" s="2211">
        <v>0.25</v>
      </c>
      <c r="E64" s="639">
        <f>'数据-汇总表'!E12</f>
        <v>0</v>
      </c>
      <c r="F64" s="634">
        <f t="shared" si="15"/>
        <v>0</v>
      </c>
      <c r="G64" s="1928" t="s">
        <v>1677</v>
      </c>
      <c r="H64" s="1926" t="str">
        <f>IF(G64="商业",项目基本情况!B43,IF(G64="办公",项目基本情况!C43,IF(G64="住宅",项目基本情况!D43,项目基本情况!E43)))</f>
        <v>九级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570</v>
      </c>
      <c r="B65" s="636">
        <f t="shared" si="17"/>
        <v>1103</v>
      </c>
      <c r="C65" s="376">
        <f t="shared" si="16"/>
        <v>0.15</v>
      </c>
      <c r="D65" s="2211">
        <v>0.25</v>
      </c>
      <c r="E65" s="639">
        <f>'数据-汇总表'!E13</f>
        <v>0</v>
      </c>
      <c r="F65" s="634">
        <f t="shared" si="15"/>
        <v>0</v>
      </c>
      <c r="G65" s="1928" t="s">
        <v>923</v>
      </c>
      <c r="H65" s="1926" t="str">
        <f>IF(G65="商业",项目基本情况!B43,IF(G65="办公",项目基本情况!C43,IF(G65="住宅",项目基本情况!D43,项目基本情况!E43)))</f>
        <v>九级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571</v>
      </c>
      <c r="B66" s="636">
        <f t="shared" si="17"/>
        <v>1103</v>
      </c>
      <c r="C66" s="376">
        <f t="shared" si="16"/>
        <v>0.15</v>
      </c>
      <c r="D66" s="2211">
        <v>0.25</v>
      </c>
      <c r="E66" s="639">
        <f>'数据-汇总表'!E14</f>
        <v>0</v>
      </c>
      <c r="F66" s="634">
        <f t="shared" si="15"/>
        <v>0</v>
      </c>
      <c r="G66" s="1927" t="s">
        <v>2278</v>
      </c>
      <c r="H66" s="1930" t="str">
        <f>项目基本情况!B43</f>
        <v>九级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572</v>
      </c>
      <c r="B67" s="636">
        <f t="shared" si="17"/>
        <v>1103</v>
      </c>
      <c r="C67" s="376">
        <f t="shared" si="16"/>
        <v>0.15</v>
      </c>
      <c r="D67" s="2211">
        <v>0.25</v>
      </c>
      <c r="E67" s="639">
        <f>'数据-汇总表'!E15</f>
        <v>0</v>
      </c>
      <c r="F67" s="634">
        <f t="shared" si="15"/>
        <v>0</v>
      </c>
      <c r="G67" s="1929" t="s">
        <v>2279</v>
      </c>
      <c r="H67" s="1931" t="str">
        <f>项目基本情况!C43</f>
        <v>九级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573</v>
      </c>
      <c r="B68" s="641" t="s">
        <v>17</v>
      </c>
      <c r="C68" s="641" t="s">
        <v>18</v>
      </c>
      <c r="D68" s="641" t="s">
        <v>2290</v>
      </c>
      <c r="E68" s="641">
        <f>IF(B48="楼面地价",SUM(E58:E67),'数据-汇总表'!D3)</f>
        <v>138941.47999999998</v>
      </c>
      <c r="F68" s="642">
        <f>IF(B48="楼面地价",SUM(F58:F67),ROUND(C50*E68/10000,0))</f>
        <v>408530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2528</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2642</v>
      </c>
      <c r="B73" s="477" t="str">
        <f>"北京市平均增长率"&amp;TEXT(SUMIF(基准地价!N21:N25,A73,基准地价!P21:P25),"0.00%")</f>
        <v>北京市平均增长率1.90%</v>
      </c>
      <c r="C73" s="892">
        <v>100</v>
      </c>
      <c r="D73" s="728">
        <v>99</v>
      </c>
      <c r="E73" s="728">
        <v>98</v>
      </c>
      <c r="F73" s="728">
        <v>97</v>
      </c>
      <c r="G73" s="728">
        <v>96</v>
      </c>
      <c r="H73" s="728">
        <v>95</v>
      </c>
      <c r="I73" s="728">
        <v>94</v>
      </c>
      <c r="J73" s="728"/>
      <c r="K73" s="728"/>
      <c r="L73" s="728"/>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2641</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96" t="s">
        <v>3634</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3197" t="s">
        <v>3637</v>
      </c>
      <c r="D84" s="3197" t="s">
        <v>3635</v>
      </c>
      <c r="E84" s="3197" t="s">
        <v>3636</v>
      </c>
      <c r="F84" s="3197"/>
      <c r="G84" s="3197"/>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69">
        <v>110</v>
      </c>
      <c r="D85" s="690">
        <v>105</v>
      </c>
      <c r="E85" s="669">
        <v>100</v>
      </c>
      <c r="F85" s="690"/>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97</v>
      </c>
      <c r="E93" s="677">
        <f>D93-$K19</f>
        <v>94</v>
      </c>
      <c r="F93" s="677">
        <f>E93-$K19</f>
        <v>91</v>
      </c>
      <c r="G93" s="677">
        <f>F93-$K19</f>
        <v>88</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97" t="s">
        <v>3048</v>
      </c>
      <c r="D108" s="3197" t="s">
        <v>3638</v>
      </c>
      <c r="E108" s="3197" t="s">
        <v>2988</v>
      </c>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20000(含)-40000</v>
      </c>
      <c r="E118" s="702" t="str">
        <f t="shared" si="25"/>
        <v>40000(含)-60000</v>
      </c>
      <c r="F118" s="702" t="str">
        <f t="shared" si="25"/>
        <v>60000(含)-80000</v>
      </c>
      <c r="G118" s="702" t="str">
        <f t="shared" si="25"/>
        <v>80000(含)-100000</v>
      </c>
      <c r="H118" s="702" t="str">
        <f t="shared" si="25"/>
        <v>100000(含)-150000</v>
      </c>
      <c r="I118" s="702" t="str">
        <f t="shared" si="25"/>
        <v>150000(含)-</v>
      </c>
      <c r="J118" s="3038" t="str">
        <f t="shared" si="25"/>
        <v>(含)-</v>
      </c>
      <c r="K118" s="3038" t="str">
        <f t="shared" si="25"/>
        <v>(含)-</v>
      </c>
      <c r="L118" s="3039" t="str">
        <f t="shared" si="25"/>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40000</v>
      </c>
      <c r="F119" s="728">
        <v>60000</v>
      </c>
      <c r="G119" s="728">
        <v>80000</v>
      </c>
      <c r="H119" s="728">
        <v>100000</v>
      </c>
      <c r="I119" s="728">
        <v>150000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102</v>
      </c>
      <c r="E120" s="724">
        <v>104</v>
      </c>
      <c r="F120" s="724">
        <v>106</v>
      </c>
      <c r="G120" s="724">
        <v>108</v>
      </c>
      <c r="H120" s="724">
        <v>110</v>
      </c>
      <c r="I120" s="724">
        <v>112</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98" t="s">
        <v>3639</v>
      </c>
      <c r="D121" s="3198" t="s">
        <v>3640</v>
      </c>
      <c r="E121" s="3198" t="s">
        <v>3641</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97" t="s">
        <v>3648</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2421</v>
      </c>
      <c r="C125" s="3197" t="s">
        <v>3642</v>
      </c>
      <c r="D125" s="3197" t="s">
        <v>3643</v>
      </c>
      <c r="E125" s="3197" t="s">
        <v>3644</v>
      </c>
      <c r="F125" s="3197" t="s">
        <v>3645</v>
      </c>
      <c r="G125" s="3197" t="s">
        <v>3646</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97" t="s">
        <v>3650</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topLeftCell="A268" workbookViewId="0">
      <selection activeCell="G294" sqref="G294"/>
    </sheetView>
  </sheetViews>
  <sheetFormatPr defaultColWidth="9" defaultRowHeight="13.5"/>
  <cols>
    <col min="1" max="1" width="26.5" style="3188" customWidth="1"/>
    <col min="2" max="2" width="0" style="3188" hidden="1" customWidth="1"/>
    <col min="3" max="3" width="9" style="3188"/>
    <col min="4" max="4" width="6" style="3188" customWidth="1"/>
    <col min="5" max="6" width="9" style="3188"/>
    <col min="7" max="7" width="6" style="3188" customWidth="1"/>
    <col min="8" max="8" width="7.375" style="3188" customWidth="1"/>
    <col min="9" max="9" width="9" style="3188"/>
    <col min="10" max="10" width="12.875" style="3188" customWidth="1"/>
    <col min="11" max="11" width="0" style="3188" hidden="1" customWidth="1"/>
    <col min="12" max="20" width="9" style="3188"/>
    <col min="21" max="21" width="11.875" style="3188" customWidth="1"/>
    <col min="22" max="16384" width="9" style="3188"/>
  </cols>
  <sheetData>
    <row r="1" spans="1:24" hidden="1">
      <c r="A1" s="3184" t="s">
        <v>3049</v>
      </c>
      <c r="B1" s="3184" t="s">
        <v>3050</v>
      </c>
      <c r="C1" s="3184" t="s">
        <v>3051</v>
      </c>
      <c r="D1" s="3184" t="s">
        <v>3052</v>
      </c>
      <c r="E1" s="3184" t="s">
        <v>3053</v>
      </c>
      <c r="F1" s="3184" t="s">
        <v>3054</v>
      </c>
      <c r="G1" s="3184" t="s">
        <v>2028</v>
      </c>
      <c r="H1" s="3184" t="s">
        <v>3055</v>
      </c>
      <c r="I1" s="3184" t="s">
        <v>3056</v>
      </c>
      <c r="J1" s="3184" t="s">
        <v>3057</v>
      </c>
      <c r="K1" s="3184" t="s">
        <v>3058</v>
      </c>
      <c r="L1" s="3184" t="s">
        <v>3059</v>
      </c>
      <c r="M1" s="3184" t="s">
        <v>3060</v>
      </c>
      <c r="N1" s="3184" t="s">
        <v>3061</v>
      </c>
      <c r="O1" s="3184" t="s">
        <v>3062</v>
      </c>
      <c r="P1" s="3184" t="s">
        <v>3063</v>
      </c>
      <c r="Q1" s="3185" t="s">
        <v>3064</v>
      </c>
      <c r="R1" s="3185" t="s">
        <v>3065</v>
      </c>
      <c r="S1" s="3185" t="s">
        <v>3066</v>
      </c>
      <c r="T1" s="3185" t="s">
        <v>3067</v>
      </c>
      <c r="U1" s="3186" t="s">
        <v>3068</v>
      </c>
      <c r="V1" s="3185" t="s">
        <v>3069</v>
      </c>
      <c r="W1" s="3185" t="s">
        <v>3070</v>
      </c>
      <c r="X1" s="3187" t="s">
        <v>3071</v>
      </c>
    </row>
    <row r="2" spans="1:24" hidden="1">
      <c r="A2" s="3184" t="s">
        <v>3072</v>
      </c>
      <c r="B2" s="3184" t="s">
        <v>1943</v>
      </c>
      <c r="C2" s="3184" t="s">
        <v>3073</v>
      </c>
      <c r="D2" s="3184" t="s">
        <v>3074</v>
      </c>
      <c r="E2" s="3184">
        <v>31917.24</v>
      </c>
      <c r="F2" s="3184">
        <v>47876</v>
      </c>
      <c r="G2" s="3184" t="s">
        <v>3075</v>
      </c>
      <c r="H2" s="3184" t="s">
        <v>2812</v>
      </c>
      <c r="I2" s="3184" t="s">
        <v>3076</v>
      </c>
      <c r="J2" s="3184" t="s">
        <v>3077</v>
      </c>
      <c r="K2" s="3184">
        <v>238900</v>
      </c>
      <c r="L2" s="3184">
        <v>242500</v>
      </c>
      <c r="M2" s="3184">
        <v>50651.68</v>
      </c>
      <c r="N2" s="3184">
        <f>ROUND(L2*10000/E2,0)</f>
        <v>75978</v>
      </c>
      <c r="O2" s="3184">
        <v>1.51</v>
      </c>
      <c r="P2" s="3184" t="s">
        <v>3078</v>
      </c>
      <c r="Q2" s="3187" t="s">
        <v>3079</v>
      </c>
      <c r="R2" s="3189">
        <f>E20</f>
        <v>41963.66</v>
      </c>
      <c r="S2" s="3189">
        <f>F20</f>
        <v>117498</v>
      </c>
      <c r="T2" s="3187">
        <v>28000</v>
      </c>
      <c r="U2" s="3189">
        <v>15000</v>
      </c>
      <c r="V2" s="3189">
        <v>36000</v>
      </c>
      <c r="W2" s="3189">
        <v>22000</v>
      </c>
      <c r="X2" s="3189">
        <f>M20</f>
        <v>28085.58</v>
      </c>
    </row>
    <row r="3" spans="1:24" hidden="1">
      <c r="A3" s="3184" t="s">
        <v>3080</v>
      </c>
      <c r="B3" s="3184" t="s">
        <v>1943</v>
      </c>
      <c r="C3" s="3184" t="s">
        <v>3073</v>
      </c>
      <c r="D3" s="3184" t="s">
        <v>3074</v>
      </c>
      <c r="E3" s="3184">
        <v>31314.23</v>
      </c>
      <c r="F3" s="3184">
        <v>85543</v>
      </c>
      <c r="G3" s="3184" t="s">
        <v>3081</v>
      </c>
      <c r="H3" s="3184" t="s">
        <v>2812</v>
      </c>
      <c r="I3" s="3184" t="s">
        <v>3082</v>
      </c>
      <c r="J3" s="3184" t="s">
        <v>3083</v>
      </c>
      <c r="K3" s="3184">
        <v>189700</v>
      </c>
      <c r="L3" s="3184">
        <v>189700</v>
      </c>
      <c r="M3" s="3184">
        <v>22175.97</v>
      </c>
      <c r="N3" s="3184">
        <f t="shared" ref="N3:N66" si="0">ROUND(L3*10000/E3,0)</f>
        <v>60579</v>
      </c>
      <c r="O3" s="3184">
        <v>0</v>
      </c>
      <c r="P3" s="3184" t="s">
        <v>3084</v>
      </c>
      <c r="Q3" s="3187" t="s">
        <v>3085</v>
      </c>
      <c r="R3" s="3189">
        <f>E22</f>
        <v>63913.14</v>
      </c>
      <c r="S3" s="3189">
        <f>F22</f>
        <v>159783</v>
      </c>
      <c r="T3" s="3189">
        <v>89000</v>
      </c>
      <c r="U3" s="3189">
        <v>15000</v>
      </c>
      <c r="V3" s="3187" t="s">
        <v>3086</v>
      </c>
      <c r="W3" s="3187" t="s">
        <v>3086</v>
      </c>
      <c r="X3" s="3189">
        <f>M22</f>
        <v>26598.560000000001</v>
      </c>
    </row>
    <row r="4" spans="1:24" hidden="1">
      <c r="A4" s="3184" t="s">
        <v>3087</v>
      </c>
      <c r="B4" s="3184" t="s">
        <v>1943</v>
      </c>
      <c r="C4" s="3184" t="s">
        <v>3088</v>
      </c>
      <c r="D4" s="3184" t="s">
        <v>3074</v>
      </c>
      <c r="E4" s="3184">
        <v>39479.050000000003</v>
      </c>
      <c r="F4" s="3184">
        <v>43427</v>
      </c>
      <c r="G4" s="3184" t="s">
        <v>3089</v>
      </c>
      <c r="H4" s="3184" t="s">
        <v>2812</v>
      </c>
      <c r="I4" s="3184" t="s">
        <v>3090</v>
      </c>
      <c r="J4" s="3184" t="s">
        <v>3091</v>
      </c>
      <c r="K4" s="3184">
        <v>244900</v>
      </c>
      <c r="L4" s="3184">
        <v>302000</v>
      </c>
      <c r="M4" s="3184">
        <v>69541.990000000005</v>
      </c>
      <c r="N4" s="3184">
        <f t="shared" si="0"/>
        <v>76496</v>
      </c>
      <c r="O4" s="3184">
        <v>23.32</v>
      </c>
      <c r="P4" s="3184" t="s">
        <v>3078</v>
      </c>
      <c r="Q4" s="3187" t="s">
        <v>3092</v>
      </c>
      <c r="R4" s="3189">
        <f>E128</f>
        <v>54060.2</v>
      </c>
      <c r="S4" s="3189">
        <f>F128</f>
        <v>159559</v>
      </c>
      <c r="T4" s="3189">
        <v>41600</v>
      </c>
      <c r="U4" s="3189">
        <v>21000</v>
      </c>
      <c r="V4" s="3187" t="s">
        <v>3093</v>
      </c>
      <c r="W4" s="3187" t="s">
        <v>3093</v>
      </c>
      <c r="X4" s="3189">
        <f>M128</f>
        <v>28140.06</v>
      </c>
    </row>
    <row r="5" spans="1:24" hidden="1">
      <c r="A5" s="3184" t="s">
        <v>3094</v>
      </c>
      <c r="B5" s="3184" t="s">
        <v>1943</v>
      </c>
      <c r="C5" s="3184" t="s">
        <v>3073</v>
      </c>
      <c r="D5" s="3184" t="s">
        <v>3074</v>
      </c>
      <c r="E5" s="3184">
        <v>60678.01</v>
      </c>
      <c r="F5" s="3184">
        <v>160145</v>
      </c>
      <c r="G5" s="3184" t="s">
        <v>3095</v>
      </c>
      <c r="H5" s="3184" t="s">
        <v>2812</v>
      </c>
      <c r="I5" s="3184" t="s">
        <v>3096</v>
      </c>
      <c r="J5" s="3184" t="s">
        <v>3097</v>
      </c>
      <c r="K5" s="3184">
        <v>339100</v>
      </c>
      <c r="L5" s="3184">
        <v>340800</v>
      </c>
      <c r="M5" s="3184">
        <v>21280.7</v>
      </c>
      <c r="N5" s="3184">
        <f t="shared" si="0"/>
        <v>56165</v>
      </c>
      <c r="O5" s="3184">
        <v>0.5</v>
      </c>
      <c r="P5" s="3184" t="s">
        <v>3084</v>
      </c>
    </row>
    <row r="6" spans="1:24" hidden="1">
      <c r="A6" s="3184" t="s">
        <v>3098</v>
      </c>
      <c r="B6" s="3184" t="s">
        <v>1943</v>
      </c>
      <c r="C6" s="3184" t="s">
        <v>3088</v>
      </c>
      <c r="D6" s="3184" t="s">
        <v>3074</v>
      </c>
      <c r="E6" s="3184">
        <v>41541.339999999997</v>
      </c>
      <c r="F6" s="3184">
        <v>87237</v>
      </c>
      <c r="G6" s="3184">
        <v>2.1</v>
      </c>
      <c r="H6" s="3184" t="s">
        <v>2812</v>
      </c>
      <c r="I6" s="3184" t="s">
        <v>3099</v>
      </c>
      <c r="J6" s="3184" t="s">
        <v>3100</v>
      </c>
      <c r="K6" s="3184">
        <v>150000</v>
      </c>
      <c r="L6" s="3184">
        <v>206000</v>
      </c>
      <c r="M6" s="3184">
        <v>23613.83</v>
      </c>
      <c r="N6" s="3184">
        <f t="shared" si="0"/>
        <v>49589</v>
      </c>
      <c r="O6" s="3184">
        <v>37.33</v>
      </c>
      <c r="P6" s="3184" t="s">
        <v>3084</v>
      </c>
    </row>
    <row r="7" spans="1:24" hidden="1">
      <c r="A7" s="3184" t="s">
        <v>3101</v>
      </c>
      <c r="B7" s="3184" t="s">
        <v>1943</v>
      </c>
      <c r="C7" s="3184" t="s">
        <v>3073</v>
      </c>
      <c r="D7" s="3184" t="s">
        <v>3074</v>
      </c>
      <c r="E7" s="3184">
        <v>22975.03</v>
      </c>
      <c r="F7" s="3184">
        <v>68925</v>
      </c>
      <c r="G7" s="3184">
        <v>3</v>
      </c>
      <c r="H7" s="3184" t="s">
        <v>2812</v>
      </c>
      <c r="I7" s="3184" t="s">
        <v>3102</v>
      </c>
      <c r="J7" s="3184" t="s">
        <v>3103</v>
      </c>
      <c r="K7" s="3184">
        <v>208000</v>
      </c>
      <c r="L7" s="3184">
        <v>264000</v>
      </c>
      <c r="M7" s="3184">
        <v>38302.5</v>
      </c>
      <c r="N7" s="3184">
        <f t="shared" si="0"/>
        <v>114907</v>
      </c>
      <c r="O7" s="3184">
        <v>26.92</v>
      </c>
      <c r="P7" s="3184" t="s">
        <v>3084</v>
      </c>
      <c r="Q7" s="3185" t="s">
        <v>3104</v>
      </c>
    </row>
    <row r="8" spans="1:24" hidden="1">
      <c r="A8" s="3184" t="s">
        <v>3105</v>
      </c>
      <c r="B8" s="3184" t="s">
        <v>1943</v>
      </c>
      <c r="C8" s="3184" t="s">
        <v>3073</v>
      </c>
      <c r="D8" s="3184" t="s">
        <v>3074</v>
      </c>
      <c r="E8" s="3184">
        <v>19200.669999999998</v>
      </c>
      <c r="F8" s="3184">
        <v>57602</v>
      </c>
      <c r="G8" s="3184">
        <v>3</v>
      </c>
      <c r="H8" s="3184" t="s">
        <v>2812</v>
      </c>
      <c r="I8" s="3184" t="s">
        <v>3102</v>
      </c>
      <c r="J8" s="3184" t="s">
        <v>3106</v>
      </c>
      <c r="K8" s="3184">
        <v>200000</v>
      </c>
      <c r="L8" s="3184">
        <v>234000</v>
      </c>
      <c r="M8" s="3184">
        <v>40623.58</v>
      </c>
      <c r="N8" s="3184">
        <f t="shared" si="0"/>
        <v>121871</v>
      </c>
      <c r="O8" s="3184">
        <v>17</v>
      </c>
      <c r="P8" s="3184" t="s">
        <v>3084</v>
      </c>
      <c r="Q8" s="3187" t="s">
        <v>3107</v>
      </c>
    </row>
    <row r="9" spans="1:24" hidden="1">
      <c r="A9" s="3184" t="s">
        <v>3108</v>
      </c>
      <c r="B9" s="3184" t="s">
        <v>1943</v>
      </c>
      <c r="C9" s="3184" t="s">
        <v>3073</v>
      </c>
      <c r="D9" s="3184" t="s">
        <v>3074</v>
      </c>
      <c r="E9" s="3184">
        <v>74979.98</v>
      </c>
      <c r="F9" s="3184">
        <v>84324</v>
      </c>
      <c r="G9" s="3184">
        <v>1.1200000000000001</v>
      </c>
      <c r="H9" s="3184" t="s">
        <v>2812</v>
      </c>
      <c r="I9" s="3184" t="s">
        <v>3109</v>
      </c>
      <c r="J9" s="3184" t="s">
        <v>3110</v>
      </c>
      <c r="K9" s="3184">
        <v>205000</v>
      </c>
      <c r="L9" s="3184">
        <v>291000</v>
      </c>
      <c r="M9" s="3184">
        <v>34509.75</v>
      </c>
      <c r="N9" s="3184">
        <f t="shared" si="0"/>
        <v>38810</v>
      </c>
      <c r="O9" s="3184">
        <v>41.95</v>
      </c>
      <c r="P9" s="3184" t="s">
        <v>3111</v>
      </c>
      <c r="Q9" s="3187" t="s">
        <v>3112</v>
      </c>
    </row>
    <row r="10" spans="1:24" hidden="1">
      <c r="A10" s="3184" t="s">
        <v>3113</v>
      </c>
      <c r="B10" s="3184" t="s">
        <v>1943</v>
      </c>
      <c r="C10" s="3184" t="s">
        <v>3073</v>
      </c>
      <c r="D10" s="3184" t="s">
        <v>3074</v>
      </c>
      <c r="E10" s="3184">
        <v>55477.35</v>
      </c>
      <c r="F10" s="3184">
        <v>87924</v>
      </c>
      <c r="G10" s="3184">
        <v>1.58</v>
      </c>
      <c r="H10" s="3184" t="s">
        <v>2812</v>
      </c>
      <c r="I10" s="3184" t="s">
        <v>3114</v>
      </c>
      <c r="J10" s="3184" t="s">
        <v>3115</v>
      </c>
      <c r="K10" s="3184">
        <v>150000</v>
      </c>
      <c r="L10" s="3184">
        <v>168000</v>
      </c>
      <c r="M10" s="3184">
        <v>19107.400000000001</v>
      </c>
      <c r="N10" s="3184">
        <f t="shared" si="0"/>
        <v>30283</v>
      </c>
      <c r="O10" s="3184">
        <v>12</v>
      </c>
      <c r="P10" s="3184" t="s">
        <v>3078</v>
      </c>
      <c r="Q10" s="3187" t="s">
        <v>3116</v>
      </c>
    </row>
    <row r="11" spans="1:24" hidden="1">
      <c r="A11" s="3184" t="s">
        <v>3117</v>
      </c>
      <c r="B11" s="3184" t="s">
        <v>1943</v>
      </c>
      <c r="C11" s="3184" t="s">
        <v>3088</v>
      </c>
      <c r="D11" s="3184" t="s">
        <v>3074</v>
      </c>
      <c r="E11" s="3184">
        <v>53525.81</v>
      </c>
      <c r="F11" s="3184">
        <v>58878</v>
      </c>
      <c r="G11" s="3184">
        <v>1.1000000000000001</v>
      </c>
      <c r="H11" s="3184" t="s">
        <v>2812</v>
      </c>
      <c r="I11" s="3184" t="s">
        <v>3118</v>
      </c>
      <c r="J11" s="3184" t="s">
        <v>3119</v>
      </c>
      <c r="K11" s="3184">
        <v>333100</v>
      </c>
      <c r="L11" s="3184">
        <v>336500</v>
      </c>
      <c r="M11" s="3184">
        <v>57152.08</v>
      </c>
      <c r="N11" s="3184">
        <f t="shared" si="0"/>
        <v>62867</v>
      </c>
      <c r="O11" s="3184">
        <v>1.02</v>
      </c>
      <c r="P11" s="3184" t="s">
        <v>3078</v>
      </c>
    </row>
    <row r="12" spans="1:24" hidden="1">
      <c r="A12" s="3184" t="s">
        <v>3120</v>
      </c>
      <c r="B12" s="3184" t="s">
        <v>1943</v>
      </c>
      <c r="C12" s="3184" t="s">
        <v>3088</v>
      </c>
      <c r="D12" s="3184" t="s">
        <v>3074</v>
      </c>
      <c r="E12" s="3184">
        <v>90394.02</v>
      </c>
      <c r="F12" s="3184">
        <v>99433</v>
      </c>
      <c r="G12" s="3184">
        <v>1.1000000000000001</v>
      </c>
      <c r="H12" s="3184" t="s">
        <v>2812</v>
      </c>
      <c r="I12" s="3184" t="s">
        <v>3121</v>
      </c>
      <c r="J12" s="3184" t="s">
        <v>3122</v>
      </c>
      <c r="K12" s="3184">
        <v>557900</v>
      </c>
      <c r="L12" s="3184">
        <v>610000</v>
      </c>
      <c r="M12" s="3184">
        <v>61347.83</v>
      </c>
      <c r="N12" s="3184">
        <f t="shared" si="0"/>
        <v>67482</v>
      </c>
      <c r="O12" s="3184">
        <v>9.34</v>
      </c>
      <c r="P12" s="3184" t="s">
        <v>3078</v>
      </c>
    </row>
    <row r="13" spans="1:24" hidden="1">
      <c r="A13" s="3184" t="s">
        <v>3123</v>
      </c>
      <c r="B13" s="3184" t="s">
        <v>1943</v>
      </c>
      <c r="C13" s="3184" t="s">
        <v>3088</v>
      </c>
      <c r="D13" s="3184" t="s">
        <v>3074</v>
      </c>
      <c r="E13" s="3184">
        <v>35847.35</v>
      </c>
      <c r="F13" s="3184">
        <v>75279</v>
      </c>
      <c r="G13" s="3184">
        <v>2.1</v>
      </c>
      <c r="H13" s="3184" t="s">
        <v>2812</v>
      </c>
      <c r="I13" s="3184" t="s">
        <v>3124</v>
      </c>
      <c r="J13" s="3184" t="s">
        <v>3115</v>
      </c>
      <c r="K13" s="3184">
        <v>170000</v>
      </c>
      <c r="L13" s="3184">
        <v>186000</v>
      </c>
      <c r="M13" s="3184">
        <v>24708.09</v>
      </c>
      <c r="N13" s="3184">
        <f t="shared" si="0"/>
        <v>51887</v>
      </c>
      <c r="O13" s="3184">
        <v>9.41</v>
      </c>
      <c r="P13" s="3184" t="s">
        <v>3078</v>
      </c>
    </row>
    <row r="14" spans="1:24" hidden="1">
      <c r="A14" s="3184" t="s">
        <v>3125</v>
      </c>
      <c r="B14" s="3184" t="s">
        <v>1943</v>
      </c>
      <c r="C14" s="3184" t="s">
        <v>3088</v>
      </c>
      <c r="D14" s="3184" t="s">
        <v>3074</v>
      </c>
      <c r="E14" s="3184">
        <v>77973.48</v>
      </c>
      <c r="F14" s="3184">
        <v>194934</v>
      </c>
      <c r="G14" s="3184">
        <v>2.5</v>
      </c>
      <c r="H14" s="3184" t="s">
        <v>2812</v>
      </c>
      <c r="I14" s="3184" t="s">
        <v>3126</v>
      </c>
      <c r="J14" s="3184" t="s">
        <v>3127</v>
      </c>
      <c r="K14" s="3184">
        <v>498000</v>
      </c>
      <c r="L14" s="3184">
        <v>498000</v>
      </c>
      <c r="M14" s="3184">
        <v>25547.11</v>
      </c>
      <c r="N14" s="3184">
        <f t="shared" si="0"/>
        <v>63868</v>
      </c>
      <c r="O14" s="3184">
        <v>0</v>
      </c>
      <c r="P14" s="3184" t="s">
        <v>3084</v>
      </c>
    </row>
    <row r="15" spans="1:24" hidden="1">
      <c r="A15" s="3184" t="s">
        <v>3128</v>
      </c>
      <c r="B15" s="3184" t="s">
        <v>1943</v>
      </c>
      <c r="C15" s="3184" t="s">
        <v>3073</v>
      </c>
      <c r="D15" s="3184" t="s">
        <v>3074</v>
      </c>
      <c r="E15" s="3184">
        <v>99921.81</v>
      </c>
      <c r="F15" s="3184">
        <v>109014</v>
      </c>
      <c r="G15" s="3184">
        <v>1.1000000000000001</v>
      </c>
      <c r="H15" s="3184" t="s">
        <v>2812</v>
      </c>
      <c r="I15" s="3184" t="s">
        <v>3129</v>
      </c>
      <c r="J15" s="3184" t="s">
        <v>3130</v>
      </c>
      <c r="K15" s="3184">
        <v>400000</v>
      </c>
      <c r="L15" s="3184">
        <v>596000</v>
      </c>
      <c r="M15" s="3184">
        <v>54671.87</v>
      </c>
      <c r="N15" s="3184">
        <f t="shared" si="0"/>
        <v>59647</v>
      </c>
      <c r="O15" s="3184">
        <v>49</v>
      </c>
      <c r="P15" s="3184" t="s">
        <v>3078</v>
      </c>
    </row>
    <row r="16" spans="1:24" hidden="1">
      <c r="A16" s="3184" t="s">
        <v>3131</v>
      </c>
      <c r="B16" s="3184" t="s">
        <v>1943</v>
      </c>
      <c r="C16" s="3184" t="s">
        <v>3088</v>
      </c>
      <c r="D16" s="3184" t="s">
        <v>3074</v>
      </c>
      <c r="E16" s="3184">
        <v>59511.18</v>
      </c>
      <c r="F16" s="3184">
        <v>89267</v>
      </c>
      <c r="G16" s="3184">
        <v>1.5</v>
      </c>
      <c r="H16" s="3184" t="s">
        <v>2812</v>
      </c>
      <c r="I16" s="3184" t="s">
        <v>3132</v>
      </c>
      <c r="J16" s="3184" t="s">
        <v>3133</v>
      </c>
      <c r="K16" s="3184">
        <v>349000</v>
      </c>
      <c r="L16" s="3184">
        <v>457500</v>
      </c>
      <c r="M16" s="3184">
        <v>51250.73</v>
      </c>
      <c r="N16" s="3184">
        <f t="shared" si="0"/>
        <v>76876</v>
      </c>
      <c r="O16" s="3184">
        <v>31.09</v>
      </c>
      <c r="P16" s="3184" t="s">
        <v>3078</v>
      </c>
    </row>
    <row r="17" spans="1:16" hidden="1">
      <c r="A17" s="3184" t="s">
        <v>3134</v>
      </c>
      <c r="B17" s="3184" t="s">
        <v>1943</v>
      </c>
      <c r="C17" s="3184" t="s">
        <v>3088</v>
      </c>
      <c r="D17" s="3184" t="s">
        <v>3074</v>
      </c>
      <c r="E17" s="3184">
        <v>60374.36</v>
      </c>
      <c r="F17" s="3184">
        <v>102636</v>
      </c>
      <c r="G17" s="3184">
        <v>1.7</v>
      </c>
      <c r="H17" s="3184" t="s">
        <v>2812</v>
      </c>
      <c r="I17" s="3184" t="s">
        <v>3135</v>
      </c>
      <c r="J17" s="3184" t="s">
        <v>3136</v>
      </c>
      <c r="K17" s="3184">
        <v>210000</v>
      </c>
      <c r="L17" s="3184">
        <v>326000</v>
      </c>
      <c r="M17" s="3184">
        <v>31762.720000000001</v>
      </c>
      <c r="N17" s="3184">
        <f t="shared" si="0"/>
        <v>53996</v>
      </c>
      <c r="O17" s="3184">
        <v>55.24</v>
      </c>
      <c r="P17" s="3184" t="s">
        <v>3078</v>
      </c>
    </row>
    <row r="18" spans="1:16" hidden="1">
      <c r="A18" s="3184" t="s">
        <v>3137</v>
      </c>
      <c r="B18" s="3184" t="s">
        <v>1943</v>
      </c>
      <c r="C18" s="3184" t="s">
        <v>3073</v>
      </c>
      <c r="D18" s="3184" t="s">
        <v>3074</v>
      </c>
      <c r="E18" s="3184">
        <v>74677.14</v>
      </c>
      <c r="F18" s="3184">
        <v>237938</v>
      </c>
      <c r="G18" s="3184">
        <v>3.19</v>
      </c>
      <c r="H18" s="3184" t="s">
        <v>2812</v>
      </c>
      <c r="I18" s="3184" t="s">
        <v>3138</v>
      </c>
      <c r="J18" s="3184" t="s">
        <v>3139</v>
      </c>
      <c r="K18" s="3184">
        <v>615200</v>
      </c>
      <c r="L18" s="3184">
        <v>615200</v>
      </c>
      <c r="M18" s="3184">
        <v>25855.47</v>
      </c>
      <c r="N18" s="3184">
        <f t="shared" si="0"/>
        <v>82381</v>
      </c>
      <c r="O18" s="3184">
        <v>0</v>
      </c>
      <c r="P18" s="3184" t="s">
        <v>3084</v>
      </c>
    </row>
    <row r="19" spans="1:16" hidden="1">
      <c r="A19" s="3184" t="s">
        <v>3140</v>
      </c>
      <c r="B19" s="3184" t="s">
        <v>1943</v>
      </c>
      <c r="C19" s="3184" t="s">
        <v>3073</v>
      </c>
      <c r="D19" s="3184" t="s">
        <v>3074</v>
      </c>
      <c r="E19" s="3184">
        <v>56169.07</v>
      </c>
      <c r="F19" s="3184">
        <v>123983</v>
      </c>
      <c r="G19" s="3184">
        <v>2.21</v>
      </c>
      <c r="H19" s="3184" t="s">
        <v>3141</v>
      </c>
      <c r="I19" s="3184" t="s">
        <v>3142</v>
      </c>
      <c r="J19" s="3184" t="s">
        <v>3143</v>
      </c>
      <c r="K19" s="3184">
        <v>503500</v>
      </c>
      <c r="L19" s="3184">
        <v>513500</v>
      </c>
      <c r="M19" s="3184">
        <v>41416.97</v>
      </c>
      <c r="N19" s="3184">
        <f t="shared" si="0"/>
        <v>91420</v>
      </c>
      <c r="O19" s="3184">
        <v>1.99</v>
      </c>
      <c r="P19" s="3184" t="s">
        <v>3078</v>
      </c>
    </row>
    <row r="20" spans="1:16" s="3191" customFormat="1" hidden="1">
      <c r="A20" s="3190" t="s">
        <v>3144</v>
      </c>
      <c r="B20" s="3184" t="s">
        <v>1943</v>
      </c>
      <c r="C20" s="3190" t="s">
        <v>3073</v>
      </c>
      <c r="D20" s="3190" t="s">
        <v>3074</v>
      </c>
      <c r="E20" s="3190">
        <v>41963.66</v>
      </c>
      <c r="F20" s="3190">
        <v>117498</v>
      </c>
      <c r="G20" s="3190">
        <v>2.8</v>
      </c>
      <c r="H20" s="3190" t="s">
        <v>3145</v>
      </c>
      <c r="I20" s="3190" t="s">
        <v>3146</v>
      </c>
      <c r="J20" s="3190" t="s">
        <v>3147</v>
      </c>
      <c r="K20" s="3184">
        <v>220000</v>
      </c>
      <c r="L20" s="3190">
        <v>330000</v>
      </c>
      <c r="M20" s="3190">
        <v>28085.58</v>
      </c>
      <c r="N20" s="3190">
        <f t="shared" si="0"/>
        <v>78639</v>
      </c>
      <c r="O20" s="3190">
        <v>50</v>
      </c>
      <c r="P20" s="3190" t="s">
        <v>3084</v>
      </c>
    </row>
    <row r="21" spans="1:16" hidden="1">
      <c r="A21" s="3184" t="s">
        <v>3148</v>
      </c>
      <c r="B21" s="3184" t="s">
        <v>1943</v>
      </c>
      <c r="C21" s="3184" t="s">
        <v>3073</v>
      </c>
      <c r="D21" s="3184" t="s">
        <v>3074</v>
      </c>
      <c r="E21" s="3184">
        <v>69123.38</v>
      </c>
      <c r="F21" s="3184">
        <v>89860</v>
      </c>
      <c r="G21" s="3184">
        <v>1.3</v>
      </c>
      <c r="H21" s="3184" t="s">
        <v>2812</v>
      </c>
      <c r="I21" s="3184" t="s">
        <v>3149</v>
      </c>
      <c r="J21" s="3184" t="s">
        <v>3150</v>
      </c>
      <c r="K21" s="3184">
        <v>196000</v>
      </c>
      <c r="L21" s="3184">
        <v>294000</v>
      </c>
      <c r="M21" s="3184">
        <v>32717.56</v>
      </c>
      <c r="N21" s="3184">
        <f t="shared" si="0"/>
        <v>42533</v>
      </c>
      <c r="O21" s="3184">
        <v>50</v>
      </c>
      <c r="P21" s="3184" t="s">
        <v>3078</v>
      </c>
    </row>
    <row r="22" spans="1:16" s="3191" customFormat="1" hidden="1">
      <c r="A22" s="3190" t="s">
        <v>3151</v>
      </c>
      <c r="B22" s="3184" t="s">
        <v>1943</v>
      </c>
      <c r="C22" s="3190" t="s">
        <v>3073</v>
      </c>
      <c r="D22" s="3190" t="s">
        <v>3074</v>
      </c>
      <c r="E22" s="3190">
        <v>63913.14</v>
      </c>
      <c r="F22" s="3190">
        <v>159783</v>
      </c>
      <c r="G22" s="3190">
        <v>2.5</v>
      </c>
      <c r="H22" s="3190" t="s">
        <v>3145</v>
      </c>
      <c r="I22" s="3190" t="s">
        <v>3152</v>
      </c>
      <c r="J22" s="3190" t="s">
        <v>3153</v>
      </c>
      <c r="K22" s="3184">
        <v>305000</v>
      </c>
      <c r="L22" s="3190">
        <v>425000</v>
      </c>
      <c r="M22" s="3190">
        <v>26598.560000000001</v>
      </c>
      <c r="N22" s="3190">
        <f t="shared" si="0"/>
        <v>66496</v>
      </c>
      <c r="O22" s="3190">
        <v>39.340000000000003</v>
      </c>
      <c r="P22" s="3190" t="s">
        <v>3084</v>
      </c>
    </row>
    <row r="23" spans="1:16" hidden="1">
      <c r="A23" s="3184" t="s">
        <v>3154</v>
      </c>
      <c r="B23" s="3184" t="s">
        <v>1943</v>
      </c>
      <c r="C23" s="3184" t="s">
        <v>3073</v>
      </c>
      <c r="D23" s="3184" t="s">
        <v>3074</v>
      </c>
      <c r="E23" s="3184">
        <v>121096.3</v>
      </c>
      <c r="F23" s="3184">
        <v>143685</v>
      </c>
      <c r="G23" s="3184">
        <v>1.19</v>
      </c>
      <c r="H23" s="3184" t="s">
        <v>2812</v>
      </c>
      <c r="I23" s="3184" t="s">
        <v>3155</v>
      </c>
      <c r="J23" s="3184" t="s">
        <v>3156</v>
      </c>
      <c r="K23" s="3184">
        <v>432200</v>
      </c>
      <c r="L23" s="3184">
        <v>648300</v>
      </c>
      <c r="M23" s="3184">
        <v>45119.519999999997</v>
      </c>
      <c r="N23" s="3184">
        <f t="shared" si="0"/>
        <v>53536</v>
      </c>
      <c r="O23" s="3184">
        <v>50</v>
      </c>
      <c r="P23" s="3184" t="s">
        <v>3111</v>
      </c>
    </row>
    <row r="24" spans="1:16" hidden="1">
      <c r="A24" s="3184" t="s">
        <v>3157</v>
      </c>
      <c r="B24" s="3184" t="s">
        <v>1943</v>
      </c>
      <c r="C24" s="3184" t="s">
        <v>3073</v>
      </c>
      <c r="D24" s="3184" t="s">
        <v>3074</v>
      </c>
      <c r="E24" s="3184">
        <v>46486.13</v>
      </c>
      <c r="F24" s="3184">
        <v>68269</v>
      </c>
      <c r="G24" s="3184">
        <v>1.47</v>
      </c>
      <c r="H24" s="3184" t="s">
        <v>2812</v>
      </c>
      <c r="I24" s="3184" t="s">
        <v>3158</v>
      </c>
      <c r="J24" s="3184" t="s">
        <v>3159</v>
      </c>
      <c r="K24" s="3184">
        <v>79100</v>
      </c>
      <c r="L24" s="3184">
        <v>112500</v>
      </c>
      <c r="M24" s="3184">
        <v>16478.93</v>
      </c>
      <c r="N24" s="3184">
        <f t="shared" si="0"/>
        <v>24201</v>
      </c>
      <c r="O24" s="3184">
        <v>42.23</v>
      </c>
      <c r="P24" s="3184" t="s">
        <v>3084</v>
      </c>
    </row>
    <row r="25" spans="1:16" hidden="1">
      <c r="A25" s="3184" t="s">
        <v>3160</v>
      </c>
      <c r="B25" s="3184" t="s">
        <v>1943</v>
      </c>
      <c r="C25" s="3184" t="s">
        <v>3088</v>
      </c>
      <c r="D25" s="3184" t="s">
        <v>3161</v>
      </c>
      <c r="E25" s="3184">
        <v>30781.8</v>
      </c>
      <c r="F25" s="3184">
        <v>92345</v>
      </c>
      <c r="G25" s="3184">
        <v>3</v>
      </c>
      <c r="H25" s="3184" t="s">
        <v>2812</v>
      </c>
      <c r="I25" s="3184" t="s">
        <v>3162</v>
      </c>
      <c r="J25" s="3184" t="s">
        <v>3163</v>
      </c>
      <c r="K25" s="3184" t="s">
        <v>2812</v>
      </c>
      <c r="L25" s="3184">
        <v>50000</v>
      </c>
      <c r="M25" s="3184">
        <v>5414.47</v>
      </c>
      <c r="N25" s="3184">
        <f t="shared" si="0"/>
        <v>16243</v>
      </c>
      <c r="O25" s="3184" t="s">
        <v>2812</v>
      </c>
      <c r="P25" s="3184" t="s">
        <v>3084</v>
      </c>
    </row>
    <row r="26" spans="1:16" hidden="1">
      <c r="A26" s="3184" t="s">
        <v>3164</v>
      </c>
      <c r="B26" s="3184" t="s">
        <v>1943</v>
      </c>
      <c r="C26" s="3184" t="s">
        <v>3073</v>
      </c>
      <c r="D26" s="3184" t="s">
        <v>3074</v>
      </c>
      <c r="E26" s="3184">
        <v>22547.84</v>
      </c>
      <c r="F26" s="3184">
        <v>56369</v>
      </c>
      <c r="G26" s="3184">
        <v>2.5</v>
      </c>
      <c r="H26" s="3184" t="s">
        <v>2812</v>
      </c>
      <c r="I26" s="3184" t="s">
        <v>3165</v>
      </c>
      <c r="J26" s="3184" t="s">
        <v>3166</v>
      </c>
      <c r="K26" s="3184">
        <v>92500</v>
      </c>
      <c r="L26" s="3184">
        <v>138000</v>
      </c>
      <c r="M26" s="3184">
        <v>24481.54</v>
      </c>
      <c r="N26" s="3184">
        <f t="shared" si="0"/>
        <v>61203</v>
      </c>
      <c r="O26" s="3184">
        <v>49.19</v>
      </c>
      <c r="P26" s="3184" t="s">
        <v>3084</v>
      </c>
    </row>
    <row r="27" spans="1:16" hidden="1">
      <c r="A27" s="3184" t="s">
        <v>3167</v>
      </c>
      <c r="B27" s="3184" t="s">
        <v>1943</v>
      </c>
      <c r="C27" s="3184" t="s">
        <v>3073</v>
      </c>
      <c r="D27" s="3184" t="s">
        <v>3074</v>
      </c>
      <c r="E27" s="3184">
        <v>30527.53</v>
      </c>
      <c r="F27" s="3184">
        <v>76319</v>
      </c>
      <c r="G27" s="3184">
        <v>2.5</v>
      </c>
      <c r="H27" s="3184" t="s">
        <v>2812</v>
      </c>
      <c r="I27" s="3184" t="s">
        <v>3165</v>
      </c>
      <c r="J27" s="3184" t="s">
        <v>3168</v>
      </c>
      <c r="K27" s="3184">
        <v>66400</v>
      </c>
      <c r="L27" s="3184">
        <v>81000</v>
      </c>
      <c r="M27" s="3184">
        <v>10613.35</v>
      </c>
      <c r="N27" s="3184">
        <f t="shared" si="0"/>
        <v>26533</v>
      </c>
      <c r="O27" s="3184">
        <v>21.99</v>
      </c>
      <c r="P27" s="3184" t="s">
        <v>3078</v>
      </c>
    </row>
    <row r="28" spans="1:16" s="3193" customFormat="1" hidden="1">
      <c r="A28" s="3192" t="s">
        <v>3169</v>
      </c>
      <c r="B28" s="3184" t="s">
        <v>1943</v>
      </c>
      <c r="C28" s="3192" t="s">
        <v>3073</v>
      </c>
      <c r="D28" s="3192" t="s">
        <v>3074</v>
      </c>
      <c r="E28" s="3192">
        <v>61500</v>
      </c>
      <c r="F28" s="3192">
        <v>119200</v>
      </c>
      <c r="G28" s="3192">
        <v>1.94</v>
      </c>
      <c r="H28" s="3192" t="s">
        <v>3145</v>
      </c>
      <c r="I28" s="3192" t="s">
        <v>3170</v>
      </c>
      <c r="J28" s="3192" t="s">
        <v>3171</v>
      </c>
      <c r="K28" s="3184">
        <v>149200</v>
      </c>
      <c r="L28" s="3192">
        <v>205000</v>
      </c>
      <c r="M28" s="3192">
        <v>17197.990000000002</v>
      </c>
      <c r="N28" s="3192">
        <f t="shared" si="0"/>
        <v>33333</v>
      </c>
      <c r="O28" s="3192">
        <v>37.4</v>
      </c>
      <c r="P28" s="3192" t="s">
        <v>3084</v>
      </c>
    </row>
    <row r="29" spans="1:16" hidden="1">
      <c r="A29" s="3184" t="s">
        <v>3172</v>
      </c>
      <c r="B29" s="3184" t="s">
        <v>1943</v>
      </c>
      <c r="C29" s="3184" t="s">
        <v>3088</v>
      </c>
      <c r="D29" s="3184" t="s">
        <v>3161</v>
      </c>
      <c r="E29" s="3184">
        <v>78241.8</v>
      </c>
      <c r="F29" s="3184">
        <v>229740</v>
      </c>
      <c r="G29" s="3184">
        <v>2.94</v>
      </c>
      <c r="H29" s="3184" t="s">
        <v>2812</v>
      </c>
      <c r="I29" s="3184" t="s">
        <v>3173</v>
      </c>
      <c r="J29" s="3184" t="s">
        <v>3174</v>
      </c>
      <c r="K29" s="3184" t="s">
        <v>2812</v>
      </c>
      <c r="L29" s="3184">
        <v>300088</v>
      </c>
      <c r="M29" s="3184">
        <v>13062.06</v>
      </c>
      <c r="N29" s="3184">
        <f t="shared" si="0"/>
        <v>38354</v>
      </c>
      <c r="O29" s="3184" t="s">
        <v>2812</v>
      </c>
      <c r="P29" s="3184" t="s">
        <v>3078</v>
      </c>
    </row>
    <row r="30" spans="1:16" hidden="1">
      <c r="A30" s="3184" t="s">
        <v>3175</v>
      </c>
      <c r="B30" s="3184" t="s">
        <v>1943</v>
      </c>
      <c r="C30" s="3184" t="s">
        <v>3073</v>
      </c>
      <c r="D30" s="3184" t="s">
        <v>3161</v>
      </c>
      <c r="E30" s="3184">
        <v>120479.5</v>
      </c>
      <c r="F30" s="3184">
        <v>316433</v>
      </c>
      <c r="G30" s="3184">
        <v>2.63</v>
      </c>
      <c r="H30" s="3184" t="s">
        <v>2812</v>
      </c>
      <c r="I30" s="3184" t="s">
        <v>3176</v>
      </c>
      <c r="J30" s="3184" t="s">
        <v>3177</v>
      </c>
      <c r="K30" s="3184" t="s">
        <v>2812</v>
      </c>
      <c r="L30" s="3184">
        <v>433500</v>
      </c>
      <c r="M30" s="3184">
        <v>13699.57</v>
      </c>
      <c r="N30" s="3184">
        <f t="shared" si="0"/>
        <v>35981</v>
      </c>
      <c r="O30" s="3184" t="s">
        <v>2812</v>
      </c>
      <c r="P30" s="3184" t="s">
        <v>3084</v>
      </c>
    </row>
    <row r="31" spans="1:16" hidden="1">
      <c r="A31" s="3184" t="s">
        <v>3178</v>
      </c>
      <c r="B31" s="3184" t="s">
        <v>1943</v>
      </c>
      <c r="C31" s="3184" t="s">
        <v>3073</v>
      </c>
      <c r="D31" s="3184" t="s">
        <v>3161</v>
      </c>
      <c r="E31" s="3184">
        <v>13821.44</v>
      </c>
      <c r="F31" s="3184">
        <v>41464.31</v>
      </c>
      <c r="G31" s="3184">
        <v>3</v>
      </c>
      <c r="H31" s="3184" t="s">
        <v>2812</v>
      </c>
      <c r="I31" s="3184" t="s">
        <v>3176</v>
      </c>
      <c r="J31" s="3184" t="s">
        <v>3179</v>
      </c>
      <c r="K31" s="3184" t="s">
        <v>2812</v>
      </c>
      <c r="L31" s="3184">
        <v>60050</v>
      </c>
      <c r="M31" s="3184">
        <v>14482.32</v>
      </c>
      <c r="N31" s="3184">
        <f t="shared" si="0"/>
        <v>43447</v>
      </c>
      <c r="O31" s="3184" t="s">
        <v>2812</v>
      </c>
      <c r="P31" s="3184" t="s">
        <v>3084</v>
      </c>
    </row>
    <row r="32" spans="1:16" hidden="1">
      <c r="A32" s="3184" t="s">
        <v>3180</v>
      </c>
      <c r="B32" s="3184" t="s">
        <v>1943</v>
      </c>
      <c r="C32" s="3184" t="s">
        <v>3073</v>
      </c>
      <c r="D32" s="3184" t="s">
        <v>3161</v>
      </c>
      <c r="E32" s="3184">
        <v>85414.65</v>
      </c>
      <c r="F32" s="3184">
        <v>179961</v>
      </c>
      <c r="G32" s="3184">
        <v>2.11</v>
      </c>
      <c r="H32" s="3184" t="s">
        <v>2812</v>
      </c>
      <c r="I32" s="3184" t="s">
        <v>3181</v>
      </c>
      <c r="J32" s="3184" t="s">
        <v>3177</v>
      </c>
      <c r="K32" s="3184" t="s">
        <v>2812</v>
      </c>
      <c r="L32" s="3184">
        <v>220043</v>
      </c>
      <c r="M32" s="3184">
        <v>12227.26</v>
      </c>
      <c r="N32" s="3184">
        <f t="shared" si="0"/>
        <v>25762</v>
      </c>
      <c r="O32" s="3184" t="s">
        <v>2812</v>
      </c>
      <c r="P32" s="3184" t="s">
        <v>3084</v>
      </c>
    </row>
    <row r="33" spans="1:16" hidden="1">
      <c r="A33" s="3184" t="s">
        <v>3182</v>
      </c>
      <c r="B33" s="3184" t="s">
        <v>1943</v>
      </c>
      <c r="C33" s="3184" t="s">
        <v>3073</v>
      </c>
      <c r="D33" s="3184" t="s">
        <v>3074</v>
      </c>
      <c r="E33" s="3184">
        <v>48517.36</v>
      </c>
      <c r="F33" s="3184">
        <v>91883</v>
      </c>
      <c r="G33" s="3184">
        <v>1.89</v>
      </c>
      <c r="H33" s="3184" t="s">
        <v>3145</v>
      </c>
      <c r="I33" s="3184" t="s">
        <v>3183</v>
      </c>
      <c r="J33" s="3184" t="s">
        <v>3184</v>
      </c>
      <c r="K33" s="3184">
        <v>165000</v>
      </c>
      <c r="L33" s="3184">
        <v>214500</v>
      </c>
      <c r="M33" s="3184">
        <v>23344.9</v>
      </c>
      <c r="N33" s="3184">
        <f t="shared" si="0"/>
        <v>44211</v>
      </c>
      <c r="O33" s="3184">
        <v>30</v>
      </c>
      <c r="P33" s="3184" t="s">
        <v>3084</v>
      </c>
    </row>
    <row r="34" spans="1:16" hidden="1">
      <c r="A34" s="3184" t="s">
        <v>3185</v>
      </c>
      <c r="B34" s="3184" t="s">
        <v>1943</v>
      </c>
      <c r="C34" s="3184" t="s">
        <v>3073</v>
      </c>
      <c r="D34" s="3184" t="s">
        <v>3074</v>
      </c>
      <c r="E34" s="3184">
        <v>89469.3</v>
      </c>
      <c r="F34" s="3184">
        <v>208373</v>
      </c>
      <c r="G34" s="3184">
        <v>2.33</v>
      </c>
      <c r="H34" s="3184" t="s">
        <v>3145</v>
      </c>
      <c r="I34" s="3184" t="s">
        <v>3186</v>
      </c>
      <c r="J34" s="3184" t="s">
        <v>3171</v>
      </c>
      <c r="K34" s="3184">
        <v>395000</v>
      </c>
      <c r="L34" s="3184">
        <v>513500</v>
      </c>
      <c r="M34" s="3184">
        <v>24643.31</v>
      </c>
      <c r="N34" s="3184">
        <f t="shared" si="0"/>
        <v>57394</v>
      </c>
      <c r="O34" s="3184">
        <v>30</v>
      </c>
      <c r="P34" s="3184" t="s">
        <v>3084</v>
      </c>
    </row>
    <row r="35" spans="1:16" hidden="1">
      <c r="A35" s="3184" t="s">
        <v>3187</v>
      </c>
      <c r="B35" s="3184" t="s">
        <v>1943</v>
      </c>
      <c r="C35" s="3184" t="s">
        <v>3073</v>
      </c>
      <c r="D35" s="3184" t="s">
        <v>3074</v>
      </c>
      <c r="E35" s="3184">
        <v>47777.46</v>
      </c>
      <c r="F35" s="3184">
        <v>93534</v>
      </c>
      <c r="G35" s="3184">
        <v>1.96</v>
      </c>
      <c r="H35" s="3184" t="s">
        <v>3145</v>
      </c>
      <c r="I35" s="3184" t="s">
        <v>3188</v>
      </c>
      <c r="J35" s="3184" t="s">
        <v>3189</v>
      </c>
      <c r="K35" s="3184">
        <v>175000</v>
      </c>
      <c r="L35" s="3184">
        <v>210000</v>
      </c>
      <c r="M35" s="3184">
        <v>22451.72</v>
      </c>
      <c r="N35" s="3184">
        <f t="shared" si="0"/>
        <v>43954</v>
      </c>
      <c r="O35" s="3184">
        <v>20</v>
      </c>
      <c r="P35" s="3184" t="s">
        <v>3084</v>
      </c>
    </row>
    <row r="36" spans="1:16" hidden="1">
      <c r="A36" s="3184" t="s">
        <v>3190</v>
      </c>
      <c r="B36" s="3184" t="s">
        <v>1943</v>
      </c>
      <c r="C36" s="3184" t="s">
        <v>3073</v>
      </c>
      <c r="D36" s="3184" t="s">
        <v>3074</v>
      </c>
      <c r="E36" s="3184">
        <v>118035</v>
      </c>
      <c r="F36" s="3184">
        <v>294605</v>
      </c>
      <c r="G36" s="3184">
        <v>2.5</v>
      </c>
      <c r="H36" s="3184" t="s">
        <v>3141</v>
      </c>
      <c r="I36" s="3184" t="s">
        <v>3191</v>
      </c>
      <c r="J36" s="3184" t="s">
        <v>3192</v>
      </c>
      <c r="K36" s="3184">
        <v>245000</v>
      </c>
      <c r="L36" s="3184">
        <v>404000</v>
      </c>
      <c r="M36" s="3184">
        <v>13713.28</v>
      </c>
      <c r="N36" s="3184">
        <f t="shared" si="0"/>
        <v>34227</v>
      </c>
      <c r="O36" s="3184">
        <v>64.900000000000006</v>
      </c>
      <c r="P36" s="3184" t="s">
        <v>3084</v>
      </c>
    </row>
    <row r="37" spans="1:16" hidden="1">
      <c r="A37" s="3184" t="s">
        <v>3193</v>
      </c>
      <c r="B37" s="3184" t="s">
        <v>1943</v>
      </c>
      <c r="C37" s="3184" t="s">
        <v>3073</v>
      </c>
      <c r="D37" s="3184" t="s">
        <v>3074</v>
      </c>
      <c r="E37" s="3184">
        <v>25209.56</v>
      </c>
      <c r="F37" s="3184">
        <v>59152</v>
      </c>
      <c r="G37" s="3184">
        <v>2.35</v>
      </c>
      <c r="H37" s="3184" t="s">
        <v>2812</v>
      </c>
      <c r="I37" s="3184" t="s">
        <v>3191</v>
      </c>
      <c r="J37" s="3184" t="s">
        <v>3194</v>
      </c>
      <c r="K37" s="3184">
        <v>180000</v>
      </c>
      <c r="L37" s="3184">
        <v>210000</v>
      </c>
      <c r="M37" s="3184">
        <v>35501.760000000002</v>
      </c>
      <c r="N37" s="3184">
        <f t="shared" si="0"/>
        <v>83302</v>
      </c>
      <c r="O37" s="3184">
        <v>16.670000000000002</v>
      </c>
      <c r="P37" s="3184" t="s">
        <v>3084</v>
      </c>
    </row>
    <row r="38" spans="1:16" hidden="1">
      <c r="A38" s="3184" t="s">
        <v>3195</v>
      </c>
      <c r="B38" s="3184" t="s">
        <v>1943</v>
      </c>
      <c r="C38" s="3184" t="s">
        <v>3073</v>
      </c>
      <c r="D38" s="3184" t="s">
        <v>3074</v>
      </c>
      <c r="E38" s="3184">
        <v>75359.789999999994</v>
      </c>
      <c r="F38" s="3184">
        <v>81716</v>
      </c>
      <c r="G38" s="3184">
        <v>1.08</v>
      </c>
      <c r="H38" s="3184" t="s">
        <v>3141</v>
      </c>
      <c r="I38" s="3184" t="s">
        <v>3196</v>
      </c>
      <c r="J38" s="3184" t="s">
        <v>3197</v>
      </c>
      <c r="K38" s="3184">
        <v>158000</v>
      </c>
      <c r="L38" s="3184">
        <v>236000</v>
      </c>
      <c r="M38" s="3184">
        <v>28880.5</v>
      </c>
      <c r="N38" s="3184">
        <f t="shared" si="0"/>
        <v>31316</v>
      </c>
      <c r="O38" s="3184">
        <v>49.37</v>
      </c>
      <c r="P38" s="3184" t="s">
        <v>3078</v>
      </c>
    </row>
    <row r="39" spans="1:16" hidden="1">
      <c r="A39" s="3184" t="s">
        <v>3198</v>
      </c>
      <c r="B39" s="3184" t="s">
        <v>1943</v>
      </c>
      <c r="C39" s="3184" t="s">
        <v>3088</v>
      </c>
      <c r="D39" s="3184" t="s">
        <v>3074</v>
      </c>
      <c r="E39" s="3184">
        <v>44984.95</v>
      </c>
      <c r="F39" s="3184">
        <v>62979</v>
      </c>
      <c r="G39" s="3184">
        <v>1.4</v>
      </c>
      <c r="H39" s="3184" t="s">
        <v>2812</v>
      </c>
      <c r="I39" s="3184" t="s">
        <v>3199</v>
      </c>
      <c r="J39" s="3184" t="s">
        <v>3200</v>
      </c>
      <c r="K39" s="3184">
        <v>123200</v>
      </c>
      <c r="L39" s="3184">
        <v>166000</v>
      </c>
      <c r="M39" s="3184">
        <v>26357.99</v>
      </c>
      <c r="N39" s="3184">
        <f t="shared" si="0"/>
        <v>36901</v>
      </c>
      <c r="O39" s="3184">
        <v>34.74</v>
      </c>
      <c r="P39" s="3184" t="s">
        <v>3111</v>
      </c>
    </row>
    <row r="40" spans="1:16" hidden="1">
      <c r="A40" s="3184" t="s">
        <v>3201</v>
      </c>
      <c r="B40" s="3184" t="s">
        <v>1943</v>
      </c>
      <c r="C40" s="3184" t="s">
        <v>3088</v>
      </c>
      <c r="D40" s="3184" t="s">
        <v>3074</v>
      </c>
      <c r="E40" s="3184">
        <v>29200</v>
      </c>
      <c r="F40" s="3184">
        <v>40880</v>
      </c>
      <c r="G40" s="3184">
        <v>1.4</v>
      </c>
      <c r="H40" s="3184" t="s">
        <v>2812</v>
      </c>
      <c r="I40" s="3184" t="s">
        <v>3199</v>
      </c>
      <c r="J40" s="3184" t="s">
        <v>3200</v>
      </c>
      <c r="K40" s="3184">
        <v>80000</v>
      </c>
      <c r="L40" s="3184">
        <v>106000</v>
      </c>
      <c r="M40" s="3184">
        <v>25929.54</v>
      </c>
      <c r="N40" s="3184">
        <f t="shared" si="0"/>
        <v>36301</v>
      </c>
      <c r="O40" s="3184">
        <v>32.5</v>
      </c>
      <c r="P40" s="3184" t="s">
        <v>3111</v>
      </c>
    </row>
    <row r="41" spans="1:16" hidden="1">
      <c r="A41" s="3184" t="s">
        <v>3202</v>
      </c>
      <c r="B41" s="3184" t="s">
        <v>1943</v>
      </c>
      <c r="C41" s="3184" t="s">
        <v>3088</v>
      </c>
      <c r="D41" s="3184" t="s">
        <v>3074</v>
      </c>
      <c r="E41" s="3184">
        <v>58888.11</v>
      </c>
      <c r="F41" s="3184">
        <v>64777</v>
      </c>
      <c r="G41" s="3184">
        <v>1.1000000000000001</v>
      </c>
      <c r="H41" s="3184" t="s">
        <v>3141</v>
      </c>
      <c r="I41" s="3184" t="s">
        <v>3203</v>
      </c>
      <c r="J41" s="3184" t="s">
        <v>3204</v>
      </c>
      <c r="K41" s="3184">
        <v>123500</v>
      </c>
      <c r="L41" s="3184">
        <v>185000</v>
      </c>
      <c r="M41" s="3184">
        <v>28559.52</v>
      </c>
      <c r="N41" s="3184">
        <f t="shared" si="0"/>
        <v>31416</v>
      </c>
      <c r="O41" s="3184">
        <v>49.8</v>
      </c>
      <c r="P41" s="3184" t="s">
        <v>3078</v>
      </c>
    </row>
    <row r="42" spans="1:16" hidden="1">
      <c r="A42" s="3184" t="s">
        <v>3205</v>
      </c>
      <c r="B42" s="3184" t="s">
        <v>1943</v>
      </c>
      <c r="C42" s="3184" t="s">
        <v>3088</v>
      </c>
      <c r="D42" s="3184" t="s">
        <v>3074</v>
      </c>
      <c r="E42" s="3184">
        <v>66293.31</v>
      </c>
      <c r="F42" s="3184">
        <v>72923</v>
      </c>
      <c r="G42" s="3184">
        <v>1.1000000000000001</v>
      </c>
      <c r="H42" s="3184" t="s">
        <v>2812</v>
      </c>
      <c r="I42" s="3184" t="s">
        <v>3206</v>
      </c>
      <c r="J42" s="3184" t="s">
        <v>3207</v>
      </c>
      <c r="K42" s="3184">
        <v>135280</v>
      </c>
      <c r="L42" s="3184">
        <v>147000</v>
      </c>
      <c r="M42" s="3184">
        <v>20158.25</v>
      </c>
      <c r="N42" s="3184">
        <f t="shared" si="0"/>
        <v>22174</v>
      </c>
      <c r="O42" s="3184">
        <v>8.66</v>
      </c>
      <c r="P42" s="3184" t="s">
        <v>3111</v>
      </c>
    </row>
    <row r="43" spans="1:16" hidden="1">
      <c r="A43" s="3184" t="s">
        <v>3208</v>
      </c>
      <c r="B43" s="3184" t="s">
        <v>1943</v>
      </c>
      <c r="C43" s="3184" t="s">
        <v>3073</v>
      </c>
      <c r="D43" s="3184" t="s">
        <v>3074</v>
      </c>
      <c r="E43" s="3184">
        <v>77702.3</v>
      </c>
      <c r="F43" s="3184">
        <v>189256</v>
      </c>
      <c r="G43" s="3184">
        <v>2.44</v>
      </c>
      <c r="H43" s="3184" t="s">
        <v>2812</v>
      </c>
      <c r="I43" s="3184" t="s">
        <v>3209</v>
      </c>
      <c r="J43" s="3184" t="s">
        <v>3210</v>
      </c>
      <c r="K43" s="3184">
        <v>237000</v>
      </c>
      <c r="L43" s="3184">
        <v>237000</v>
      </c>
      <c r="M43" s="3184">
        <v>12522.71</v>
      </c>
      <c r="N43" s="3184">
        <f t="shared" si="0"/>
        <v>30501</v>
      </c>
      <c r="O43" s="3184">
        <v>0</v>
      </c>
      <c r="P43" s="3184" t="s">
        <v>3084</v>
      </c>
    </row>
    <row r="44" spans="1:16" hidden="1">
      <c r="A44" s="3184" t="s">
        <v>3211</v>
      </c>
      <c r="B44" s="3184" t="s">
        <v>1943</v>
      </c>
      <c r="C44" s="3184" t="s">
        <v>3088</v>
      </c>
      <c r="D44" s="3184" t="s">
        <v>3161</v>
      </c>
      <c r="E44" s="3184">
        <v>34564</v>
      </c>
      <c r="F44" s="3184">
        <v>96779</v>
      </c>
      <c r="G44" s="3184">
        <v>2.8</v>
      </c>
      <c r="H44" s="3184" t="s">
        <v>2812</v>
      </c>
      <c r="I44" s="3184" t="s">
        <v>3212</v>
      </c>
      <c r="J44" s="3184" t="s">
        <v>3213</v>
      </c>
      <c r="K44" s="3184">
        <v>65150</v>
      </c>
      <c r="L44" s="3184">
        <v>72000</v>
      </c>
      <c r="M44" s="3184">
        <v>7439.63</v>
      </c>
      <c r="N44" s="3184">
        <f t="shared" si="0"/>
        <v>20831</v>
      </c>
      <c r="O44" s="3184">
        <v>10.51</v>
      </c>
      <c r="P44" s="3184" t="s">
        <v>3084</v>
      </c>
    </row>
    <row r="45" spans="1:16" hidden="1">
      <c r="A45" s="3184" t="s">
        <v>3214</v>
      </c>
      <c r="B45" s="3184" t="s">
        <v>1943</v>
      </c>
      <c r="C45" s="3184" t="s">
        <v>3073</v>
      </c>
      <c r="D45" s="3184" t="s">
        <v>3074</v>
      </c>
      <c r="E45" s="3184">
        <v>139168</v>
      </c>
      <c r="F45" s="3184">
        <v>283800</v>
      </c>
      <c r="G45" s="3184">
        <v>2.04</v>
      </c>
      <c r="H45" s="3184" t="s">
        <v>2812</v>
      </c>
      <c r="I45" s="3184" t="s">
        <v>3215</v>
      </c>
      <c r="J45" s="3184" t="s">
        <v>3216</v>
      </c>
      <c r="K45" s="3184">
        <v>306715</v>
      </c>
      <c r="L45" s="3184">
        <v>306715</v>
      </c>
      <c r="M45" s="3184">
        <v>10807.43</v>
      </c>
      <c r="N45" s="3184">
        <f t="shared" si="0"/>
        <v>22039</v>
      </c>
      <c r="O45" s="3184">
        <v>0</v>
      </c>
      <c r="P45" s="3184" t="s">
        <v>3084</v>
      </c>
    </row>
    <row r="46" spans="1:16" hidden="1">
      <c r="A46" s="3184" t="s">
        <v>3217</v>
      </c>
      <c r="B46" s="3184" t="s">
        <v>1943</v>
      </c>
      <c r="C46" s="3184" t="s">
        <v>3088</v>
      </c>
      <c r="D46" s="3184" t="s">
        <v>3161</v>
      </c>
      <c r="E46" s="3184">
        <v>77150</v>
      </c>
      <c r="F46" s="3184">
        <v>224968</v>
      </c>
      <c r="G46" s="3184">
        <v>2.92</v>
      </c>
      <c r="H46" s="3184" t="s">
        <v>2812</v>
      </c>
      <c r="I46" s="3184" t="s">
        <v>3218</v>
      </c>
      <c r="J46" s="3184" t="s">
        <v>3219</v>
      </c>
      <c r="K46" s="3184">
        <v>138000</v>
      </c>
      <c r="L46" s="3184">
        <v>148168</v>
      </c>
      <c r="M46" s="3184">
        <v>6586.18</v>
      </c>
      <c r="N46" s="3184">
        <f t="shared" si="0"/>
        <v>19205</v>
      </c>
      <c r="O46" s="3184">
        <v>7.37</v>
      </c>
      <c r="P46" s="3184" t="s">
        <v>3084</v>
      </c>
    </row>
    <row r="47" spans="1:16" hidden="1">
      <c r="A47" s="3184" t="s">
        <v>3220</v>
      </c>
      <c r="B47" s="3184" t="s">
        <v>1943</v>
      </c>
      <c r="C47" s="3184" t="s">
        <v>3073</v>
      </c>
      <c r="D47" s="3184" t="s">
        <v>3074</v>
      </c>
      <c r="E47" s="3184">
        <v>95017.99</v>
      </c>
      <c r="F47" s="3184">
        <v>280789.90000000002</v>
      </c>
      <c r="G47" s="3184" t="s">
        <v>2812</v>
      </c>
      <c r="H47" s="3184" t="s">
        <v>2812</v>
      </c>
      <c r="I47" s="3184" t="s">
        <v>3221</v>
      </c>
      <c r="J47" s="3184" t="s">
        <v>3222</v>
      </c>
      <c r="K47" s="3184">
        <v>253000</v>
      </c>
      <c r="L47" s="3184">
        <v>504000</v>
      </c>
      <c r="M47" s="3184">
        <v>17949.36</v>
      </c>
      <c r="N47" s="3184">
        <f t="shared" si="0"/>
        <v>53043</v>
      </c>
      <c r="O47" s="3184">
        <v>99.21</v>
      </c>
      <c r="P47" s="3184" t="s">
        <v>3084</v>
      </c>
    </row>
    <row r="48" spans="1:16" hidden="1">
      <c r="A48" s="3184" t="s">
        <v>3223</v>
      </c>
      <c r="B48" s="3184" t="s">
        <v>1943</v>
      </c>
      <c r="C48" s="3184" t="s">
        <v>3073</v>
      </c>
      <c r="D48" s="3184" t="s">
        <v>3074</v>
      </c>
      <c r="E48" s="3184">
        <v>83506.69</v>
      </c>
      <c r="F48" s="3184">
        <v>169537.2</v>
      </c>
      <c r="G48" s="3184" t="s">
        <v>2812</v>
      </c>
      <c r="H48" s="3184" t="s">
        <v>2812</v>
      </c>
      <c r="I48" s="3184" t="s">
        <v>3224</v>
      </c>
      <c r="J48" s="3184" t="s">
        <v>3225</v>
      </c>
      <c r="K48" s="3184">
        <v>150000</v>
      </c>
      <c r="L48" s="3184">
        <v>408000</v>
      </c>
      <c r="M48" s="3184">
        <v>24065.5</v>
      </c>
      <c r="N48" s="3184">
        <f t="shared" si="0"/>
        <v>48858</v>
      </c>
      <c r="O48" s="3184">
        <v>172</v>
      </c>
      <c r="P48" s="3184" t="s">
        <v>3084</v>
      </c>
    </row>
    <row r="49" spans="1:16" hidden="1">
      <c r="A49" s="3184" t="s">
        <v>3226</v>
      </c>
      <c r="B49" s="3184" t="s">
        <v>1943</v>
      </c>
      <c r="C49" s="3184" t="s">
        <v>3073</v>
      </c>
      <c r="D49" s="3184" t="s">
        <v>3161</v>
      </c>
      <c r="E49" s="3184">
        <v>131896.70000000001</v>
      </c>
      <c r="F49" s="3184">
        <v>462928.5</v>
      </c>
      <c r="G49" s="3184" t="s">
        <v>2812</v>
      </c>
      <c r="H49" s="3184" t="s">
        <v>2812</v>
      </c>
      <c r="I49" s="3184" t="s">
        <v>3227</v>
      </c>
      <c r="J49" s="3184" t="s">
        <v>3228</v>
      </c>
      <c r="K49" s="3184">
        <v>170000</v>
      </c>
      <c r="L49" s="3184">
        <v>454000</v>
      </c>
      <c r="M49" s="3184">
        <v>9807.1200000000008</v>
      </c>
      <c r="N49" s="3184">
        <f t="shared" si="0"/>
        <v>34421</v>
      </c>
      <c r="O49" s="3184">
        <v>167.06</v>
      </c>
      <c r="P49" s="3184" t="s">
        <v>3084</v>
      </c>
    </row>
    <row r="50" spans="1:16" hidden="1">
      <c r="A50" s="3184" t="s">
        <v>3229</v>
      </c>
      <c r="B50" s="3184" t="s">
        <v>1943</v>
      </c>
      <c r="C50" s="3184" t="s">
        <v>3073</v>
      </c>
      <c r="D50" s="3184" t="s">
        <v>3074</v>
      </c>
      <c r="E50" s="3184">
        <v>13821.44</v>
      </c>
      <c r="F50" s="3184">
        <v>41464.31</v>
      </c>
      <c r="G50" s="3184" t="s">
        <v>2812</v>
      </c>
      <c r="H50" s="3184" t="s">
        <v>2812</v>
      </c>
      <c r="I50" s="3184" t="s">
        <v>3230</v>
      </c>
      <c r="J50" s="3184" t="s">
        <v>3231</v>
      </c>
      <c r="K50" s="3184">
        <v>16696</v>
      </c>
      <c r="L50" s="3184">
        <v>71000</v>
      </c>
      <c r="M50" s="3184">
        <v>17123.150000000001</v>
      </c>
      <c r="N50" s="3184">
        <f t="shared" si="0"/>
        <v>51369</v>
      </c>
      <c r="O50" s="3184">
        <v>325.25</v>
      </c>
      <c r="P50" s="3184" t="s">
        <v>3084</v>
      </c>
    </row>
    <row r="51" spans="1:16" hidden="1">
      <c r="A51" s="3184" t="s">
        <v>3232</v>
      </c>
      <c r="B51" s="3184" t="s">
        <v>1943</v>
      </c>
      <c r="C51" s="3184" t="s">
        <v>3073</v>
      </c>
      <c r="D51" s="3184" t="s">
        <v>3074</v>
      </c>
      <c r="E51" s="3184">
        <v>46188.11</v>
      </c>
      <c r="F51" s="3184">
        <v>129326.7</v>
      </c>
      <c r="G51" s="3184" t="s">
        <v>2812</v>
      </c>
      <c r="H51" s="3184" t="s">
        <v>2812</v>
      </c>
      <c r="I51" s="3184" t="s">
        <v>3233</v>
      </c>
      <c r="J51" s="3184" t="s">
        <v>3234</v>
      </c>
      <c r="K51" s="3184">
        <v>73509</v>
      </c>
      <c r="L51" s="3184">
        <v>304000</v>
      </c>
      <c r="M51" s="3184">
        <v>23506.36</v>
      </c>
      <c r="N51" s="3184">
        <f t="shared" si="0"/>
        <v>65818</v>
      </c>
      <c r="O51" s="3184">
        <v>313.55</v>
      </c>
      <c r="P51" s="3184" t="s">
        <v>3084</v>
      </c>
    </row>
    <row r="52" spans="1:16" hidden="1">
      <c r="A52" s="3184" t="s">
        <v>3049</v>
      </c>
      <c r="B52" s="3184" t="s">
        <v>3050</v>
      </c>
      <c r="C52" s="3184" t="s">
        <v>3051</v>
      </c>
      <c r="D52" s="3184" t="s">
        <v>3052</v>
      </c>
      <c r="E52" s="3184" t="s">
        <v>3053</v>
      </c>
      <c r="F52" s="3184" t="s">
        <v>3054</v>
      </c>
      <c r="G52" s="3184" t="s">
        <v>2028</v>
      </c>
      <c r="H52" s="3184" t="s">
        <v>3055</v>
      </c>
      <c r="I52" s="3184" t="s">
        <v>3056</v>
      </c>
      <c r="J52" s="3184" t="s">
        <v>3057</v>
      </c>
      <c r="K52" s="3184" t="s">
        <v>3058</v>
      </c>
      <c r="L52" s="3184" t="s">
        <v>3059</v>
      </c>
      <c r="M52" s="3184" t="s">
        <v>3060</v>
      </c>
      <c r="N52" s="3184" t="e">
        <f t="shared" si="0"/>
        <v>#VALUE!</v>
      </c>
      <c r="O52" s="3184" t="s">
        <v>3062</v>
      </c>
      <c r="P52" s="3184" t="s">
        <v>3063</v>
      </c>
    </row>
    <row r="53" spans="1:16" hidden="1">
      <c r="A53" s="3184" t="s">
        <v>3235</v>
      </c>
      <c r="B53" s="3184" t="s">
        <v>1943</v>
      </c>
      <c r="C53" s="3184" t="s">
        <v>3073</v>
      </c>
      <c r="D53" s="3184" t="s">
        <v>3074</v>
      </c>
      <c r="E53" s="3184">
        <v>121729.8</v>
      </c>
      <c r="F53" s="3184">
        <v>327948</v>
      </c>
      <c r="G53" s="3184">
        <v>2.69</v>
      </c>
      <c r="H53" s="3184" t="s">
        <v>2812</v>
      </c>
      <c r="I53" s="3184" t="s">
        <v>3236</v>
      </c>
      <c r="J53" s="3184" t="s">
        <v>3237</v>
      </c>
      <c r="K53" s="3184">
        <v>609400</v>
      </c>
      <c r="L53" s="3184">
        <v>690000</v>
      </c>
      <c r="M53" s="3184">
        <v>21039.91</v>
      </c>
      <c r="N53" s="3184">
        <f t="shared" si="0"/>
        <v>56683</v>
      </c>
      <c r="O53" s="3184">
        <v>13.23</v>
      </c>
      <c r="P53" s="3184" t="s">
        <v>3078</v>
      </c>
    </row>
    <row r="54" spans="1:16" hidden="1">
      <c r="A54" s="3184" t="s">
        <v>3238</v>
      </c>
      <c r="B54" s="3184" t="s">
        <v>1943</v>
      </c>
      <c r="C54" s="3184" t="s">
        <v>3073</v>
      </c>
      <c r="D54" s="3184" t="s">
        <v>3074</v>
      </c>
      <c r="E54" s="3184">
        <v>97107.81</v>
      </c>
      <c r="F54" s="3184">
        <v>194226</v>
      </c>
      <c r="G54" s="3184">
        <v>2</v>
      </c>
      <c r="H54" s="3184" t="s">
        <v>2812</v>
      </c>
      <c r="I54" s="3184" t="s">
        <v>3239</v>
      </c>
      <c r="J54" s="3184" t="s">
        <v>3240</v>
      </c>
      <c r="K54" s="3184">
        <v>406000</v>
      </c>
      <c r="L54" s="3184">
        <v>410000</v>
      </c>
      <c r="M54" s="3184">
        <v>21109.43</v>
      </c>
      <c r="N54" s="3184">
        <f t="shared" si="0"/>
        <v>42221</v>
      </c>
      <c r="O54" s="3184">
        <v>0.99</v>
      </c>
      <c r="P54" s="3184" t="s">
        <v>3078</v>
      </c>
    </row>
    <row r="55" spans="1:16" hidden="1">
      <c r="A55" s="3184" t="s">
        <v>3241</v>
      </c>
      <c r="B55" s="3184" t="s">
        <v>1943</v>
      </c>
      <c r="C55" s="3184" t="s">
        <v>3073</v>
      </c>
      <c r="D55" s="3184" t="s">
        <v>3074</v>
      </c>
      <c r="E55" s="3184">
        <v>46848.3</v>
      </c>
      <c r="F55" s="3184">
        <v>137272</v>
      </c>
      <c r="G55" s="3184">
        <v>2.93</v>
      </c>
      <c r="H55" s="3184" t="s">
        <v>2812</v>
      </c>
      <c r="I55" s="3184" t="s">
        <v>3242</v>
      </c>
      <c r="J55" s="3184" t="s">
        <v>3243</v>
      </c>
      <c r="K55" s="3184">
        <v>265700</v>
      </c>
      <c r="L55" s="3184">
        <v>265700</v>
      </c>
      <c r="M55" s="3184">
        <v>19355.72</v>
      </c>
      <c r="N55" s="3184">
        <f t="shared" si="0"/>
        <v>56715</v>
      </c>
      <c r="O55" s="3184">
        <v>0</v>
      </c>
      <c r="P55" s="3184" t="s">
        <v>3078</v>
      </c>
    </row>
    <row r="56" spans="1:16" hidden="1">
      <c r="A56" s="3184" t="s">
        <v>3244</v>
      </c>
      <c r="B56" s="3184" t="s">
        <v>1943</v>
      </c>
      <c r="C56" s="3184" t="s">
        <v>3073</v>
      </c>
      <c r="D56" s="3184" t="s">
        <v>3074</v>
      </c>
      <c r="E56" s="3184">
        <v>175114.7</v>
      </c>
      <c r="F56" s="3184">
        <v>299579</v>
      </c>
      <c r="G56" s="3184">
        <v>1.7</v>
      </c>
      <c r="H56" s="3184" t="s">
        <v>2812</v>
      </c>
      <c r="I56" s="3184" t="s">
        <v>3118</v>
      </c>
      <c r="J56" s="3184" t="s">
        <v>3110</v>
      </c>
      <c r="K56" s="3184">
        <v>453000</v>
      </c>
      <c r="L56" s="3184">
        <v>545000</v>
      </c>
      <c r="M56" s="3184">
        <v>18192.2</v>
      </c>
      <c r="N56" s="3184">
        <f t="shared" si="0"/>
        <v>31122</v>
      </c>
      <c r="O56" s="3184">
        <v>20.309999999999999</v>
      </c>
      <c r="P56" s="3184" t="s">
        <v>3078</v>
      </c>
    </row>
    <row r="57" spans="1:16" hidden="1">
      <c r="A57" s="3184" t="s">
        <v>3245</v>
      </c>
      <c r="B57" s="3184" t="s">
        <v>1943</v>
      </c>
      <c r="C57" s="3184" t="s">
        <v>3073</v>
      </c>
      <c r="D57" s="3184" t="s">
        <v>3074</v>
      </c>
      <c r="E57" s="3184">
        <v>122262</v>
      </c>
      <c r="F57" s="3184">
        <v>285496</v>
      </c>
      <c r="G57" s="3184">
        <v>2.335</v>
      </c>
      <c r="H57" s="3184" t="s">
        <v>2812</v>
      </c>
      <c r="I57" s="3184" t="s">
        <v>3246</v>
      </c>
      <c r="J57" s="3184" t="s">
        <v>3247</v>
      </c>
      <c r="K57" s="3184">
        <v>328500</v>
      </c>
      <c r="L57" s="3184">
        <v>328500</v>
      </c>
      <c r="M57" s="3184">
        <v>11506.29</v>
      </c>
      <c r="N57" s="3184">
        <f t="shared" si="0"/>
        <v>26869</v>
      </c>
      <c r="O57" s="3184">
        <v>0</v>
      </c>
      <c r="P57" s="3184" t="s">
        <v>3111</v>
      </c>
    </row>
    <row r="58" spans="1:16" hidden="1">
      <c r="A58" s="3184" t="s">
        <v>3248</v>
      </c>
      <c r="B58" s="3184" t="s">
        <v>1943</v>
      </c>
      <c r="C58" s="3184" t="s">
        <v>3073</v>
      </c>
      <c r="D58" s="3184" t="s">
        <v>3074</v>
      </c>
      <c r="E58" s="3184">
        <v>71022.78</v>
      </c>
      <c r="F58" s="3184">
        <v>170414</v>
      </c>
      <c r="G58" s="3184">
        <v>2.4</v>
      </c>
      <c r="H58" s="3184" t="s">
        <v>2812</v>
      </c>
      <c r="I58" s="3184" t="s">
        <v>3249</v>
      </c>
      <c r="J58" s="3184" t="s">
        <v>3250</v>
      </c>
      <c r="K58" s="3184">
        <v>450000</v>
      </c>
      <c r="L58" s="3184">
        <v>648000</v>
      </c>
      <c r="M58" s="3184">
        <v>38025.040000000001</v>
      </c>
      <c r="N58" s="3184">
        <f t="shared" si="0"/>
        <v>91238</v>
      </c>
      <c r="O58" s="3184">
        <v>44</v>
      </c>
      <c r="P58" s="3184" t="s">
        <v>3251</v>
      </c>
    </row>
    <row r="59" spans="1:16" hidden="1">
      <c r="A59" s="3184" t="s">
        <v>3252</v>
      </c>
      <c r="B59" s="3184" t="s">
        <v>1943</v>
      </c>
      <c r="C59" s="3184" t="s">
        <v>3088</v>
      </c>
      <c r="D59" s="3184" t="s">
        <v>3074</v>
      </c>
      <c r="E59" s="3184">
        <v>66465.42</v>
      </c>
      <c r="F59" s="3184">
        <v>99698</v>
      </c>
      <c r="G59" s="3184">
        <v>1.5</v>
      </c>
      <c r="H59" s="3184" t="s">
        <v>2812</v>
      </c>
      <c r="I59" s="3184" t="s">
        <v>3253</v>
      </c>
      <c r="J59" s="3184" t="s">
        <v>3247</v>
      </c>
      <c r="K59" s="3184">
        <v>185000</v>
      </c>
      <c r="L59" s="3184">
        <v>190000</v>
      </c>
      <c r="M59" s="3184">
        <v>19057.54</v>
      </c>
      <c r="N59" s="3184">
        <f t="shared" si="0"/>
        <v>28586</v>
      </c>
      <c r="O59" s="3184">
        <v>2.7</v>
      </c>
      <c r="P59" s="3184" t="s">
        <v>3111</v>
      </c>
    </row>
    <row r="60" spans="1:16" hidden="1">
      <c r="A60" s="3184" t="s">
        <v>3254</v>
      </c>
      <c r="B60" s="3184" t="s">
        <v>1943</v>
      </c>
      <c r="C60" s="3184" t="s">
        <v>3088</v>
      </c>
      <c r="D60" s="3184" t="s">
        <v>3074</v>
      </c>
      <c r="E60" s="3184">
        <v>30890.99</v>
      </c>
      <c r="F60" s="3184">
        <v>67960</v>
      </c>
      <c r="G60" s="3184">
        <v>2.2000000000000002</v>
      </c>
      <c r="H60" s="3184" t="s">
        <v>2812</v>
      </c>
      <c r="I60" s="3184" t="s">
        <v>3255</v>
      </c>
      <c r="J60" s="3184" t="s">
        <v>3256</v>
      </c>
      <c r="K60" s="3184">
        <v>160000</v>
      </c>
      <c r="L60" s="3184">
        <v>238000</v>
      </c>
      <c r="M60" s="3184">
        <v>35020.589999999997</v>
      </c>
      <c r="N60" s="3184">
        <f t="shared" si="0"/>
        <v>77045</v>
      </c>
      <c r="O60" s="3184">
        <v>48.75</v>
      </c>
      <c r="P60" s="3184" t="s">
        <v>3111</v>
      </c>
    </row>
    <row r="61" spans="1:16" hidden="1">
      <c r="A61" s="3184" t="s">
        <v>3257</v>
      </c>
      <c r="B61" s="3184" t="s">
        <v>1943</v>
      </c>
      <c r="C61" s="3184" t="s">
        <v>3073</v>
      </c>
      <c r="D61" s="3184" t="s">
        <v>3074</v>
      </c>
      <c r="E61" s="3184">
        <v>101259.5</v>
      </c>
      <c r="F61" s="3184">
        <v>202324</v>
      </c>
      <c r="G61" s="3184">
        <v>2</v>
      </c>
      <c r="H61" s="3184" t="s">
        <v>2812</v>
      </c>
      <c r="I61" s="3184" t="s">
        <v>3258</v>
      </c>
      <c r="J61" s="3184" t="s">
        <v>3259</v>
      </c>
      <c r="K61" s="3184">
        <v>370000</v>
      </c>
      <c r="L61" s="3184">
        <v>395000</v>
      </c>
      <c r="M61" s="3184">
        <v>19523.13</v>
      </c>
      <c r="N61" s="3184">
        <f t="shared" si="0"/>
        <v>39009</v>
      </c>
      <c r="O61" s="3184">
        <v>6.76</v>
      </c>
      <c r="P61" s="3184" t="s">
        <v>3111</v>
      </c>
    </row>
    <row r="62" spans="1:16" hidden="1">
      <c r="A62" s="3184" t="s">
        <v>3260</v>
      </c>
      <c r="B62" s="3184" t="s">
        <v>1943</v>
      </c>
      <c r="C62" s="3184" t="s">
        <v>3088</v>
      </c>
      <c r="D62" s="3184" t="s">
        <v>3074</v>
      </c>
      <c r="E62" s="3184">
        <v>44353.34</v>
      </c>
      <c r="F62" s="3184">
        <v>97577</v>
      </c>
      <c r="G62" s="3184">
        <v>2.2000000000000002</v>
      </c>
      <c r="H62" s="3184" t="s">
        <v>2812</v>
      </c>
      <c r="I62" s="3184" t="s">
        <v>3261</v>
      </c>
      <c r="J62" s="3184" t="s">
        <v>3262</v>
      </c>
      <c r="K62" s="3184">
        <v>175000</v>
      </c>
      <c r="L62" s="3184">
        <v>222000</v>
      </c>
      <c r="M62" s="3184">
        <v>22751.25</v>
      </c>
      <c r="N62" s="3184">
        <f t="shared" si="0"/>
        <v>50053</v>
      </c>
      <c r="O62" s="3184">
        <v>26.86</v>
      </c>
      <c r="P62" s="3184" t="s">
        <v>3251</v>
      </c>
    </row>
    <row r="63" spans="1:16" hidden="1">
      <c r="A63" s="3184" t="s">
        <v>3263</v>
      </c>
      <c r="B63" s="3184" t="s">
        <v>1943</v>
      </c>
      <c r="C63" s="3184" t="s">
        <v>3073</v>
      </c>
      <c r="D63" s="3184" t="s">
        <v>3074</v>
      </c>
      <c r="E63" s="3184">
        <v>89347.09</v>
      </c>
      <c r="F63" s="3184">
        <v>178694</v>
      </c>
      <c r="G63" s="3184">
        <v>2</v>
      </c>
      <c r="H63" s="3184" t="s">
        <v>3141</v>
      </c>
      <c r="I63" s="3184" t="s">
        <v>3264</v>
      </c>
      <c r="J63" s="3184" t="s">
        <v>3265</v>
      </c>
      <c r="K63" s="3184">
        <v>213000</v>
      </c>
      <c r="L63" s="3184">
        <v>319500</v>
      </c>
      <c r="M63" s="3184">
        <v>17879.72</v>
      </c>
      <c r="N63" s="3184">
        <f t="shared" si="0"/>
        <v>35759</v>
      </c>
      <c r="O63" s="3184">
        <v>50</v>
      </c>
      <c r="P63" s="3184" t="s">
        <v>3111</v>
      </c>
    </row>
    <row r="64" spans="1:16" hidden="1">
      <c r="A64" s="3184" t="s">
        <v>3266</v>
      </c>
      <c r="B64" s="3184" t="s">
        <v>1943</v>
      </c>
      <c r="C64" s="3184" t="s">
        <v>3073</v>
      </c>
      <c r="D64" s="3184" t="s">
        <v>3074</v>
      </c>
      <c r="E64" s="3184">
        <v>83732.679999999993</v>
      </c>
      <c r="F64" s="3184">
        <v>167465</v>
      </c>
      <c r="G64" s="3184">
        <v>2</v>
      </c>
      <c r="H64" s="3184" t="s">
        <v>2812</v>
      </c>
      <c r="I64" s="3184" t="s">
        <v>3264</v>
      </c>
      <c r="J64" s="3184" t="s">
        <v>3265</v>
      </c>
      <c r="K64" s="3184">
        <v>200000</v>
      </c>
      <c r="L64" s="3184">
        <v>300000</v>
      </c>
      <c r="M64" s="3184">
        <v>17914.18</v>
      </c>
      <c r="N64" s="3184">
        <f t="shared" si="0"/>
        <v>35828</v>
      </c>
      <c r="O64" s="3184">
        <v>50</v>
      </c>
      <c r="P64" s="3184" t="s">
        <v>3111</v>
      </c>
    </row>
    <row r="65" spans="1:16" hidden="1">
      <c r="A65" s="3184" t="s">
        <v>3267</v>
      </c>
      <c r="B65" s="3184" t="s">
        <v>1943</v>
      </c>
      <c r="C65" s="3184" t="s">
        <v>3073</v>
      </c>
      <c r="D65" s="3184" t="s">
        <v>3074</v>
      </c>
      <c r="E65" s="3184">
        <v>52140.02</v>
      </c>
      <c r="F65" s="3184">
        <v>83940</v>
      </c>
      <c r="G65" s="3184">
        <v>1.6</v>
      </c>
      <c r="H65" s="3184" t="s">
        <v>3145</v>
      </c>
      <c r="I65" s="3184" t="s">
        <v>3268</v>
      </c>
      <c r="J65" s="3184" t="s">
        <v>3269</v>
      </c>
      <c r="K65" s="3184">
        <v>50450</v>
      </c>
      <c r="L65" s="3184">
        <v>50450</v>
      </c>
      <c r="M65" s="3184">
        <v>6010.25</v>
      </c>
      <c r="N65" s="3184">
        <f t="shared" si="0"/>
        <v>9676</v>
      </c>
      <c r="O65" s="3184">
        <v>0</v>
      </c>
      <c r="P65" s="3184" t="s">
        <v>3251</v>
      </c>
    </row>
    <row r="66" spans="1:16" hidden="1">
      <c r="A66" s="3184" t="s">
        <v>3270</v>
      </c>
      <c r="B66" s="3184" t="s">
        <v>1943</v>
      </c>
      <c r="C66" s="3184" t="s">
        <v>3073</v>
      </c>
      <c r="D66" s="3184" t="s">
        <v>3074</v>
      </c>
      <c r="E66" s="3184">
        <v>42685.77</v>
      </c>
      <c r="F66" s="3184">
        <v>124350</v>
      </c>
      <c r="G66" s="3184">
        <v>2.91</v>
      </c>
      <c r="H66" s="3184" t="s">
        <v>3141</v>
      </c>
      <c r="I66" s="3184" t="s">
        <v>3271</v>
      </c>
      <c r="J66" s="3184" t="s">
        <v>3272</v>
      </c>
      <c r="K66" s="3184">
        <v>126100</v>
      </c>
      <c r="L66" s="3184">
        <v>172000</v>
      </c>
      <c r="M66" s="3184">
        <v>13831.93</v>
      </c>
      <c r="N66" s="3184">
        <f t="shared" si="0"/>
        <v>40294</v>
      </c>
      <c r="O66" s="3184">
        <v>36.4</v>
      </c>
      <c r="P66" s="3184" t="s">
        <v>3111</v>
      </c>
    </row>
    <row r="67" spans="1:16" hidden="1">
      <c r="A67" s="3184" t="s">
        <v>3273</v>
      </c>
      <c r="B67" s="3184" t="s">
        <v>1943</v>
      </c>
      <c r="C67" s="3184" t="s">
        <v>3073</v>
      </c>
      <c r="D67" s="3184" t="s">
        <v>3074</v>
      </c>
      <c r="E67" s="3184">
        <v>90996.11</v>
      </c>
      <c r="F67" s="3184">
        <v>343161</v>
      </c>
      <c r="G67" s="3184">
        <v>3.77</v>
      </c>
      <c r="H67" s="3184" t="s">
        <v>3141</v>
      </c>
      <c r="I67" s="3184" t="s">
        <v>3271</v>
      </c>
      <c r="J67" s="3184" t="s">
        <v>3272</v>
      </c>
      <c r="K67" s="3184">
        <v>330000</v>
      </c>
      <c r="L67" s="3184">
        <v>330000</v>
      </c>
      <c r="M67" s="3184">
        <v>9616.4699999999993</v>
      </c>
      <c r="N67" s="3184">
        <f t="shared" ref="N67:N130" si="1">ROUND(L67*10000/E67,0)</f>
        <v>36265</v>
      </c>
      <c r="O67" s="3184">
        <v>0</v>
      </c>
      <c r="P67" s="3184" t="s">
        <v>3111</v>
      </c>
    </row>
    <row r="68" spans="1:16" hidden="1">
      <c r="A68" s="3184" t="s">
        <v>3274</v>
      </c>
      <c r="B68" s="3184" t="s">
        <v>1943</v>
      </c>
      <c r="C68" s="3184" t="s">
        <v>3073</v>
      </c>
      <c r="D68" s="3184" t="s">
        <v>3074</v>
      </c>
      <c r="E68" s="3184">
        <v>73293.58</v>
      </c>
      <c r="F68" s="3184">
        <v>143980</v>
      </c>
      <c r="G68" s="3184">
        <v>1.96</v>
      </c>
      <c r="H68" s="3184" t="s">
        <v>3145</v>
      </c>
      <c r="I68" s="3184" t="s">
        <v>3275</v>
      </c>
      <c r="J68" s="3184" t="s">
        <v>3276</v>
      </c>
      <c r="K68" s="3184">
        <v>131500</v>
      </c>
      <c r="L68" s="3184">
        <v>197200</v>
      </c>
      <c r="M68" s="3184">
        <v>13696.35</v>
      </c>
      <c r="N68" s="3184">
        <f t="shared" si="1"/>
        <v>26905</v>
      </c>
      <c r="O68" s="3184">
        <v>49.96</v>
      </c>
      <c r="P68" s="3184" t="s">
        <v>3111</v>
      </c>
    </row>
    <row r="69" spans="1:16" hidden="1">
      <c r="A69" s="3184" t="s">
        <v>3277</v>
      </c>
      <c r="B69" s="3184" t="s">
        <v>1943</v>
      </c>
      <c r="C69" s="3184" t="s">
        <v>3073</v>
      </c>
      <c r="D69" s="3184" t="s">
        <v>3074</v>
      </c>
      <c r="E69" s="3184">
        <v>94198.62</v>
      </c>
      <c r="F69" s="3184">
        <v>187481</v>
      </c>
      <c r="G69" s="3184">
        <v>2</v>
      </c>
      <c r="H69" s="3184" t="s">
        <v>2812</v>
      </c>
      <c r="I69" s="3184" t="s">
        <v>3275</v>
      </c>
      <c r="J69" s="3184" t="s">
        <v>3276</v>
      </c>
      <c r="K69" s="3184">
        <v>168300</v>
      </c>
      <c r="L69" s="3184">
        <v>252400</v>
      </c>
      <c r="M69" s="3184">
        <v>13462.7</v>
      </c>
      <c r="N69" s="3184">
        <f t="shared" si="1"/>
        <v>26794</v>
      </c>
      <c r="O69" s="3184">
        <v>49.97</v>
      </c>
      <c r="P69" s="3184" t="s">
        <v>3111</v>
      </c>
    </row>
    <row r="70" spans="1:16" hidden="1">
      <c r="A70" s="3184" t="s">
        <v>3278</v>
      </c>
      <c r="B70" s="3184" t="s">
        <v>1943</v>
      </c>
      <c r="C70" s="3184" t="s">
        <v>3073</v>
      </c>
      <c r="D70" s="3184" t="s">
        <v>3074</v>
      </c>
      <c r="E70" s="3184">
        <v>48775.519999999997</v>
      </c>
      <c r="F70" s="3184">
        <v>121939</v>
      </c>
      <c r="G70" s="3184">
        <v>2.5</v>
      </c>
      <c r="H70" s="3184" t="s">
        <v>3141</v>
      </c>
      <c r="I70" s="3184" t="s">
        <v>3279</v>
      </c>
      <c r="J70" s="3184" t="s">
        <v>3280</v>
      </c>
      <c r="K70" s="3184">
        <v>95000</v>
      </c>
      <c r="L70" s="3184">
        <v>142500</v>
      </c>
      <c r="M70" s="3184">
        <v>11686.17</v>
      </c>
      <c r="N70" s="3184">
        <f t="shared" si="1"/>
        <v>29215</v>
      </c>
      <c r="O70" s="3184">
        <v>50</v>
      </c>
      <c r="P70" s="3184" t="s">
        <v>3111</v>
      </c>
    </row>
    <row r="71" spans="1:16" hidden="1">
      <c r="A71" s="3184" t="s">
        <v>3281</v>
      </c>
      <c r="B71" s="3184" t="s">
        <v>1943</v>
      </c>
      <c r="C71" s="3184" t="s">
        <v>3073</v>
      </c>
      <c r="D71" s="3184" t="s">
        <v>3074</v>
      </c>
      <c r="E71" s="3184">
        <v>83892.99</v>
      </c>
      <c r="F71" s="3184">
        <v>209732</v>
      </c>
      <c r="G71" s="3184">
        <v>2.5</v>
      </c>
      <c r="H71" s="3184" t="s">
        <v>3145</v>
      </c>
      <c r="I71" s="3184" t="s">
        <v>3279</v>
      </c>
      <c r="J71" s="3184" t="s">
        <v>3282</v>
      </c>
      <c r="K71" s="3184">
        <v>185000</v>
      </c>
      <c r="L71" s="3184">
        <v>277500</v>
      </c>
      <c r="M71" s="3184">
        <v>13231.17</v>
      </c>
      <c r="N71" s="3184">
        <f t="shared" si="1"/>
        <v>33078</v>
      </c>
      <c r="O71" s="3184">
        <v>50</v>
      </c>
      <c r="P71" s="3184" t="s">
        <v>3251</v>
      </c>
    </row>
    <row r="72" spans="1:16" hidden="1">
      <c r="A72" s="3184" t="s">
        <v>3283</v>
      </c>
      <c r="B72" s="3184" t="s">
        <v>1943</v>
      </c>
      <c r="C72" s="3184" t="s">
        <v>3073</v>
      </c>
      <c r="D72" s="3184" t="s">
        <v>3074</v>
      </c>
      <c r="E72" s="3184">
        <v>23730.99</v>
      </c>
      <c r="F72" s="3184">
        <v>82887</v>
      </c>
      <c r="G72" s="3184">
        <v>3.49</v>
      </c>
      <c r="H72" s="3184" t="s">
        <v>3141</v>
      </c>
      <c r="I72" s="3184" t="s">
        <v>3284</v>
      </c>
      <c r="J72" s="3184" t="s">
        <v>3285</v>
      </c>
      <c r="K72" s="3184">
        <v>92000</v>
      </c>
      <c r="L72" s="3184">
        <v>95000</v>
      </c>
      <c r="M72" s="3184">
        <v>11461.38</v>
      </c>
      <c r="N72" s="3184">
        <f t="shared" si="1"/>
        <v>40032</v>
      </c>
      <c r="O72" s="3184">
        <v>3.26</v>
      </c>
      <c r="P72" s="3184" t="s">
        <v>3111</v>
      </c>
    </row>
    <row r="73" spans="1:16" hidden="1">
      <c r="A73" s="3184" t="s">
        <v>3286</v>
      </c>
      <c r="B73" s="3184" t="s">
        <v>1943</v>
      </c>
      <c r="C73" s="3184" t="s">
        <v>3073</v>
      </c>
      <c r="D73" s="3184" t="s">
        <v>3074</v>
      </c>
      <c r="E73" s="3184">
        <v>27393.33</v>
      </c>
      <c r="F73" s="3184">
        <v>86217</v>
      </c>
      <c r="G73" s="3184">
        <v>3.15</v>
      </c>
      <c r="H73" s="3184" t="s">
        <v>3141</v>
      </c>
      <c r="I73" s="3184" t="s">
        <v>3284</v>
      </c>
      <c r="J73" s="3184" t="s">
        <v>3287</v>
      </c>
      <c r="K73" s="3184">
        <v>97600</v>
      </c>
      <c r="L73" s="3184">
        <v>136600</v>
      </c>
      <c r="M73" s="3184">
        <v>15843.73</v>
      </c>
      <c r="N73" s="3184">
        <f t="shared" si="1"/>
        <v>49866</v>
      </c>
      <c r="O73" s="3184">
        <v>39.96</v>
      </c>
      <c r="P73" s="3184" t="s">
        <v>3111</v>
      </c>
    </row>
    <row r="74" spans="1:16" hidden="1">
      <c r="A74" s="3184" t="s">
        <v>3288</v>
      </c>
      <c r="B74" s="3184" t="s">
        <v>1943</v>
      </c>
      <c r="C74" s="3184" t="s">
        <v>3073</v>
      </c>
      <c r="D74" s="3184" t="s">
        <v>3161</v>
      </c>
      <c r="E74" s="3184">
        <v>255074.7</v>
      </c>
      <c r="F74" s="3184">
        <v>430883</v>
      </c>
      <c r="G74" s="3184">
        <v>1.69</v>
      </c>
      <c r="H74" s="3184" t="s">
        <v>3145</v>
      </c>
      <c r="I74" s="3184" t="s">
        <v>3289</v>
      </c>
      <c r="J74" s="3184" t="s">
        <v>3290</v>
      </c>
      <c r="K74" s="3184" t="s">
        <v>2812</v>
      </c>
      <c r="L74" s="3184">
        <v>451600</v>
      </c>
      <c r="M74" s="3184">
        <v>10480.790000000001</v>
      </c>
      <c r="N74" s="3184">
        <f t="shared" si="1"/>
        <v>17705</v>
      </c>
      <c r="O74" s="3184" t="s">
        <v>2812</v>
      </c>
      <c r="P74" s="3184" t="s">
        <v>3251</v>
      </c>
    </row>
    <row r="75" spans="1:16" hidden="1">
      <c r="A75" s="3184" t="s">
        <v>3291</v>
      </c>
      <c r="B75" s="3184" t="s">
        <v>1943</v>
      </c>
      <c r="C75" s="3184" t="s">
        <v>3073</v>
      </c>
      <c r="D75" s="3184" t="s">
        <v>3074</v>
      </c>
      <c r="E75" s="3184">
        <v>42900</v>
      </c>
      <c r="F75" s="3184">
        <v>156420</v>
      </c>
      <c r="G75" s="3184">
        <v>3.65</v>
      </c>
      <c r="H75" s="3184" t="s">
        <v>3141</v>
      </c>
      <c r="I75" s="3184" t="s">
        <v>3162</v>
      </c>
      <c r="J75" s="3184" t="s">
        <v>3287</v>
      </c>
      <c r="K75" s="3184">
        <v>169400</v>
      </c>
      <c r="L75" s="3184">
        <v>169400</v>
      </c>
      <c r="M75" s="3184">
        <v>10829.81</v>
      </c>
      <c r="N75" s="3184">
        <f t="shared" si="1"/>
        <v>39487</v>
      </c>
      <c r="O75" s="3184">
        <v>0</v>
      </c>
      <c r="P75" s="3184" t="s">
        <v>3111</v>
      </c>
    </row>
    <row r="76" spans="1:16" hidden="1">
      <c r="A76" s="3184" t="s">
        <v>3292</v>
      </c>
      <c r="B76" s="3184" t="s">
        <v>1943</v>
      </c>
      <c r="C76" s="3184" t="s">
        <v>3088</v>
      </c>
      <c r="D76" s="3184" t="s">
        <v>3074</v>
      </c>
      <c r="E76" s="3184">
        <v>78813.75</v>
      </c>
      <c r="F76" s="3184">
        <v>82754</v>
      </c>
      <c r="G76" s="3184">
        <v>1.05</v>
      </c>
      <c r="H76" s="3184" t="s">
        <v>2812</v>
      </c>
      <c r="I76" s="3184" t="s">
        <v>3293</v>
      </c>
      <c r="J76" s="3184" t="s">
        <v>3294</v>
      </c>
      <c r="K76" s="3184">
        <v>220000</v>
      </c>
      <c r="L76" s="3184">
        <v>233000</v>
      </c>
      <c r="M76" s="3184">
        <v>28155.74</v>
      </c>
      <c r="N76" s="3184">
        <f t="shared" si="1"/>
        <v>29563</v>
      </c>
      <c r="O76" s="3184">
        <v>5.91</v>
      </c>
      <c r="P76" s="3184" t="s">
        <v>3078</v>
      </c>
    </row>
    <row r="77" spans="1:16" hidden="1">
      <c r="A77" s="3184" t="s">
        <v>3295</v>
      </c>
      <c r="B77" s="3184" t="s">
        <v>1943</v>
      </c>
      <c r="C77" s="3184" t="s">
        <v>3073</v>
      </c>
      <c r="D77" s="3184" t="s">
        <v>3161</v>
      </c>
      <c r="E77" s="3184">
        <v>216360.2</v>
      </c>
      <c r="F77" s="3184">
        <v>471796</v>
      </c>
      <c r="G77" s="3184">
        <v>2.1800000000000002</v>
      </c>
      <c r="H77" s="3184" t="s">
        <v>2812</v>
      </c>
      <c r="I77" s="3184" t="s">
        <v>3296</v>
      </c>
      <c r="J77" s="3184" t="s">
        <v>3297</v>
      </c>
      <c r="K77" s="3184" t="s">
        <v>2812</v>
      </c>
      <c r="L77" s="3184">
        <v>488180</v>
      </c>
      <c r="M77" s="3184">
        <v>10347.27</v>
      </c>
      <c r="N77" s="3184">
        <f t="shared" si="1"/>
        <v>22563</v>
      </c>
      <c r="O77" s="3184" t="s">
        <v>2812</v>
      </c>
      <c r="P77" s="3184" t="s">
        <v>3111</v>
      </c>
    </row>
    <row r="78" spans="1:16" hidden="1">
      <c r="A78" s="3184" t="s">
        <v>3298</v>
      </c>
      <c r="B78" s="3184" t="s">
        <v>1943</v>
      </c>
      <c r="C78" s="3184" t="s">
        <v>3073</v>
      </c>
      <c r="D78" s="3184" t="s">
        <v>3161</v>
      </c>
      <c r="E78" s="3184">
        <v>68943.539999999994</v>
      </c>
      <c r="F78" s="3184">
        <v>202777</v>
      </c>
      <c r="G78" s="3184">
        <v>2.94</v>
      </c>
      <c r="H78" s="3184" t="s">
        <v>2812</v>
      </c>
      <c r="I78" s="3184" t="s">
        <v>3299</v>
      </c>
      <c r="J78" s="3184" t="s">
        <v>3300</v>
      </c>
      <c r="K78" s="3184" t="s">
        <v>2812</v>
      </c>
      <c r="L78" s="3184">
        <v>360770</v>
      </c>
      <c r="M78" s="3184">
        <v>17791.47</v>
      </c>
      <c r="N78" s="3184">
        <f t="shared" si="1"/>
        <v>52328</v>
      </c>
      <c r="O78" s="3184" t="s">
        <v>2812</v>
      </c>
      <c r="P78" s="3184" t="s">
        <v>3078</v>
      </c>
    </row>
    <row r="79" spans="1:16" hidden="1">
      <c r="A79" s="3184" t="s">
        <v>3301</v>
      </c>
      <c r="B79" s="3184" t="s">
        <v>1943</v>
      </c>
      <c r="C79" s="3184" t="s">
        <v>3073</v>
      </c>
      <c r="D79" s="3184" t="s">
        <v>3161</v>
      </c>
      <c r="E79" s="3184">
        <v>47446.64</v>
      </c>
      <c r="F79" s="3184">
        <v>178966</v>
      </c>
      <c r="G79" s="3184">
        <v>3.77</v>
      </c>
      <c r="H79" s="3184" t="s">
        <v>3141</v>
      </c>
      <c r="I79" s="3184" t="s">
        <v>3299</v>
      </c>
      <c r="J79" s="3184" t="s">
        <v>3302</v>
      </c>
      <c r="K79" s="3184" t="s">
        <v>2812</v>
      </c>
      <c r="L79" s="3184">
        <v>235000</v>
      </c>
      <c r="M79" s="3184">
        <v>13130.98</v>
      </c>
      <c r="N79" s="3184">
        <f t="shared" si="1"/>
        <v>49529</v>
      </c>
      <c r="O79" s="3184" t="s">
        <v>2812</v>
      </c>
      <c r="P79" s="3184" t="s">
        <v>3111</v>
      </c>
    </row>
    <row r="80" spans="1:16" hidden="1">
      <c r="A80" s="3184" t="s">
        <v>3303</v>
      </c>
      <c r="B80" s="3184" t="s">
        <v>1943</v>
      </c>
      <c r="C80" s="3184" t="s">
        <v>3073</v>
      </c>
      <c r="D80" s="3184" t="s">
        <v>3074</v>
      </c>
      <c r="E80" s="3184">
        <v>136680.29999999999</v>
      </c>
      <c r="F80" s="3184">
        <v>276965</v>
      </c>
      <c r="G80" s="3184">
        <v>2.0299999999999998</v>
      </c>
      <c r="H80" s="3184" t="s">
        <v>3141</v>
      </c>
      <c r="I80" s="3184" t="s">
        <v>3183</v>
      </c>
      <c r="J80" s="3184" t="s">
        <v>3304</v>
      </c>
      <c r="K80" s="3184">
        <v>214000</v>
      </c>
      <c r="L80" s="3184">
        <v>216000</v>
      </c>
      <c r="M80" s="3184">
        <v>7798.81</v>
      </c>
      <c r="N80" s="3184">
        <f t="shared" si="1"/>
        <v>15803</v>
      </c>
      <c r="O80" s="3184">
        <v>0.93</v>
      </c>
      <c r="P80" s="3184" t="s">
        <v>3111</v>
      </c>
    </row>
    <row r="81" spans="1:16" hidden="1">
      <c r="A81" s="3184" t="s">
        <v>3305</v>
      </c>
      <c r="B81" s="3184" t="s">
        <v>1943</v>
      </c>
      <c r="C81" s="3184" t="s">
        <v>3073</v>
      </c>
      <c r="D81" s="3184" t="s">
        <v>3074</v>
      </c>
      <c r="E81" s="3184">
        <v>118111</v>
      </c>
      <c r="F81" s="3184">
        <v>288137</v>
      </c>
      <c r="G81" s="3184">
        <v>2.44</v>
      </c>
      <c r="H81" s="3184" t="s">
        <v>3145</v>
      </c>
      <c r="I81" s="3184" t="s">
        <v>3188</v>
      </c>
      <c r="J81" s="3184" t="s">
        <v>3136</v>
      </c>
      <c r="K81" s="3184">
        <v>129000</v>
      </c>
      <c r="L81" s="3184">
        <v>154800</v>
      </c>
      <c r="M81" s="3184">
        <v>5372.43</v>
      </c>
      <c r="N81" s="3184">
        <f t="shared" si="1"/>
        <v>13106</v>
      </c>
      <c r="O81" s="3184">
        <v>20</v>
      </c>
      <c r="P81" s="3184" t="s">
        <v>3078</v>
      </c>
    </row>
    <row r="82" spans="1:16" hidden="1">
      <c r="A82" s="3184" t="s">
        <v>3306</v>
      </c>
      <c r="B82" s="3184" t="s">
        <v>1943</v>
      </c>
      <c r="C82" s="3184" t="s">
        <v>3088</v>
      </c>
      <c r="D82" s="3184" t="s">
        <v>3074</v>
      </c>
      <c r="E82" s="3184">
        <v>182569</v>
      </c>
      <c r="F82" s="3184">
        <v>511193</v>
      </c>
      <c r="G82" s="3184">
        <v>2.8</v>
      </c>
      <c r="H82" s="3184" t="s">
        <v>3141</v>
      </c>
      <c r="I82" s="3184" t="s">
        <v>3307</v>
      </c>
      <c r="J82" s="3184" t="s">
        <v>3192</v>
      </c>
      <c r="K82" s="3184">
        <v>305125</v>
      </c>
      <c r="L82" s="3184">
        <v>356000</v>
      </c>
      <c r="M82" s="3184">
        <v>6964.1</v>
      </c>
      <c r="N82" s="3184">
        <f t="shared" si="1"/>
        <v>19499</v>
      </c>
      <c r="O82" s="3184">
        <v>16.670000000000002</v>
      </c>
      <c r="P82" s="3184" t="s">
        <v>3251</v>
      </c>
    </row>
    <row r="83" spans="1:16" hidden="1">
      <c r="A83" s="3184" t="s">
        <v>3308</v>
      </c>
      <c r="B83" s="3184" t="s">
        <v>1943</v>
      </c>
      <c r="C83" s="3184" t="s">
        <v>3073</v>
      </c>
      <c r="D83" s="3184" t="s">
        <v>3161</v>
      </c>
      <c r="E83" s="3184">
        <v>55300.86</v>
      </c>
      <c r="F83" s="3184">
        <v>177941</v>
      </c>
      <c r="G83" s="3184">
        <v>3.22</v>
      </c>
      <c r="H83" s="3184" t="s">
        <v>3309</v>
      </c>
      <c r="I83" s="3184" t="s">
        <v>3310</v>
      </c>
      <c r="J83" s="3184" t="s">
        <v>3290</v>
      </c>
      <c r="K83" s="3184" t="s">
        <v>2812</v>
      </c>
      <c r="L83" s="3184">
        <v>118800</v>
      </c>
      <c r="M83" s="3184">
        <v>6676.36</v>
      </c>
      <c r="N83" s="3184">
        <f t="shared" si="1"/>
        <v>21482</v>
      </c>
      <c r="O83" s="3184" t="s">
        <v>2812</v>
      </c>
      <c r="P83" s="3184" t="s">
        <v>3251</v>
      </c>
    </row>
    <row r="84" spans="1:16" hidden="1">
      <c r="A84" s="3184" t="s">
        <v>3311</v>
      </c>
      <c r="B84" s="3184" t="s">
        <v>1943</v>
      </c>
      <c r="C84" s="3184" t="s">
        <v>3073</v>
      </c>
      <c r="D84" s="3184" t="s">
        <v>3161</v>
      </c>
      <c r="E84" s="3184">
        <v>68833.649999999994</v>
      </c>
      <c r="F84" s="3184">
        <v>172084</v>
      </c>
      <c r="G84" s="3184">
        <v>2.5</v>
      </c>
      <c r="H84" s="3184" t="s">
        <v>3312</v>
      </c>
      <c r="I84" s="3184" t="s">
        <v>3310</v>
      </c>
      <c r="J84" s="3184" t="s">
        <v>3313</v>
      </c>
      <c r="K84" s="3184" t="s">
        <v>2812</v>
      </c>
      <c r="L84" s="3184">
        <v>105080</v>
      </c>
      <c r="M84" s="3184">
        <v>6106.31</v>
      </c>
      <c r="N84" s="3184">
        <f t="shared" si="1"/>
        <v>15266</v>
      </c>
      <c r="O84" s="3184" t="s">
        <v>2812</v>
      </c>
      <c r="P84" s="3184" t="s">
        <v>3111</v>
      </c>
    </row>
    <row r="85" spans="1:16" hidden="1">
      <c r="A85" s="3184" t="s">
        <v>3314</v>
      </c>
      <c r="B85" s="3184" t="s">
        <v>1943</v>
      </c>
      <c r="C85" s="3184" t="s">
        <v>3073</v>
      </c>
      <c r="D85" s="3184" t="s">
        <v>3161</v>
      </c>
      <c r="E85" s="3184">
        <v>259387.5</v>
      </c>
      <c r="F85" s="3184">
        <v>516351</v>
      </c>
      <c r="G85" s="3184">
        <v>2</v>
      </c>
      <c r="H85" s="3184" t="s">
        <v>2812</v>
      </c>
      <c r="I85" s="3184" t="s">
        <v>3315</v>
      </c>
      <c r="J85" s="3184" t="s">
        <v>3316</v>
      </c>
      <c r="K85" s="3184" t="s">
        <v>2812</v>
      </c>
      <c r="L85" s="3184">
        <v>470000</v>
      </c>
      <c r="M85" s="3184">
        <v>9102.34</v>
      </c>
      <c r="N85" s="3184">
        <f t="shared" si="1"/>
        <v>18120</v>
      </c>
      <c r="O85" s="3184" t="s">
        <v>2812</v>
      </c>
      <c r="P85" s="3184" t="s">
        <v>3078</v>
      </c>
    </row>
    <row r="86" spans="1:16" hidden="1">
      <c r="A86" s="3184" t="s">
        <v>3317</v>
      </c>
      <c r="B86" s="3184" t="s">
        <v>1943</v>
      </c>
      <c r="C86" s="3184" t="s">
        <v>3073</v>
      </c>
      <c r="D86" s="3184" t="s">
        <v>3074</v>
      </c>
      <c r="E86" s="3184">
        <v>76854</v>
      </c>
      <c r="F86" s="3184">
        <v>169079</v>
      </c>
      <c r="G86" s="3184">
        <v>2.2000000000000002</v>
      </c>
      <c r="H86" s="3184" t="s">
        <v>3141</v>
      </c>
      <c r="I86" s="3184" t="s">
        <v>3318</v>
      </c>
      <c r="J86" s="3184" t="s">
        <v>3319</v>
      </c>
      <c r="K86" s="3184">
        <v>55000</v>
      </c>
      <c r="L86" s="3184">
        <v>80000</v>
      </c>
      <c r="M86" s="3184">
        <v>4731.5200000000004</v>
      </c>
      <c r="N86" s="3184">
        <f t="shared" si="1"/>
        <v>10409</v>
      </c>
      <c r="O86" s="3184">
        <v>45.45</v>
      </c>
      <c r="P86" s="3184" t="s">
        <v>3111</v>
      </c>
    </row>
    <row r="87" spans="1:16" hidden="1">
      <c r="A87" s="3184" t="s">
        <v>3320</v>
      </c>
      <c r="B87" s="3184" t="s">
        <v>1943</v>
      </c>
      <c r="C87" s="3184" t="s">
        <v>3073</v>
      </c>
      <c r="D87" s="3184" t="s">
        <v>3074</v>
      </c>
      <c r="E87" s="3184">
        <v>76674</v>
      </c>
      <c r="F87" s="3184">
        <v>175155</v>
      </c>
      <c r="G87" s="3184">
        <v>2.2799999999999998</v>
      </c>
      <c r="H87" s="3184" t="s">
        <v>2812</v>
      </c>
      <c r="I87" s="3184" t="s">
        <v>3321</v>
      </c>
      <c r="J87" s="3184" t="s">
        <v>3322</v>
      </c>
      <c r="K87" s="3184">
        <v>90000</v>
      </c>
      <c r="L87" s="3184">
        <v>128000</v>
      </c>
      <c r="M87" s="3184">
        <v>7307.81</v>
      </c>
      <c r="N87" s="3184">
        <f t="shared" si="1"/>
        <v>16694</v>
      </c>
      <c r="O87" s="3184">
        <v>42.22</v>
      </c>
      <c r="P87" s="3184" t="s">
        <v>3251</v>
      </c>
    </row>
    <row r="88" spans="1:16" hidden="1">
      <c r="A88" s="3184" t="s">
        <v>3323</v>
      </c>
      <c r="B88" s="3184" t="s">
        <v>1943</v>
      </c>
      <c r="C88" s="3184" t="s">
        <v>3073</v>
      </c>
      <c r="D88" s="3184" t="s">
        <v>3074</v>
      </c>
      <c r="E88" s="3184">
        <v>143386</v>
      </c>
      <c r="F88" s="3184">
        <v>308589</v>
      </c>
      <c r="G88" s="3184">
        <v>2.15</v>
      </c>
      <c r="H88" s="3184" t="s">
        <v>2812</v>
      </c>
      <c r="I88" s="3184" t="s">
        <v>3215</v>
      </c>
      <c r="J88" s="3184" t="s">
        <v>3324</v>
      </c>
      <c r="K88" s="3184">
        <v>160000</v>
      </c>
      <c r="L88" s="3184">
        <v>160000</v>
      </c>
      <c r="M88" s="3184">
        <v>5184.8900000000003</v>
      </c>
      <c r="N88" s="3184">
        <f t="shared" si="1"/>
        <v>11159</v>
      </c>
      <c r="O88" s="3184">
        <v>0</v>
      </c>
      <c r="P88" s="3184" t="s">
        <v>3111</v>
      </c>
    </row>
    <row r="89" spans="1:16" hidden="1">
      <c r="A89" s="3184" t="s">
        <v>3325</v>
      </c>
      <c r="B89" s="3184" t="s">
        <v>1943</v>
      </c>
      <c r="C89" s="3184" t="s">
        <v>3088</v>
      </c>
      <c r="D89" s="3184" t="s">
        <v>3161</v>
      </c>
      <c r="E89" s="3184">
        <v>57753</v>
      </c>
      <c r="F89" s="3184">
        <v>115506</v>
      </c>
      <c r="G89" s="3184">
        <v>2</v>
      </c>
      <c r="H89" s="3184" t="s">
        <v>2812</v>
      </c>
      <c r="I89" s="3184" t="s">
        <v>3326</v>
      </c>
      <c r="J89" s="3184" t="s">
        <v>3327</v>
      </c>
      <c r="K89" s="3184" t="s">
        <v>2812</v>
      </c>
      <c r="L89" s="3184">
        <v>88020</v>
      </c>
      <c r="M89" s="3184">
        <v>7620.38</v>
      </c>
      <c r="N89" s="3184">
        <f t="shared" si="1"/>
        <v>15241</v>
      </c>
      <c r="O89" s="3184" t="s">
        <v>2812</v>
      </c>
      <c r="P89" s="3184" t="s">
        <v>3078</v>
      </c>
    </row>
    <row r="90" spans="1:16" hidden="1">
      <c r="A90" s="3184" t="s">
        <v>3328</v>
      </c>
      <c r="B90" s="3184" t="s">
        <v>1943</v>
      </c>
      <c r="C90" s="3184" t="s">
        <v>3088</v>
      </c>
      <c r="D90" s="3184" t="s">
        <v>3161</v>
      </c>
      <c r="E90" s="3184">
        <v>63940.42</v>
      </c>
      <c r="F90" s="3184">
        <v>95911</v>
      </c>
      <c r="G90" s="3184">
        <v>1.5</v>
      </c>
      <c r="H90" s="3184" t="s">
        <v>2812</v>
      </c>
      <c r="I90" s="3184" t="s">
        <v>3329</v>
      </c>
      <c r="J90" s="3184" t="s">
        <v>3330</v>
      </c>
      <c r="K90" s="3184">
        <v>59500</v>
      </c>
      <c r="L90" s="3184">
        <v>95910</v>
      </c>
      <c r="M90" s="3184">
        <v>9999.89</v>
      </c>
      <c r="N90" s="3184">
        <f t="shared" si="1"/>
        <v>15000</v>
      </c>
      <c r="O90" s="3184">
        <v>61.19</v>
      </c>
      <c r="P90" s="3184" t="s">
        <v>3251</v>
      </c>
    </row>
    <row r="91" spans="1:16" hidden="1">
      <c r="A91" s="3184" t="s">
        <v>3331</v>
      </c>
      <c r="B91" s="3184" t="s">
        <v>1943</v>
      </c>
      <c r="C91" s="3184" t="s">
        <v>3073</v>
      </c>
      <c r="D91" s="3184" t="s">
        <v>3161</v>
      </c>
      <c r="E91" s="3184">
        <v>107749</v>
      </c>
      <c r="F91" s="3184">
        <v>237048</v>
      </c>
      <c r="G91" s="3184">
        <v>2.2000000000000002</v>
      </c>
      <c r="H91" s="3184" t="s">
        <v>2812</v>
      </c>
      <c r="I91" s="3184" t="s">
        <v>3329</v>
      </c>
      <c r="J91" s="3184" t="s">
        <v>3332</v>
      </c>
      <c r="K91" s="3184">
        <v>116000</v>
      </c>
      <c r="L91" s="3184">
        <v>172570.89</v>
      </c>
      <c r="M91" s="3184">
        <v>7280</v>
      </c>
      <c r="N91" s="3184">
        <f t="shared" si="1"/>
        <v>16016</v>
      </c>
      <c r="O91" s="3184">
        <v>48.77</v>
      </c>
      <c r="P91" s="3184" t="s">
        <v>3111</v>
      </c>
    </row>
    <row r="92" spans="1:16" hidden="1">
      <c r="A92" s="3184" t="s">
        <v>3333</v>
      </c>
      <c r="B92" s="3184" t="s">
        <v>1943</v>
      </c>
      <c r="C92" s="3184" t="s">
        <v>3073</v>
      </c>
      <c r="D92" s="3184" t="s">
        <v>3161</v>
      </c>
      <c r="E92" s="3184">
        <v>113707.5</v>
      </c>
      <c r="F92" s="3184">
        <v>136449</v>
      </c>
      <c r="G92" s="3184">
        <v>1.2</v>
      </c>
      <c r="H92" s="3184" t="s">
        <v>2812</v>
      </c>
      <c r="I92" s="3184" t="s">
        <v>3329</v>
      </c>
      <c r="J92" s="3184" t="s">
        <v>3334</v>
      </c>
      <c r="K92" s="3184">
        <v>88700</v>
      </c>
      <c r="L92" s="3184">
        <v>123800</v>
      </c>
      <c r="M92" s="3184">
        <v>9072.98</v>
      </c>
      <c r="N92" s="3184">
        <f t="shared" si="1"/>
        <v>10888</v>
      </c>
      <c r="O92" s="3184">
        <v>39.57</v>
      </c>
      <c r="P92" s="3184" t="s">
        <v>3251</v>
      </c>
    </row>
    <row r="93" spans="1:16" hidden="1">
      <c r="A93" s="3184" t="s">
        <v>3335</v>
      </c>
      <c r="B93" s="3184" t="s">
        <v>1943</v>
      </c>
      <c r="C93" s="3184" t="s">
        <v>3073</v>
      </c>
      <c r="D93" s="3184" t="s">
        <v>3161</v>
      </c>
      <c r="E93" s="3184">
        <v>54942.31</v>
      </c>
      <c r="F93" s="3184">
        <v>104004.6</v>
      </c>
      <c r="G93" s="3184">
        <v>1.89</v>
      </c>
      <c r="H93" s="3184" t="s">
        <v>2812</v>
      </c>
      <c r="I93" s="3184" t="s">
        <v>3336</v>
      </c>
      <c r="J93" s="3184" t="s">
        <v>3337</v>
      </c>
      <c r="K93" s="3184" t="s">
        <v>2812</v>
      </c>
      <c r="L93" s="3184">
        <v>29026</v>
      </c>
      <c r="M93" s="3184">
        <v>2790.84</v>
      </c>
      <c r="N93" s="3184">
        <f t="shared" si="1"/>
        <v>5283</v>
      </c>
      <c r="O93" s="3184" t="s">
        <v>2812</v>
      </c>
      <c r="P93" s="3184" t="s">
        <v>3251</v>
      </c>
    </row>
    <row r="94" spans="1:16" hidden="1">
      <c r="A94" s="3184" t="s">
        <v>3338</v>
      </c>
      <c r="B94" s="3184" t="s">
        <v>1943</v>
      </c>
      <c r="C94" s="3184" t="s">
        <v>3088</v>
      </c>
      <c r="D94" s="3184" t="s">
        <v>3161</v>
      </c>
      <c r="E94" s="3184">
        <v>48560</v>
      </c>
      <c r="F94" s="3184">
        <v>106832</v>
      </c>
      <c r="G94" s="3184">
        <v>2.2000000000000002</v>
      </c>
      <c r="H94" s="3184" t="s">
        <v>2812</v>
      </c>
      <c r="I94" s="3184" t="s">
        <v>3336</v>
      </c>
      <c r="J94" s="3184" t="s">
        <v>3339</v>
      </c>
      <c r="K94" s="3184" t="s">
        <v>2812</v>
      </c>
      <c r="L94" s="3184">
        <v>32266</v>
      </c>
      <c r="M94" s="3184">
        <v>3020.26</v>
      </c>
      <c r="N94" s="3184">
        <f t="shared" si="1"/>
        <v>6645</v>
      </c>
      <c r="O94" s="3184" t="s">
        <v>2812</v>
      </c>
      <c r="P94" s="3184" t="s">
        <v>3111</v>
      </c>
    </row>
    <row r="95" spans="1:16" hidden="1">
      <c r="A95" s="3184" t="s">
        <v>3340</v>
      </c>
      <c r="B95" s="3184" t="s">
        <v>1943</v>
      </c>
      <c r="C95" s="3184" t="s">
        <v>3073</v>
      </c>
      <c r="D95" s="3184" t="s">
        <v>3074</v>
      </c>
      <c r="E95" s="3184">
        <v>137090</v>
      </c>
      <c r="F95" s="3184">
        <v>364613</v>
      </c>
      <c r="G95" s="3184">
        <v>2.66</v>
      </c>
      <c r="H95" s="3184" t="s">
        <v>2812</v>
      </c>
      <c r="I95" s="3184" t="s">
        <v>3341</v>
      </c>
      <c r="J95" s="3184" t="s">
        <v>3342</v>
      </c>
      <c r="K95" s="3184">
        <v>150000</v>
      </c>
      <c r="L95" s="3184">
        <v>211000</v>
      </c>
      <c r="M95" s="3184">
        <v>5786.96</v>
      </c>
      <c r="N95" s="3184">
        <f t="shared" si="1"/>
        <v>15391</v>
      </c>
      <c r="O95" s="3184">
        <v>40.67</v>
      </c>
      <c r="P95" s="3184" t="s">
        <v>3084</v>
      </c>
    </row>
    <row r="96" spans="1:16" hidden="1">
      <c r="A96" s="3184" t="s">
        <v>3343</v>
      </c>
      <c r="B96" s="3184" t="s">
        <v>1943</v>
      </c>
      <c r="C96" s="3184" t="s">
        <v>3088</v>
      </c>
      <c r="D96" s="3184" t="s">
        <v>3161</v>
      </c>
      <c r="E96" s="3184">
        <v>68917</v>
      </c>
      <c r="F96" s="3184">
        <v>192967</v>
      </c>
      <c r="G96" s="3184">
        <v>2.8</v>
      </c>
      <c r="H96" s="3184" t="s">
        <v>2812</v>
      </c>
      <c r="I96" s="3184" t="s">
        <v>3344</v>
      </c>
      <c r="J96" s="3184" t="s">
        <v>3345</v>
      </c>
      <c r="K96" s="3184">
        <v>103510</v>
      </c>
      <c r="L96" s="3184">
        <v>128000</v>
      </c>
      <c r="M96" s="3184">
        <v>6633.26</v>
      </c>
      <c r="N96" s="3184">
        <f t="shared" si="1"/>
        <v>18573</v>
      </c>
      <c r="O96" s="3184">
        <v>23.66</v>
      </c>
      <c r="P96" s="3184" t="s">
        <v>3084</v>
      </c>
    </row>
    <row r="97" spans="1:16" hidden="1">
      <c r="A97" s="3184" t="s">
        <v>3346</v>
      </c>
      <c r="B97" s="3184" t="s">
        <v>1943</v>
      </c>
      <c r="C97" s="3184" t="s">
        <v>3073</v>
      </c>
      <c r="D97" s="3184" t="s">
        <v>3161</v>
      </c>
      <c r="E97" s="3184">
        <v>28125</v>
      </c>
      <c r="F97" s="3184">
        <v>70313</v>
      </c>
      <c r="G97" s="3184" t="s">
        <v>2812</v>
      </c>
      <c r="H97" s="3184" t="s">
        <v>2812</v>
      </c>
      <c r="I97" s="3184" t="s">
        <v>3347</v>
      </c>
      <c r="J97" s="3184" t="s">
        <v>3348</v>
      </c>
      <c r="K97" s="3184">
        <v>25810</v>
      </c>
      <c r="L97" s="3184">
        <v>33750.230000000003</v>
      </c>
      <c r="M97" s="3184">
        <v>4800</v>
      </c>
      <c r="N97" s="3184">
        <f t="shared" si="1"/>
        <v>12000</v>
      </c>
      <c r="O97" s="3184">
        <v>30.76</v>
      </c>
      <c r="P97" s="3184" t="s">
        <v>3251</v>
      </c>
    </row>
    <row r="98" spans="1:16" hidden="1">
      <c r="A98" s="3184" t="s">
        <v>3349</v>
      </c>
      <c r="B98" s="3184" t="s">
        <v>1943</v>
      </c>
      <c r="C98" s="3184" t="s">
        <v>3073</v>
      </c>
      <c r="D98" s="3184" t="s">
        <v>3161</v>
      </c>
      <c r="E98" s="3184">
        <v>156479</v>
      </c>
      <c r="F98" s="3184">
        <v>234719</v>
      </c>
      <c r="G98" s="3184" t="s">
        <v>2812</v>
      </c>
      <c r="H98" s="3184" t="s">
        <v>2812</v>
      </c>
      <c r="I98" s="3184" t="s">
        <v>3350</v>
      </c>
      <c r="J98" s="3184" t="s">
        <v>3351</v>
      </c>
      <c r="K98" s="3184" t="s">
        <v>2812</v>
      </c>
      <c r="L98" s="3184">
        <v>180733</v>
      </c>
      <c r="M98" s="3184">
        <v>7699.97</v>
      </c>
      <c r="N98" s="3184">
        <f t="shared" si="1"/>
        <v>11550</v>
      </c>
      <c r="O98" s="3184" t="s">
        <v>2812</v>
      </c>
      <c r="P98" s="3184" t="s">
        <v>3251</v>
      </c>
    </row>
    <row r="99" spans="1:16" hidden="1">
      <c r="A99" s="3184" t="s">
        <v>3352</v>
      </c>
      <c r="B99" s="3184" t="s">
        <v>1943</v>
      </c>
      <c r="C99" s="3184" t="s">
        <v>3073</v>
      </c>
      <c r="D99" s="3184" t="s">
        <v>3074</v>
      </c>
      <c r="E99" s="3184">
        <v>152307</v>
      </c>
      <c r="F99" s="3184">
        <v>152307</v>
      </c>
      <c r="G99" s="3184" t="s">
        <v>2812</v>
      </c>
      <c r="H99" s="3184" t="s">
        <v>2812</v>
      </c>
      <c r="I99" s="3184" t="s">
        <v>3224</v>
      </c>
      <c r="J99" s="3184" t="s">
        <v>3353</v>
      </c>
      <c r="K99" s="3184">
        <v>100000</v>
      </c>
      <c r="L99" s="3184">
        <v>230000</v>
      </c>
      <c r="M99" s="3184">
        <v>15101.07</v>
      </c>
      <c r="N99" s="3184">
        <f t="shared" si="1"/>
        <v>15101</v>
      </c>
      <c r="O99" s="3184">
        <v>130</v>
      </c>
      <c r="P99" s="3184" t="s">
        <v>3251</v>
      </c>
    </row>
    <row r="100" spans="1:16" hidden="1">
      <c r="A100" s="3184" t="s">
        <v>3354</v>
      </c>
      <c r="B100" s="3184" t="s">
        <v>1943</v>
      </c>
      <c r="C100" s="3184" t="s">
        <v>3073</v>
      </c>
      <c r="D100" s="3184" t="s">
        <v>3074</v>
      </c>
      <c r="E100" s="3184">
        <v>34702.080000000002</v>
      </c>
      <c r="F100" s="3184">
        <v>69404.149999999994</v>
      </c>
      <c r="G100" s="3184" t="s">
        <v>2812</v>
      </c>
      <c r="H100" s="3184" t="s">
        <v>2812</v>
      </c>
      <c r="I100" s="3184" t="s">
        <v>3224</v>
      </c>
      <c r="J100" s="3184" t="s">
        <v>3355</v>
      </c>
      <c r="K100" s="3184">
        <v>17160</v>
      </c>
      <c r="L100" s="3184">
        <v>29000</v>
      </c>
      <c r="M100" s="3184">
        <v>4178.42</v>
      </c>
      <c r="N100" s="3184">
        <f t="shared" si="1"/>
        <v>8357</v>
      </c>
      <c r="O100" s="3184">
        <v>69</v>
      </c>
      <c r="P100" s="3184" t="s">
        <v>3078</v>
      </c>
    </row>
    <row r="101" spans="1:16" hidden="1">
      <c r="A101" s="3184" t="s">
        <v>3356</v>
      </c>
      <c r="B101" s="3184" t="s">
        <v>1943</v>
      </c>
      <c r="C101" s="3184" t="s">
        <v>3073</v>
      </c>
      <c r="D101" s="3184" t="s">
        <v>3074</v>
      </c>
      <c r="E101" s="3184">
        <v>36552</v>
      </c>
      <c r="F101" s="3184">
        <v>91379</v>
      </c>
      <c r="G101" s="3184" t="s">
        <v>2812</v>
      </c>
      <c r="H101" s="3184" t="s">
        <v>2812</v>
      </c>
      <c r="I101" s="3184" t="s">
        <v>3224</v>
      </c>
      <c r="J101" s="3184" t="s">
        <v>3177</v>
      </c>
      <c r="K101" s="3184">
        <v>36007</v>
      </c>
      <c r="L101" s="3184">
        <v>68000</v>
      </c>
      <c r="M101" s="3184">
        <v>7441.52</v>
      </c>
      <c r="N101" s="3184">
        <f t="shared" si="1"/>
        <v>18604</v>
      </c>
      <c r="O101" s="3184">
        <v>88.85</v>
      </c>
      <c r="P101" s="3184" t="s">
        <v>3078</v>
      </c>
    </row>
    <row r="102" spans="1:16" hidden="1">
      <c r="A102" s="3184" t="s">
        <v>3357</v>
      </c>
      <c r="B102" s="3184" t="s">
        <v>1943</v>
      </c>
      <c r="C102" s="3184" t="s">
        <v>3073</v>
      </c>
      <c r="D102" s="3184" t="s">
        <v>3074</v>
      </c>
      <c r="E102" s="3184">
        <v>84140.42</v>
      </c>
      <c r="F102" s="3184">
        <v>201721.1</v>
      </c>
      <c r="G102" s="3184">
        <v>2.4</v>
      </c>
      <c r="H102" s="3184" t="s">
        <v>2812</v>
      </c>
      <c r="I102" s="3184" t="s">
        <v>3358</v>
      </c>
      <c r="J102" s="3184" t="s">
        <v>3359</v>
      </c>
      <c r="K102" s="3184">
        <v>36847</v>
      </c>
      <c r="L102" s="3184">
        <v>71200</v>
      </c>
      <c r="M102" s="3184">
        <v>3529.63</v>
      </c>
      <c r="N102" s="3184">
        <f t="shared" si="1"/>
        <v>8462</v>
      </c>
      <c r="O102" s="3184">
        <v>93.23</v>
      </c>
      <c r="P102" s="3184" t="s">
        <v>3111</v>
      </c>
    </row>
    <row r="103" spans="1:16" hidden="1">
      <c r="A103" s="3184" t="s">
        <v>3049</v>
      </c>
      <c r="B103" s="3184" t="s">
        <v>3050</v>
      </c>
      <c r="C103" s="3184" t="s">
        <v>3051</v>
      </c>
      <c r="D103" s="3184" t="s">
        <v>3052</v>
      </c>
      <c r="E103" s="3184" t="s">
        <v>3053</v>
      </c>
      <c r="F103" s="3184" t="s">
        <v>3054</v>
      </c>
      <c r="G103" s="3184" t="s">
        <v>2028</v>
      </c>
      <c r="H103" s="3184" t="s">
        <v>3055</v>
      </c>
      <c r="I103" s="3184" t="s">
        <v>3056</v>
      </c>
      <c r="J103" s="3184" t="s">
        <v>3057</v>
      </c>
      <c r="K103" s="3184" t="s">
        <v>3058</v>
      </c>
      <c r="L103" s="3184" t="s">
        <v>3059</v>
      </c>
      <c r="M103" s="3184" t="s">
        <v>3060</v>
      </c>
      <c r="N103" s="3184" t="e">
        <f t="shared" si="1"/>
        <v>#VALUE!</v>
      </c>
      <c r="O103" s="3184" t="s">
        <v>3062</v>
      </c>
      <c r="P103" s="3184" t="s">
        <v>3063</v>
      </c>
    </row>
    <row r="104" spans="1:16" hidden="1">
      <c r="A104" s="3184" t="s">
        <v>3360</v>
      </c>
      <c r="B104" s="3184" t="s">
        <v>1943</v>
      </c>
      <c r="C104" s="3184" t="s">
        <v>3088</v>
      </c>
      <c r="D104" s="3184" t="s">
        <v>3161</v>
      </c>
      <c r="E104" s="3184">
        <v>62168.34</v>
      </c>
      <c r="F104" s="3184">
        <v>186162</v>
      </c>
      <c r="G104" s="3184" t="s">
        <v>3361</v>
      </c>
      <c r="H104" s="3184" t="s">
        <v>2812</v>
      </c>
      <c r="I104" s="3184" t="s">
        <v>3362</v>
      </c>
      <c r="J104" s="3184" t="s">
        <v>3363</v>
      </c>
      <c r="K104" s="3184" t="s">
        <v>2812</v>
      </c>
      <c r="L104" s="3184">
        <v>434800</v>
      </c>
      <c r="M104" s="3184">
        <v>23356</v>
      </c>
      <c r="N104" s="3184">
        <f t="shared" si="1"/>
        <v>69939</v>
      </c>
      <c r="O104" s="3184" t="s">
        <v>2812</v>
      </c>
      <c r="P104" s="3184" t="s">
        <v>3078</v>
      </c>
    </row>
    <row r="105" spans="1:16" hidden="1">
      <c r="A105" s="3184" t="s">
        <v>3364</v>
      </c>
      <c r="B105" s="3184" t="s">
        <v>1943</v>
      </c>
      <c r="C105" s="3184" t="s">
        <v>3088</v>
      </c>
      <c r="D105" s="3184" t="s">
        <v>3074</v>
      </c>
      <c r="E105" s="3184">
        <v>74642.399999999994</v>
      </c>
      <c r="F105" s="3184">
        <v>82107</v>
      </c>
      <c r="G105" s="3184" t="s">
        <v>3089</v>
      </c>
      <c r="H105" s="3184" t="s">
        <v>2812</v>
      </c>
      <c r="I105" s="3184" t="s">
        <v>3365</v>
      </c>
      <c r="J105" s="3184" t="s">
        <v>3189</v>
      </c>
      <c r="K105" s="3184">
        <v>260000</v>
      </c>
      <c r="L105" s="3184">
        <v>260000</v>
      </c>
      <c r="M105" s="3184">
        <v>31666</v>
      </c>
      <c r="N105" s="3184">
        <f t="shared" si="1"/>
        <v>34833</v>
      </c>
      <c r="O105" s="3184">
        <v>0</v>
      </c>
      <c r="P105" s="3184" t="s">
        <v>3251</v>
      </c>
    </row>
    <row r="106" spans="1:16" hidden="1">
      <c r="A106" s="3184" t="s">
        <v>3366</v>
      </c>
      <c r="B106" s="3184" t="s">
        <v>1943</v>
      </c>
      <c r="C106" s="3184" t="s">
        <v>3073</v>
      </c>
      <c r="D106" s="3184" t="s">
        <v>3074</v>
      </c>
      <c r="E106" s="3184">
        <v>21023.4</v>
      </c>
      <c r="F106" s="3184">
        <v>63070</v>
      </c>
      <c r="G106" s="3184" t="s">
        <v>3361</v>
      </c>
      <c r="H106" s="3184" t="s">
        <v>2812</v>
      </c>
      <c r="I106" s="3184" t="s">
        <v>3367</v>
      </c>
      <c r="J106" s="3184" t="s">
        <v>3368</v>
      </c>
      <c r="K106" s="3184">
        <v>266900</v>
      </c>
      <c r="L106" s="3184">
        <v>282000</v>
      </c>
      <c r="M106" s="3184">
        <v>44712.22</v>
      </c>
      <c r="N106" s="3184">
        <f t="shared" si="1"/>
        <v>134136</v>
      </c>
      <c r="O106" s="3184">
        <v>5.66</v>
      </c>
      <c r="P106" s="3184" t="s">
        <v>3084</v>
      </c>
    </row>
    <row r="107" spans="1:16" hidden="1">
      <c r="A107" s="3184" t="s">
        <v>3369</v>
      </c>
      <c r="B107" s="3184" t="s">
        <v>1943</v>
      </c>
      <c r="C107" s="3184" t="s">
        <v>3073</v>
      </c>
      <c r="D107" s="3184" t="s">
        <v>3074</v>
      </c>
      <c r="E107" s="3184">
        <v>59111.519999999997</v>
      </c>
      <c r="F107" s="3184">
        <v>216452</v>
      </c>
      <c r="G107" s="3184" t="s">
        <v>3370</v>
      </c>
      <c r="H107" s="3184" t="s">
        <v>2812</v>
      </c>
      <c r="I107" s="3184" t="s">
        <v>3371</v>
      </c>
      <c r="J107" s="3184" t="s">
        <v>3110</v>
      </c>
      <c r="K107" s="3184">
        <v>668400</v>
      </c>
      <c r="L107" s="3184">
        <v>794000</v>
      </c>
      <c r="M107" s="3184">
        <v>36682.5</v>
      </c>
      <c r="N107" s="3184">
        <f t="shared" si="1"/>
        <v>134322</v>
      </c>
      <c r="O107" s="3184">
        <v>18.79</v>
      </c>
      <c r="P107" s="3184" t="s">
        <v>3084</v>
      </c>
    </row>
    <row r="108" spans="1:16" hidden="1">
      <c r="A108" s="3184" t="s">
        <v>3372</v>
      </c>
      <c r="B108" s="3184" t="s">
        <v>1943</v>
      </c>
      <c r="C108" s="3184" t="s">
        <v>3073</v>
      </c>
      <c r="D108" s="3184" t="s">
        <v>3074</v>
      </c>
      <c r="E108" s="3184">
        <v>168662.9</v>
      </c>
      <c r="F108" s="3184">
        <v>184119</v>
      </c>
      <c r="G108" s="3184" t="s">
        <v>3373</v>
      </c>
      <c r="H108" s="3184" t="s">
        <v>2812</v>
      </c>
      <c r="I108" s="3184" t="s">
        <v>3374</v>
      </c>
      <c r="J108" s="3184" t="s">
        <v>3375</v>
      </c>
      <c r="K108" s="3184">
        <v>405000</v>
      </c>
      <c r="L108" s="3184">
        <v>430000</v>
      </c>
      <c r="M108" s="3184">
        <v>23354.45</v>
      </c>
      <c r="N108" s="3184">
        <f t="shared" si="1"/>
        <v>25495</v>
      </c>
      <c r="O108" s="3184">
        <v>6.17</v>
      </c>
      <c r="P108" s="3184" t="s">
        <v>3251</v>
      </c>
    </row>
    <row r="109" spans="1:16" hidden="1">
      <c r="A109" s="3184" t="s">
        <v>3376</v>
      </c>
      <c r="B109" s="3184" t="s">
        <v>1943</v>
      </c>
      <c r="C109" s="3184" t="s">
        <v>3073</v>
      </c>
      <c r="D109" s="3184" t="s">
        <v>3074</v>
      </c>
      <c r="E109" s="3184">
        <v>56736.89</v>
      </c>
      <c r="F109" s="3184">
        <v>162338</v>
      </c>
      <c r="G109" s="3184">
        <v>2.86</v>
      </c>
      <c r="H109" s="3184" t="s">
        <v>3377</v>
      </c>
      <c r="I109" s="3184" t="s">
        <v>3378</v>
      </c>
      <c r="J109" s="3184" t="s">
        <v>3379</v>
      </c>
      <c r="K109" s="3184">
        <v>327700</v>
      </c>
      <c r="L109" s="3184">
        <v>372000</v>
      </c>
      <c r="M109" s="3184">
        <v>22915.15</v>
      </c>
      <c r="N109" s="3184">
        <f t="shared" si="1"/>
        <v>65566</v>
      </c>
      <c r="O109" s="3184">
        <v>13.52</v>
      </c>
      <c r="P109" s="3184" t="s">
        <v>3084</v>
      </c>
    </row>
    <row r="110" spans="1:16" hidden="1">
      <c r="A110" s="3184" t="s">
        <v>3380</v>
      </c>
      <c r="B110" s="3184" t="s">
        <v>1943</v>
      </c>
      <c r="C110" s="3184" t="s">
        <v>3088</v>
      </c>
      <c r="D110" s="3184" t="s">
        <v>3074</v>
      </c>
      <c r="E110" s="3184">
        <v>43166.27</v>
      </c>
      <c r="F110" s="3184">
        <v>131841</v>
      </c>
      <c r="G110" s="3184">
        <v>3.05</v>
      </c>
      <c r="H110" s="3184" t="s">
        <v>2812</v>
      </c>
      <c r="I110" s="3184" t="s">
        <v>3239</v>
      </c>
      <c r="J110" s="3184" t="s">
        <v>3381</v>
      </c>
      <c r="K110" s="3184">
        <v>462400</v>
      </c>
      <c r="L110" s="3184">
        <v>584000</v>
      </c>
      <c r="M110" s="3184">
        <v>44295.77</v>
      </c>
      <c r="N110" s="3184">
        <f t="shared" si="1"/>
        <v>135291</v>
      </c>
      <c r="O110" s="3184">
        <v>26.3</v>
      </c>
      <c r="P110" s="3184" t="s">
        <v>3084</v>
      </c>
    </row>
    <row r="111" spans="1:16" hidden="1">
      <c r="A111" s="3184" t="s">
        <v>3382</v>
      </c>
      <c r="B111" s="3184" t="s">
        <v>1943</v>
      </c>
      <c r="C111" s="3184" t="s">
        <v>3073</v>
      </c>
      <c r="D111" s="3184" t="s">
        <v>3074</v>
      </c>
      <c r="E111" s="3184">
        <v>58664.08</v>
      </c>
      <c r="F111" s="3184">
        <v>163477</v>
      </c>
      <c r="G111" s="3184">
        <v>2.79</v>
      </c>
      <c r="H111" s="3184" t="s">
        <v>2812</v>
      </c>
      <c r="I111" s="3184" t="s">
        <v>3239</v>
      </c>
      <c r="J111" s="3184" t="s">
        <v>3383</v>
      </c>
      <c r="K111" s="3184">
        <v>560000</v>
      </c>
      <c r="L111" s="3184">
        <v>702000</v>
      </c>
      <c r="M111" s="3184">
        <v>42941.81</v>
      </c>
      <c r="N111" s="3184">
        <f t="shared" si="1"/>
        <v>119664</v>
      </c>
      <c r="O111" s="3184">
        <v>25.36</v>
      </c>
      <c r="P111" s="3184" t="s">
        <v>3084</v>
      </c>
    </row>
    <row r="112" spans="1:16" hidden="1">
      <c r="A112" s="3184" t="s">
        <v>3384</v>
      </c>
      <c r="B112" s="3184" t="s">
        <v>1943</v>
      </c>
      <c r="C112" s="3184" t="s">
        <v>3073</v>
      </c>
      <c r="D112" s="3184" t="s">
        <v>3074</v>
      </c>
      <c r="E112" s="3184">
        <v>90247.13</v>
      </c>
      <c r="F112" s="3184">
        <v>290836</v>
      </c>
      <c r="G112" s="3184">
        <v>3.2229999999999999</v>
      </c>
      <c r="H112" s="3184" t="s">
        <v>2812</v>
      </c>
      <c r="I112" s="3184" t="s">
        <v>3385</v>
      </c>
      <c r="J112" s="3184" t="s">
        <v>3386</v>
      </c>
      <c r="K112" s="3184">
        <v>498000</v>
      </c>
      <c r="L112" s="3184">
        <v>498000</v>
      </c>
      <c r="M112" s="3184">
        <v>17123.04</v>
      </c>
      <c r="N112" s="3184">
        <f t="shared" si="1"/>
        <v>55182</v>
      </c>
      <c r="O112" s="3184">
        <v>0</v>
      </c>
      <c r="P112" s="3184" t="s">
        <v>3084</v>
      </c>
    </row>
    <row r="113" spans="1:16" hidden="1">
      <c r="A113" s="3184" t="s">
        <v>3387</v>
      </c>
      <c r="B113" s="3184" t="s">
        <v>1943</v>
      </c>
      <c r="C113" s="3184" t="s">
        <v>3088</v>
      </c>
      <c r="D113" s="3184" t="s">
        <v>3074</v>
      </c>
      <c r="E113" s="3184">
        <v>27200</v>
      </c>
      <c r="F113" s="3184">
        <v>76160</v>
      </c>
      <c r="G113" s="3184">
        <v>2.8</v>
      </c>
      <c r="H113" s="3184" t="s">
        <v>2812</v>
      </c>
      <c r="I113" s="3184" t="s">
        <v>3388</v>
      </c>
      <c r="J113" s="3184" t="s">
        <v>3389</v>
      </c>
      <c r="K113" s="3184">
        <v>298100</v>
      </c>
      <c r="L113" s="3184">
        <v>312500</v>
      </c>
      <c r="M113" s="3184">
        <v>41032.04</v>
      </c>
      <c r="N113" s="3184">
        <f t="shared" si="1"/>
        <v>114890</v>
      </c>
      <c r="O113" s="3184">
        <v>4.83</v>
      </c>
      <c r="P113" s="3184" t="s">
        <v>3084</v>
      </c>
    </row>
    <row r="114" spans="1:16" hidden="1">
      <c r="A114" s="3184" t="s">
        <v>3390</v>
      </c>
      <c r="B114" s="3184" t="s">
        <v>1943</v>
      </c>
      <c r="C114" s="3184" t="s">
        <v>3073</v>
      </c>
      <c r="D114" s="3184" t="s">
        <v>3074</v>
      </c>
      <c r="E114" s="3184">
        <v>21975.01</v>
      </c>
      <c r="F114" s="3184">
        <v>41704</v>
      </c>
      <c r="G114" s="3184">
        <v>1.9</v>
      </c>
      <c r="H114" s="3184" t="s">
        <v>2812</v>
      </c>
      <c r="I114" s="3184" t="s">
        <v>3121</v>
      </c>
      <c r="J114" s="3184" t="s">
        <v>3391</v>
      </c>
      <c r="K114" s="3184">
        <v>135000</v>
      </c>
      <c r="L114" s="3184">
        <v>167500</v>
      </c>
      <c r="M114" s="3184">
        <v>40164.01</v>
      </c>
      <c r="N114" s="3184">
        <f t="shared" si="1"/>
        <v>76223</v>
      </c>
      <c r="O114" s="3184">
        <v>24.07</v>
      </c>
      <c r="P114" s="3184" t="s">
        <v>3084</v>
      </c>
    </row>
    <row r="115" spans="1:16" hidden="1">
      <c r="A115" s="3184" t="s">
        <v>3392</v>
      </c>
      <c r="B115" s="3184" t="s">
        <v>1943</v>
      </c>
      <c r="C115" s="3184" t="s">
        <v>3088</v>
      </c>
      <c r="D115" s="3184" t="s">
        <v>3074</v>
      </c>
      <c r="E115" s="3184">
        <v>36708.14</v>
      </c>
      <c r="F115" s="3184">
        <v>102783</v>
      </c>
      <c r="G115" s="3184">
        <v>2.8</v>
      </c>
      <c r="H115" s="3184" t="s">
        <v>2812</v>
      </c>
      <c r="I115" s="3184" t="s">
        <v>3393</v>
      </c>
      <c r="J115" s="3184" t="s">
        <v>3394</v>
      </c>
      <c r="K115" s="3184">
        <v>420000</v>
      </c>
      <c r="L115" s="3184">
        <v>626000</v>
      </c>
      <c r="M115" s="3184">
        <v>60905.01</v>
      </c>
      <c r="N115" s="3184">
        <f t="shared" si="1"/>
        <v>170534</v>
      </c>
      <c r="O115" s="3184">
        <v>49.05</v>
      </c>
      <c r="P115" s="3184" t="s">
        <v>3084</v>
      </c>
    </row>
    <row r="116" spans="1:16" hidden="1">
      <c r="A116" s="3184" t="s">
        <v>3395</v>
      </c>
      <c r="B116" s="3184" t="s">
        <v>1943</v>
      </c>
      <c r="C116" s="3184" t="s">
        <v>3073</v>
      </c>
      <c r="D116" s="3184" t="s">
        <v>3074</v>
      </c>
      <c r="E116" s="3184">
        <v>65649.87</v>
      </c>
      <c r="F116" s="3184">
        <v>193846</v>
      </c>
      <c r="G116" s="3184" t="s">
        <v>3396</v>
      </c>
      <c r="H116" s="3184" t="s">
        <v>2812</v>
      </c>
      <c r="I116" s="3184" t="s">
        <v>3397</v>
      </c>
      <c r="J116" s="3184" t="s">
        <v>3398</v>
      </c>
      <c r="K116" s="3184">
        <v>525000</v>
      </c>
      <c r="L116" s="3184">
        <v>787000</v>
      </c>
      <c r="M116" s="3184">
        <v>40599.230000000003</v>
      </c>
      <c r="N116" s="3184">
        <f t="shared" si="1"/>
        <v>119878</v>
      </c>
      <c r="O116" s="3184">
        <v>49.9</v>
      </c>
      <c r="P116" s="3184" t="s">
        <v>3084</v>
      </c>
    </row>
    <row r="117" spans="1:16" hidden="1">
      <c r="A117" s="3184" t="s">
        <v>3399</v>
      </c>
      <c r="B117" s="3184" t="s">
        <v>1943</v>
      </c>
      <c r="C117" s="3184" t="s">
        <v>3073</v>
      </c>
      <c r="D117" s="3184" t="s">
        <v>3074</v>
      </c>
      <c r="E117" s="3184">
        <v>35982.400000000001</v>
      </c>
      <c r="F117" s="3184">
        <v>86965</v>
      </c>
      <c r="G117" s="3184">
        <v>2.4</v>
      </c>
      <c r="H117" s="3184" t="s">
        <v>2812</v>
      </c>
      <c r="I117" s="3184" t="s">
        <v>3400</v>
      </c>
      <c r="J117" s="3184" t="s">
        <v>3401</v>
      </c>
      <c r="K117" s="3184">
        <v>230000</v>
      </c>
      <c r="L117" s="3184">
        <v>286000</v>
      </c>
      <c r="M117" s="3184">
        <v>32886.79</v>
      </c>
      <c r="N117" s="3184">
        <f t="shared" si="1"/>
        <v>79483</v>
      </c>
      <c r="O117" s="3184">
        <v>24.35</v>
      </c>
      <c r="P117" s="3184" t="s">
        <v>3084</v>
      </c>
    </row>
    <row r="118" spans="1:16" hidden="1">
      <c r="A118" s="3184" t="s">
        <v>3402</v>
      </c>
      <c r="B118" s="3184" t="s">
        <v>1943</v>
      </c>
      <c r="C118" s="3184" t="s">
        <v>3073</v>
      </c>
      <c r="D118" s="3184" t="s">
        <v>3074</v>
      </c>
      <c r="E118" s="3184">
        <v>75405.59</v>
      </c>
      <c r="F118" s="3184">
        <v>163968</v>
      </c>
      <c r="G118" s="3184">
        <v>2.2000000000000002</v>
      </c>
      <c r="H118" s="3184" t="s">
        <v>2812</v>
      </c>
      <c r="I118" s="3184" t="s">
        <v>3403</v>
      </c>
      <c r="J118" s="3184" t="s">
        <v>3404</v>
      </c>
      <c r="K118" s="3184">
        <v>415000</v>
      </c>
      <c r="L118" s="3184">
        <v>415000</v>
      </c>
      <c r="M118" s="3184">
        <v>25309.81</v>
      </c>
      <c r="N118" s="3184">
        <f t="shared" si="1"/>
        <v>55036</v>
      </c>
      <c r="O118" s="3184">
        <v>0</v>
      </c>
      <c r="P118" s="3184" t="s">
        <v>3078</v>
      </c>
    </row>
    <row r="119" spans="1:16" hidden="1">
      <c r="A119" s="3184" t="s">
        <v>3405</v>
      </c>
      <c r="B119" s="3184" t="s">
        <v>1943</v>
      </c>
      <c r="C119" s="3184" t="s">
        <v>3088</v>
      </c>
      <c r="D119" s="3184" t="s">
        <v>3074</v>
      </c>
      <c r="E119" s="3184">
        <v>53213.75</v>
      </c>
      <c r="F119" s="3184">
        <v>100410</v>
      </c>
      <c r="G119" s="3184">
        <v>1.9</v>
      </c>
      <c r="H119" s="3184" t="s">
        <v>2812</v>
      </c>
      <c r="I119" s="3184" t="s">
        <v>3406</v>
      </c>
      <c r="J119" s="3184" t="s">
        <v>3407</v>
      </c>
      <c r="K119" s="3184">
        <v>235000</v>
      </c>
      <c r="L119" s="3184">
        <v>289000</v>
      </c>
      <c r="M119" s="3184">
        <v>28781.99</v>
      </c>
      <c r="N119" s="3184">
        <f t="shared" si="1"/>
        <v>54309</v>
      </c>
      <c r="O119" s="3184">
        <v>22.98</v>
      </c>
      <c r="P119" s="3184" t="s">
        <v>3084</v>
      </c>
    </row>
    <row r="120" spans="1:16" hidden="1">
      <c r="A120" s="3184" t="s">
        <v>3408</v>
      </c>
      <c r="B120" s="3184" t="s">
        <v>1943</v>
      </c>
      <c r="C120" s="3184" t="s">
        <v>3073</v>
      </c>
      <c r="D120" s="3184" t="s">
        <v>3074</v>
      </c>
      <c r="E120" s="3184">
        <v>230355.9</v>
      </c>
      <c r="F120" s="3184">
        <v>249999</v>
      </c>
      <c r="G120" s="3184">
        <v>1.0900000000000001</v>
      </c>
      <c r="H120" s="3184" t="s">
        <v>2812</v>
      </c>
      <c r="I120" s="3184" t="s">
        <v>3409</v>
      </c>
      <c r="J120" s="3184" t="s">
        <v>3410</v>
      </c>
      <c r="K120" s="3184">
        <v>500000</v>
      </c>
      <c r="L120" s="3184">
        <v>585000</v>
      </c>
      <c r="M120" s="3184">
        <v>23400.09</v>
      </c>
      <c r="N120" s="3184">
        <f t="shared" si="1"/>
        <v>25395</v>
      </c>
      <c r="O120" s="3184">
        <v>17</v>
      </c>
      <c r="P120" s="3184" t="s">
        <v>3111</v>
      </c>
    </row>
    <row r="121" spans="1:16" hidden="1">
      <c r="A121" s="3184" t="s">
        <v>3411</v>
      </c>
      <c r="B121" s="3184" t="s">
        <v>1943</v>
      </c>
      <c r="C121" s="3184" t="s">
        <v>3073</v>
      </c>
      <c r="D121" s="3184" t="s">
        <v>3161</v>
      </c>
      <c r="E121" s="3184">
        <v>59264.17</v>
      </c>
      <c r="F121" s="3184">
        <v>160140</v>
      </c>
      <c r="G121" s="3184">
        <v>2.7</v>
      </c>
      <c r="H121" s="3184" t="s">
        <v>2812</v>
      </c>
      <c r="I121" s="3184" t="s">
        <v>3412</v>
      </c>
      <c r="J121" s="3184" t="s">
        <v>3413</v>
      </c>
      <c r="K121" s="3184" t="s">
        <v>2812</v>
      </c>
      <c r="L121" s="3184" t="s">
        <v>2812</v>
      </c>
      <c r="M121" s="3184" t="s">
        <v>2812</v>
      </c>
      <c r="N121" s="3184" t="e">
        <f t="shared" si="1"/>
        <v>#VALUE!</v>
      </c>
      <c r="O121" s="3184" t="s">
        <v>2812</v>
      </c>
      <c r="P121" s="3184" t="s">
        <v>3084</v>
      </c>
    </row>
    <row r="122" spans="1:16" hidden="1">
      <c r="A122" s="3184" t="s">
        <v>3414</v>
      </c>
      <c r="B122" s="3184" t="s">
        <v>1943</v>
      </c>
      <c r="C122" s="3184" t="s">
        <v>3073</v>
      </c>
      <c r="D122" s="3184" t="s">
        <v>3074</v>
      </c>
      <c r="E122" s="3184">
        <v>117633.1</v>
      </c>
      <c r="F122" s="3184">
        <v>239373</v>
      </c>
      <c r="G122" s="3184">
        <v>2.0299999999999998</v>
      </c>
      <c r="H122" s="3184" t="s">
        <v>3141</v>
      </c>
      <c r="I122" s="3184" t="s">
        <v>3415</v>
      </c>
      <c r="J122" s="3184" t="s">
        <v>3416</v>
      </c>
      <c r="K122" s="3184">
        <v>556000</v>
      </c>
      <c r="L122" s="3184">
        <v>834000</v>
      </c>
      <c r="M122" s="3184">
        <v>34841.01</v>
      </c>
      <c r="N122" s="3184">
        <f t="shared" si="1"/>
        <v>70898</v>
      </c>
      <c r="O122" s="3184">
        <v>50</v>
      </c>
      <c r="P122" s="3184" t="s">
        <v>3084</v>
      </c>
    </row>
    <row r="123" spans="1:16" hidden="1">
      <c r="A123" s="3184" t="s">
        <v>3417</v>
      </c>
      <c r="B123" s="3184" t="s">
        <v>1943</v>
      </c>
      <c r="C123" s="3184" t="s">
        <v>3073</v>
      </c>
      <c r="D123" s="3184" t="s">
        <v>3074</v>
      </c>
      <c r="E123" s="3184">
        <v>132433.29999999999</v>
      </c>
      <c r="F123" s="3184">
        <v>254197</v>
      </c>
      <c r="G123" s="3184">
        <v>1.92</v>
      </c>
      <c r="H123" s="3184" t="s">
        <v>3141</v>
      </c>
      <c r="I123" s="3184" t="s">
        <v>3418</v>
      </c>
      <c r="J123" s="3184" t="s">
        <v>3419</v>
      </c>
      <c r="K123" s="3184">
        <v>573000</v>
      </c>
      <c r="L123" s="3184">
        <v>859500</v>
      </c>
      <c r="M123" s="3184">
        <v>33812.36</v>
      </c>
      <c r="N123" s="3184">
        <f t="shared" si="1"/>
        <v>64901</v>
      </c>
      <c r="O123" s="3184">
        <v>50</v>
      </c>
      <c r="P123" s="3184" t="s">
        <v>3084</v>
      </c>
    </row>
    <row r="124" spans="1:16" hidden="1">
      <c r="A124" s="3184" t="s">
        <v>3420</v>
      </c>
      <c r="B124" s="3184" t="s">
        <v>1943</v>
      </c>
      <c r="C124" s="3184" t="s">
        <v>3073</v>
      </c>
      <c r="D124" s="3184" t="s">
        <v>3074</v>
      </c>
      <c r="E124" s="3184">
        <v>104578</v>
      </c>
      <c r="F124" s="3184">
        <v>203821</v>
      </c>
      <c r="G124" s="3184">
        <v>1.95</v>
      </c>
      <c r="H124" s="3184" t="s">
        <v>3421</v>
      </c>
      <c r="I124" s="3184" t="s">
        <v>3422</v>
      </c>
      <c r="J124" s="3184" t="s">
        <v>3423</v>
      </c>
      <c r="K124" s="3184">
        <v>330000</v>
      </c>
      <c r="L124" s="3184">
        <v>495000</v>
      </c>
      <c r="M124" s="3184">
        <v>24286.02</v>
      </c>
      <c r="N124" s="3184">
        <f t="shared" si="1"/>
        <v>47333</v>
      </c>
      <c r="O124" s="3184">
        <v>50</v>
      </c>
      <c r="P124" s="3184" t="s">
        <v>3084</v>
      </c>
    </row>
    <row r="125" spans="1:16" hidden="1">
      <c r="A125" s="3184" t="s">
        <v>3424</v>
      </c>
      <c r="B125" s="3184" t="s">
        <v>1943</v>
      </c>
      <c r="C125" s="3184" t="s">
        <v>3073</v>
      </c>
      <c r="D125" s="3184" t="s">
        <v>3074</v>
      </c>
      <c r="E125" s="3184">
        <v>84985.06</v>
      </c>
      <c r="F125" s="3184">
        <v>166387</v>
      </c>
      <c r="G125" s="3184">
        <v>1.96</v>
      </c>
      <c r="H125" s="3184" t="s">
        <v>3141</v>
      </c>
      <c r="I125" s="3184" t="s">
        <v>3425</v>
      </c>
      <c r="J125" s="3184" t="s">
        <v>3426</v>
      </c>
      <c r="K125" s="3184">
        <v>335000</v>
      </c>
      <c r="L125" s="3184">
        <v>502500</v>
      </c>
      <c r="M125" s="3184">
        <v>30200.68</v>
      </c>
      <c r="N125" s="3184">
        <f t="shared" si="1"/>
        <v>59128</v>
      </c>
      <c r="O125" s="3184">
        <v>50</v>
      </c>
      <c r="P125" s="3184" t="s">
        <v>3084</v>
      </c>
    </row>
    <row r="126" spans="1:16" hidden="1">
      <c r="A126" s="3184" t="s">
        <v>3427</v>
      </c>
      <c r="B126" s="3184" t="s">
        <v>1943</v>
      </c>
      <c r="C126" s="3184" t="s">
        <v>3073</v>
      </c>
      <c r="D126" s="3184" t="s">
        <v>3161</v>
      </c>
      <c r="E126" s="3184">
        <v>93400</v>
      </c>
      <c r="F126" s="3184">
        <v>290000</v>
      </c>
      <c r="G126" s="3184" t="s">
        <v>3428</v>
      </c>
      <c r="H126" s="3184" t="s">
        <v>2812</v>
      </c>
      <c r="I126" s="3184" t="s">
        <v>3429</v>
      </c>
      <c r="J126" s="3184" t="s">
        <v>3430</v>
      </c>
      <c r="K126" s="3184" t="s">
        <v>2812</v>
      </c>
      <c r="L126" s="3184">
        <v>485745</v>
      </c>
      <c r="M126" s="3184">
        <v>16749.830000000002</v>
      </c>
      <c r="N126" s="3184">
        <f t="shared" si="1"/>
        <v>52007</v>
      </c>
      <c r="O126" s="3184" t="s">
        <v>2812</v>
      </c>
      <c r="P126" s="3184" t="s">
        <v>3084</v>
      </c>
    </row>
    <row r="127" spans="1:16" hidden="1">
      <c r="A127" s="3184" t="s">
        <v>3431</v>
      </c>
      <c r="B127" s="3184" t="s">
        <v>1943</v>
      </c>
      <c r="C127" s="3184" t="s">
        <v>3073</v>
      </c>
      <c r="D127" s="3184" t="s">
        <v>3074</v>
      </c>
      <c r="E127" s="3184">
        <v>155675.9</v>
      </c>
      <c r="F127" s="3184">
        <v>418693</v>
      </c>
      <c r="G127" s="3184">
        <v>2.69</v>
      </c>
      <c r="H127" s="3184" t="s">
        <v>3145</v>
      </c>
      <c r="I127" s="3184" t="s">
        <v>3432</v>
      </c>
      <c r="J127" s="3184" t="s">
        <v>3433</v>
      </c>
      <c r="K127" s="3184">
        <v>707000</v>
      </c>
      <c r="L127" s="3184">
        <v>862500</v>
      </c>
      <c r="M127" s="3184">
        <v>20599.810000000001</v>
      </c>
      <c r="N127" s="3184">
        <f t="shared" si="1"/>
        <v>55404</v>
      </c>
      <c r="O127" s="3184">
        <v>21.99</v>
      </c>
      <c r="P127" s="3184" t="s">
        <v>3084</v>
      </c>
    </row>
    <row r="128" spans="1:16" s="3191" customFormat="1" hidden="1">
      <c r="A128" s="3190" t="s">
        <v>3434</v>
      </c>
      <c r="B128" s="3184" t="s">
        <v>1943</v>
      </c>
      <c r="C128" s="3190" t="s">
        <v>3073</v>
      </c>
      <c r="D128" s="3190" t="s">
        <v>3074</v>
      </c>
      <c r="E128" s="3190">
        <v>54060.2</v>
      </c>
      <c r="F128" s="3190">
        <v>159559</v>
      </c>
      <c r="G128" s="3190">
        <v>2.95</v>
      </c>
      <c r="H128" s="3190" t="s">
        <v>3145</v>
      </c>
      <c r="I128" s="3190" t="s">
        <v>3435</v>
      </c>
      <c r="J128" s="3190" t="s">
        <v>3436</v>
      </c>
      <c r="K128" s="3184">
        <v>300000</v>
      </c>
      <c r="L128" s="3190">
        <v>449000</v>
      </c>
      <c r="M128" s="3190">
        <v>28140.06</v>
      </c>
      <c r="N128" s="3190">
        <f t="shared" si="1"/>
        <v>83056</v>
      </c>
      <c r="O128" s="3190">
        <v>49.67</v>
      </c>
      <c r="P128" s="3190" t="s">
        <v>3084</v>
      </c>
    </row>
    <row r="129" spans="1:16" hidden="1">
      <c r="A129" s="3184" t="s">
        <v>3437</v>
      </c>
      <c r="B129" s="3184" t="s">
        <v>1943</v>
      </c>
      <c r="C129" s="3184" t="s">
        <v>3073</v>
      </c>
      <c r="D129" s="3184" t="s">
        <v>3074</v>
      </c>
      <c r="E129" s="3184">
        <v>63165.9</v>
      </c>
      <c r="F129" s="3184">
        <v>178615</v>
      </c>
      <c r="G129" s="3184">
        <v>2.83</v>
      </c>
      <c r="H129" s="3184" t="s">
        <v>3145</v>
      </c>
      <c r="I129" s="3184" t="s">
        <v>3435</v>
      </c>
      <c r="J129" s="3184" t="s">
        <v>3438</v>
      </c>
      <c r="K129" s="3184">
        <v>281000</v>
      </c>
      <c r="L129" s="3184">
        <v>420000</v>
      </c>
      <c r="M129" s="3184">
        <v>23514.25</v>
      </c>
      <c r="N129" s="3184">
        <f t="shared" si="1"/>
        <v>66492</v>
      </c>
      <c r="O129" s="3184">
        <v>49.47</v>
      </c>
      <c r="P129" s="3184" t="s">
        <v>3084</v>
      </c>
    </row>
    <row r="130" spans="1:16" hidden="1">
      <c r="A130" s="3184" t="s">
        <v>3439</v>
      </c>
      <c r="B130" s="3184" t="s">
        <v>1943</v>
      </c>
      <c r="C130" s="3184" t="s">
        <v>3073</v>
      </c>
      <c r="D130" s="3184" t="s">
        <v>3074</v>
      </c>
      <c r="E130" s="3184">
        <v>40342</v>
      </c>
      <c r="F130" s="3184">
        <v>93545</v>
      </c>
      <c r="G130" s="3184">
        <v>2.3199999999999998</v>
      </c>
      <c r="H130" s="3184" t="s">
        <v>3145</v>
      </c>
      <c r="I130" s="3184" t="s">
        <v>3440</v>
      </c>
      <c r="J130" s="3184" t="s">
        <v>3441</v>
      </c>
      <c r="K130" s="3184">
        <v>135000</v>
      </c>
      <c r="L130" s="3184">
        <v>182500</v>
      </c>
      <c r="M130" s="3184">
        <v>19509.330000000002</v>
      </c>
      <c r="N130" s="3184">
        <f t="shared" si="1"/>
        <v>45238</v>
      </c>
      <c r="O130" s="3184">
        <v>35.19</v>
      </c>
      <c r="P130" s="3184" t="s">
        <v>3078</v>
      </c>
    </row>
    <row r="131" spans="1:16" hidden="1">
      <c r="A131" s="3184" t="s">
        <v>3442</v>
      </c>
      <c r="B131" s="3184" t="s">
        <v>1943</v>
      </c>
      <c r="C131" s="3184" t="s">
        <v>3073</v>
      </c>
      <c r="D131" s="3184" t="s">
        <v>3074</v>
      </c>
      <c r="E131" s="3184">
        <v>53406</v>
      </c>
      <c r="F131" s="3184">
        <v>129615</v>
      </c>
      <c r="G131" s="3184">
        <v>2.4300000000000002</v>
      </c>
      <c r="H131" s="3184" t="s">
        <v>3145</v>
      </c>
      <c r="I131" s="3184" t="s">
        <v>3440</v>
      </c>
      <c r="J131" s="3184" t="s">
        <v>3441</v>
      </c>
      <c r="K131" s="3184">
        <v>190000</v>
      </c>
      <c r="L131" s="3184">
        <v>256500</v>
      </c>
      <c r="M131" s="3184">
        <v>19789.38</v>
      </c>
      <c r="N131" s="3184">
        <f t="shared" ref="N131:N194" si="2">ROUND(L131*10000/E131,0)</f>
        <v>48028</v>
      </c>
      <c r="O131" s="3184">
        <v>35</v>
      </c>
      <c r="P131" s="3184" t="s">
        <v>3078</v>
      </c>
    </row>
    <row r="132" spans="1:16" hidden="1">
      <c r="A132" s="3184" t="s">
        <v>3443</v>
      </c>
      <c r="B132" s="3184" t="s">
        <v>1943</v>
      </c>
      <c r="C132" s="3184" t="s">
        <v>3088</v>
      </c>
      <c r="D132" s="3184" t="s">
        <v>3074</v>
      </c>
      <c r="E132" s="3184">
        <v>82037.05</v>
      </c>
      <c r="F132" s="3184">
        <v>205093</v>
      </c>
      <c r="G132" s="3184">
        <v>2.5</v>
      </c>
      <c r="H132" s="3184" t="s">
        <v>3145</v>
      </c>
      <c r="I132" s="3184" t="s">
        <v>3444</v>
      </c>
      <c r="J132" s="3184" t="s">
        <v>3445</v>
      </c>
      <c r="K132" s="3184">
        <v>333500</v>
      </c>
      <c r="L132" s="3184">
        <v>422000</v>
      </c>
      <c r="M132" s="3184">
        <v>20576.02</v>
      </c>
      <c r="N132" s="3184">
        <f t="shared" si="2"/>
        <v>51440</v>
      </c>
      <c r="O132" s="3184">
        <v>26.54</v>
      </c>
      <c r="P132" s="3184" t="s">
        <v>3111</v>
      </c>
    </row>
    <row r="133" spans="1:16" hidden="1">
      <c r="A133" s="3184" t="s">
        <v>3446</v>
      </c>
      <c r="B133" s="3184" t="s">
        <v>1943</v>
      </c>
      <c r="C133" s="3184" t="s">
        <v>3073</v>
      </c>
      <c r="D133" s="3184" t="s">
        <v>3074</v>
      </c>
      <c r="E133" s="3184">
        <v>102120.5</v>
      </c>
      <c r="F133" s="3184">
        <v>184793</v>
      </c>
      <c r="G133" s="3184">
        <v>1.81</v>
      </c>
      <c r="H133" s="3184" t="s">
        <v>3145</v>
      </c>
      <c r="I133" s="3184" t="s">
        <v>3447</v>
      </c>
      <c r="J133" s="3184" t="s">
        <v>3448</v>
      </c>
      <c r="K133" s="3184">
        <v>141000</v>
      </c>
      <c r="L133" s="3184">
        <v>210000</v>
      </c>
      <c r="M133" s="3184">
        <v>11364.06</v>
      </c>
      <c r="N133" s="3184">
        <f t="shared" si="2"/>
        <v>20564</v>
      </c>
      <c r="O133" s="3184">
        <v>48.94</v>
      </c>
      <c r="P133" s="3184" t="s">
        <v>3251</v>
      </c>
    </row>
    <row r="134" spans="1:16" hidden="1">
      <c r="A134" s="3184" t="s">
        <v>3449</v>
      </c>
      <c r="B134" s="3184" t="s">
        <v>1943</v>
      </c>
      <c r="C134" s="3184" t="s">
        <v>3073</v>
      </c>
      <c r="D134" s="3184" t="s">
        <v>3074</v>
      </c>
      <c r="E134" s="3184">
        <v>59580.46</v>
      </c>
      <c r="F134" s="3184">
        <v>170535</v>
      </c>
      <c r="G134" s="3184">
        <v>2.86</v>
      </c>
      <c r="H134" s="3184" t="s">
        <v>3145</v>
      </c>
      <c r="I134" s="3184" t="s">
        <v>3450</v>
      </c>
      <c r="J134" s="3184" t="s">
        <v>3204</v>
      </c>
      <c r="K134" s="3184">
        <v>335000</v>
      </c>
      <c r="L134" s="3184">
        <v>495800</v>
      </c>
      <c r="M134" s="3184">
        <v>29073.200000000001</v>
      </c>
      <c r="N134" s="3184">
        <f t="shared" si="2"/>
        <v>83215</v>
      </c>
      <c r="O134" s="3184">
        <v>48</v>
      </c>
      <c r="P134" s="3184" t="s">
        <v>3084</v>
      </c>
    </row>
    <row r="135" spans="1:16" hidden="1">
      <c r="A135" s="3184" t="s">
        <v>3451</v>
      </c>
      <c r="B135" s="3184" t="s">
        <v>1943</v>
      </c>
      <c r="C135" s="3184" t="s">
        <v>3073</v>
      </c>
      <c r="D135" s="3184" t="s">
        <v>3074</v>
      </c>
      <c r="E135" s="3184">
        <v>70055.009999999995</v>
      </c>
      <c r="F135" s="3184">
        <v>220201</v>
      </c>
      <c r="G135" s="3184">
        <v>3.14</v>
      </c>
      <c r="H135" s="3184" t="s">
        <v>3145</v>
      </c>
      <c r="I135" s="3184" t="s">
        <v>3452</v>
      </c>
      <c r="J135" s="3184" t="s">
        <v>3453</v>
      </c>
      <c r="K135" s="3184">
        <v>241000</v>
      </c>
      <c r="L135" s="3184">
        <v>357000</v>
      </c>
      <c r="M135" s="3184">
        <v>16212.45</v>
      </c>
      <c r="N135" s="3184">
        <f t="shared" si="2"/>
        <v>50960</v>
      </c>
      <c r="O135" s="3184">
        <v>48.13</v>
      </c>
      <c r="P135" s="3184" t="s">
        <v>3084</v>
      </c>
    </row>
    <row r="136" spans="1:16" hidden="1">
      <c r="A136" s="3184" t="s">
        <v>3454</v>
      </c>
      <c r="B136" s="3184" t="s">
        <v>1943</v>
      </c>
      <c r="C136" s="3184" t="s">
        <v>3073</v>
      </c>
      <c r="D136" s="3184" t="s">
        <v>3074</v>
      </c>
      <c r="E136" s="3184">
        <v>86732.160000000003</v>
      </c>
      <c r="F136" s="3184">
        <v>282463</v>
      </c>
      <c r="G136" s="3184">
        <v>3.26</v>
      </c>
      <c r="H136" s="3184" t="s">
        <v>2812</v>
      </c>
      <c r="I136" s="3184" t="s">
        <v>3455</v>
      </c>
      <c r="J136" s="3184" t="s">
        <v>3456</v>
      </c>
      <c r="K136" s="3184">
        <v>283000</v>
      </c>
      <c r="L136" s="3184">
        <v>424000</v>
      </c>
      <c r="M136" s="3184">
        <v>15010.81</v>
      </c>
      <c r="N136" s="3184">
        <f t="shared" si="2"/>
        <v>48886</v>
      </c>
      <c r="O136" s="3184">
        <v>49.82</v>
      </c>
      <c r="P136" s="3184" t="s">
        <v>3084</v>
      </c>
    </row>
    <row r="137" spans="1:16" hidden="1">
      <c r="A137" s="3184" t="s">
        <v>3457</v>
      </c>
      <c r="B137" s="3184" t="s">
        <v>1943</v>
      </c>
      <c r="C137" s="3184" t="s">
        <v>3073</v>
      </c>
      <c r="D137" s="3184" t="s">
        <v>3074</v>
      </c>
      <c r="E137" s="3184">
        <v>155266.4</v>
      </c>
      <c r="F137" s="3184">
        <v>263953</v>
      </c>
      <c r="G137" s="3184">
        <v>1.7</v>
      </c>
      <c r="H137" s="3184" t="s">
        <v>3145</v>
      </c>
      <c r="I137" s="3184" t="s">
        <v>3458</v>
      </c>
      <c r="J137" s="3184" t="s">
        <v>3459</v>
      </c>
      <c r="K137" s="3184">
        <v>185000</v>
      </c>
      <c r="L137" s="3184">
        <v>251000</v>
      </c>
      <c r="M137" s="3184">
        <v>9509.27</v>
      </c>
      <c r="N137" s="3184">
        <f t="shared" si="2"/>
        <v>16166</v>
      </c>
      <c r="O137" s="3184">
        <v>35.68</v>
      </c>
      <c r="P137" s="3184" t="s">
        <v>3251</v>
      </c>
    </row>
    <row r="138" spans="1:16" hidden="1">
      <c r="A138" s="3184" t="s">
        <v>3460</v>
      </c>
      <c r="B138" s="3184" t="s">
        <v>1943</v>
      </c>
      <c r="C138" s="3184" t="s">
        <v>3088</v>
      </c>
      <c r="D138" s="3184" t="s">
        <v>3074</v>
      </c>
      <c r="E138" s="3184">
        <v>27368</v>
      </c>
      <c r="F138" s="3184">
        <v>76630</v>
      </c>
      <c r="G138" s="3184">
        <v>2.8</v>
      </c>
      <c r="H138" s="3184" t="s">
        <v>3141</v>
      </c>
      <c r="I138" s="3184" t="s">
        <v>3307</v>
      </c>
      <c r="J138" s="3184" t="s">
        <v>3461</v>
      </c>
      <c r="K138" s="3184">
        <v>135900</v>
      </c>
      <c r="L138" s="3184">
        <v>177000</v>
      </c>
      <c r="M138" s="3184">
        <v>23098</v>
      </c>
      <c r="N138" s="3184">
        <f t="shared" si="2"/>
        <v>64674</v>
      </c>
      <c r="O138" s="3184">
        <v>30.24</v>
      </c>
      <c r="P138" s="3184" t="s">
        <v>3084</v>
      </c>
    </row>
    <row r="139" spans="1:16" hidden="1">
      <c r="A139" s="3184" t="s">
        <v>3462</v>
      </c>
      <c r="B139" s="3184" t="s">
        <v>1943</v>
      </c>
      <c r="C139" s="3184" t="s">
        <v>3088</v>
      </c>
      <c r="D139" s="3184" t="s">
        <v>3074</v>
      </c>
      <c r="E139" s="3184">
        <v>16530</v>
      </c>
      <c r="F139" s="3184">
        <v>35821</v>
      </c>
      <c r="G139" s="3184">
        <v>2.17</v>
      </c>
      <c r="H139" s="3184" t="s">
        <v>2812</v>
      </c>
      <c r="I139" s="3184" t="s">
        <v>3321</v>
      </c>
      <c r="J139" s="3184" t="s">
        <v>3463</v>
      </c>
      <c r="K139" s="3184">
        <v>35000</v>
      </c>
      <c r="L139" s="3184">
        <v>35400</v>
      </c>
      <c r="M139" s="3184">
        <v>9882.4599999999991</v>
      </c>
      <c r="N139" s="3184">
        <f t="shared" si="2"/>
        <v>21416</v>
      </c>
      <c r="O139" s="3184">
        <v>1.1399999999999999</v>
      </c>
      <c r="P139" s="3184" t="s">
        <v>3084</v>
      </c>
    </row>
    <row r="140" spans="1:16" hidden="1">
      <c r="A140" s="3184" t="s">
        <v>3464</v>
      </c>
      <c r="B140" s="3184" t="s">
        <v>1943</v>
      </c>
      <c r="C140" s="3184" t="s">
        <v>3088</v>
      </c>
      <c r="D140" s="3184" t="s">
        <v>3074</v>
      </c>
      <c r="E140" s="3184">
        <v>50663</v>
      </c>
      <c r="F140" s="3184">
        <v>151989</v>
      </c>
      <c r="G140" s="3184">
        <v>3</v>
      </c>
      <c r="H140" s="3184" t="s">
        <v>2812</v>
      </c>
      <c r="I140" s="3184" t="s">
        <v>3465</v>
      </c>
      <c r="J140" s="3184" t="s">
        <v>3466</v>
      </c>
      <c r="K140" s="3184">
        <v>91700</v>
      </c>
      <c r="L140" s="3184">
        <v>91700</v>
      </c>
      <c r="M140" s="3184">
        <v>6033.32</v>
      </c>
      <c r="N140" s="3184">
        <f t="shared" si="2"/>
        <v>18100</v>
      </c>
      <c r="O140" s="3184">
        <v>0</v>
      </c>
      <c r="P140" s="3184" t="s">
        <v>3084</v>
      </c>
    </row>
    <row r="141" spans="1:16" hidden="1">
      <c r="A141" s="3184" t="s">
        <v>3467</v>
      </c>
      <c r="B141" s="3184" t="s">
        <v>1943</v>
      </c>
      <c r="C141" s="3184" t="s">
        <v>3088</v>
      </c>
      <c r="D141" s="3184" t="s">
        <v>3161</v>
      </c>
      <c r="E141" s="3184">
        <v>56015.81</v>
      </c>
      <c r="F141" s="3184">
        <v>145860</v>
      </c>
      <c r="G141" s="3184">
        <v>2</v>
      </c>
      <c r="H141" s="3184" t="s">
        <v>2812</v>
      </c>
      <c r="I141" s="3184" t="s">
        <v>3468</v>
      </c>
      <c r="J141" s="3184" t="s">
        <v>3469</v>
      </c>
      <c r="K141" s="3184" t="s">
        <v>2812</v>
      </c>
      <c r="L141" s="3184">
        <v>222000</v>
      </c>
      <c r="M141" s="3184">
        <v>15220.06</v>
      </c>
      <c r="N141" s="3184">
        <f t="shared" si="2"/>
        <v>39632</v>
      </c>
      <c r="O141" s="3184" t="s">
        <v>2812</v>
      </c>
      <c r="P141" s="3184" t="s">
        <v>3078</v>
      </c>
    </row>
    <row r="142" spans="1:16" hidden="1">
      <c r="A142" s="3184" t="s">
        <v>3470</v>
      </c>
      <c r="B142" s="3184" t="s">
        <v>1943</v>
      </c>
      <c r="C142" s="3184" t="s">
        <v>3088</v>
      </c>
      <c r="D142" s="3184" t="s">
        <v>3161</v>
      </c>
      <c r="E142" s="3184">
        <v>233209.4</v>
      </c>
      <c r="F142" s="3184">
        <v>629170</v>
      </c>
      <c r="G142" s="3184">
        <v>2.7</v>
      </c>
      <c r="H142" s="3184" t="s">
        <v>2812</v>
      </c>
      <c r="I142" s="3184" t="s">
        <v>3471</v>
      </c>
      <c r="J142" s="3184" t="s">
        <v>3472</v>
      </c>
      <c r="K142" s="3184">
        <v>317350</v>
      </c>
      <c r="L142" s="3184">
        <v>335100</v>
      </c>
      <c r="M142" s="3184">
        <v>5326.06</v>
      </c>
      <c r="N142" s="3184">
        <f t="shared" si="2"/>
        <v>14369</v>
      </c>
      <c r="O142" s="3184">
        <v>5.59</v>
      </c>
      <c r="P142" s="3184" t="s">
        <v>3084</v>
      </c>
    </row>
    <row r="143" spans="1:16" hidden="1">
      <c r="A143" s="3184" t="s">
        <v>3473</v>
      </c>
      <c r="B143" s="3184" t="s">
        <v>1943</v>
      </c>
      <c r="C143" s="3184" t="s">
        <v>3088</v>
      </c>
      <c r="D143" s="3184" t="s">
        <v>3074</v>
      </c>
      <c r="E143" s="3184">
        <v>14449</v>
      </c>
      <c r="F143" s="3184">
        <v>36123</v>
      </c>
      <c r="G143" s="3184">
        <v>2.5</v>
      </c>
      <c r="H143" s="3184" t="s">
        <v>2812</v>
      </c>
      <c r="I143" s="3184" t="s">
        <v>3474</v>
      </c>
      <c r="J143" s="3184" t="s">
        <v>3475</v>
      </c>
      <c r="K143" s="3184">
        <v>24000</v>
      </c>
      <c r="L143" s="3184">
        <v>32400</v>
      </c>
      <c r="M143" s="3184">
        <v>8969.35</v>
      </c>
      <c r="N143" s="3184">
        <f t="shared" si="2"/>
        <v>22424</v>
      </c>
      <c r="O143" s="3184">
        <v>35</v>
      </c>
      <c r="P143" s="3184" t="s">
        <v>3084</v>
      </c>
    </row>
    <row r="144" spans="1:16" hidden="1">
      <c r="A144" s="3184" t="s">
        <v>3476</v>
      </c>
      <c r="B144" s="3184" t="s">
        <v>1943</v>
      </c>
      <c r="C144" s="3184" t="s">
        <v>3088</v>
      </c>
      <c r="D144" s="3184" t="s">
        <v>3161</v>
      </c>
      <c r="E144" s="3184">
        <v>58463.79</v>
      </c>
      <c r="F144" s="3184">
        <v>148097</v>
      </c>
      <c r="G144" s="3184">
        <v>2.5299999999999998</v>
      </c>
      <c r="H144" s="3184" t="s">
        <v>2812</v>
      </c>
      <c r="I144" s="3184" t="s">
        <v>3477</v>
      </c>
      <c r="J144" s="3184" t="s">
        <v>3478</v>
      </c>
      <c r="K144" s="3184">
        <v>94000</v>
      </c>
      <c r="L144" s="3184">
        <v>103667.89</v>
      </c>
      <c r="M144" s="3184">
        <v>7000</v>
      </c>
      <c r="N144" s="3184">
        <f t="shared" si="2"/>
        <v>17732</v>
      </c>
      <c r="O144" s="3184">
        <v>10.29</v>
      </c>
      <c r="P144" s="3184" t="s">
        <v>3084</v>
      </c>
    </row>
    <row r="145" spans="1:16" hidden="1">
      <c r="A145" s="3184" t="s">
        <v>3479</v>
      </c>
      <c r="B145" s="3184" t="s">
        <v>1943</v>
      </c>
      <c r="C145" s="3184" t="s">
        <v>3088</v>
      </c>
      <c r="D145" s="3184" t="s">
        <v>3161</v>
      </c>
      <c r="E145" s="3184">
        <v>117264.9</v>
      </c>
      <c r="F145" s="3184">
        <v>164171</v>
      </c>
      <c r="G145" s="3184">
        <v>1.4</v>
      </c>
      <c r="H145" s="3184" t="s">
        <v>2812</v>
      </c>
      <c r="I145" s="3184" t="s">
        <v>3480</v>
      </c>
      <c r="J145" s="3184" t="s">
        <v>3481</v>
      </c>
      <c r="K145" s="3184">
        <v>82100</v>
      </c>
      <c r="L145" s="3184">
        <v>100500</v>
      </c>
      <c r="M145" s="3184">
        <v>6121.67</v>
      </c>
      <c r="N145" s="3184">
        <f t="shared" si="2"/>
        <v>8570</v>
      </c>
      <c r="O145" s="3184">
        <v>22.41</v>
      </c>
      <c r="P145" s="3184" t="s">
        <v>3111</v>
      </c>
    </row>
    <row r="146" spans="1:16" hidden="1">
      <c r="A146" s="3184" t="s">
        <v>3482</v>
      </c>
      <c r="B146" s="3184" t="s">
        <v>1943</v>
      </c>
      <c r="C146" s="3184" t="s">
        <v>3073</v>
      </c>
      <c r="D146" s="3184" t="s">
        <v>3161</v>
      </c>
      <c r="E146" s="3184">
        <v>3983</v>
      </c>
      <c r="F146" s="3184">
        <v>8763</v>
      </c>
      <c r="G146" s="3184">
        <v>2.2000000000000002</v>
      </c>
      <c r="H146" s="3184" t="s">
        <v>2812</v>
      </c>
      <c r="I146" s="3184" t="s">
        <v>3480</v>
      </c>
      <c r="J146" s="3184" t="s">
        <v>3083</v>
      </c>
      <c r="K146" s="3184">
        <v>10800</v>
      </c>
      <c r="L146" s="3184">
        <v>13200</v>
      </c>
      <c r="M146" s="3184">
        <v>15063.32</v>
      </c>
      <c r="N146" s="3184">
        <f t="shared" si="2"/>
        <v>33141</v>
      </c>
      <c r="O146" s="3184">
        <v>22.22</v>
      </c>
      <c r="P146" s="3184" t="s">
        <v>3084</v>
      </c>
    </row>
    <row r="147" spans="1:16" hidden="1">
      <c r="A147" s="3184" t="s">
        <v>3483</v>
      </c>
      <c r="B147" s="3184" t="s">
        <v>1943</v>
      </c>
      <c r="C147" s="3184" t="s">
        <v>3073</v>
      </c>
      <c r="D147" s="3184" t="s">
        <v>3161</v>
      </c>
      <c r="E147" s="3184">
        <v>104814.9</v>
      </c>
      <c r="F147" s="3184">
        <v>186279</v>
      </c>
      <c r="G147" s="3184">
        <v>1.78</v>
      </c>
      <c r="H147" s="3184" t="s">
        <v>2812</v>
      </c>
      <c r="I147" s="3184" t="s">
        <v>3484</v>
      </c>
      <c r="J147" s="3184" t="s">
        <v>3485</v>
      </c>
      <c r="K147" s="3184" t="s">
        <v>2812</v>
      </c>
      <c r="L147" s="3184">
        <v>121090</v>
      </c>
      <c r="M147" s="3184">
        <v>6500.46</v>
      </c>
      <c r="N147" s="3184">
        <f t="shared" si="2"/>
        <v>11553</v>
      </c>
      <c r="O147" s="3184" t="s">
        <v>2812</v>
      </c>
      <c r="P147" s="3184" t="s">
        <v>3078</v>
      </c>
    </row>
    <row r="148" spans="1:16" hidden="1">
      <c r="A148" s="3184" t="s">
        <v>3486</v>
      </c>
      <c r="B148" s="3184" t="s">
        <v>1943</v>
      </c>
      <c r="C148" s="3184" t="s">
        <v>3073</v>
      </c>
      <c r="D148" s="3184" t="s">
        <v>3074</v>
      </c>
      <c r="E148" s="3184">
        <v>212138</v>
      </c>
      <c r="F148" s="3184">
        <v>271720</v>
      </c>
      <c r="G148" s="3184">
        <v>1.28</v>
      </c>
      <c r="H148" s="3184" t="s">
        <v>2812</v>
      </c>
      <c r="I148" s="3184" t="s">
        <v>3487</v>
      </c>
      <c r="J148" s="3184" t="s">
        <v>3488</v>
      </c>
      <c r="K148" s="3184">
        <v>160000</v>
      </c>
      <c r="L148" s="3184">
        <v>160000</v>
      </c>
      <c r="M148" s="3184">
        <v>5888.4</v>
      </c>
      <c r="N148" s="3184">
        <f t="shared" si="2"/>
        <v>7542</v>
      </c>
      <c r="O148" s="3184">
        <v>0</v>
      </c>
      <c r="P148" s="3184" t="s">
        <v>3111</v>
      </c>
    </row>
    <row r="149" spans="1:16" hidden="1">
      <c r="A149" s="3184" t="s">
        <v>3489</v>
      </c>
      <c r="B149" s="3184" t="s">
        <v>1943</v>
      </c>
      <c r="C149" s="3184" t="s">
        <v>3073</v>
      </c>
      <c r="D149" s="3184" t="s">
        <v>3074</v>
      </c>
      <c r="E149" s="3184">
        <v>29907</v>
      </c>
      <c r="F149" s="3184">
        <v>55332</v>
      </c>
      <c r="G149" s="3184" t="s">
        <v>2812</v>
      </c>
      <c r="H149" s="3184" t="s">
        <v>2812</v>
      </c>
      <c r="I149" s="3184" t="s">
        <v>3221</v>
      </c>
      <c r="J149" s="3184" t="s">
        <v>3490</v>
      </c>
      <c r="K149" s="3184">
        <v>38077</v>
      </c>
      <c r="L149" s="3184">
        <v>80000</v>
      </c>
      <c r="M149" s="3184">
        <v>14458.18</v>
      </c>
      <c r="N149" s="3184">
        <f t="shared" si="2"/>
        <v>26750</v>
      </c>
      <c r="O149" s="3184">
        <v>110.1</v>
      </c>
      <c r="P149" s="3184" t="s">
        <v>3084</v>
      </c>
    </row>
    <row r="150" spans="1:16" hidden="1">
      <c r="A150" s="3184" t="s">
        <v>3491</v>
      </c>
      <c r="B150" s="3184" t="s">
        <v>1943</v>
      </c>
      <c r="C150" s="3184" t="s">
        <v>3073</v>
      </c>
      <c r="D150" s="3184" t="s">
        <v>3074</v>
      </c>
      <c r="E150" s="3184">
        <v>22300</v>
      </c>
      <c r="F150" s="3184">
        <v>47276</v>
      </c>
      <c r="G150" s="3184" t="s">
        <v>2812</v>
      </c>
      <c r="H150" s="3184" t="s">
        <v>2812</v>
      </c>
      <c r="I150" s="3184" t="s">
        <v>3492</v>
      </c>
      <c r="J150" s="3184" t="s">
        <v>3493</v>
      </c>
      <c r="K150" s="3184">
        <v>33100</v>
      </c>
      <c r="L150" s="3184">
        <v>72000</v>
      </c>
      <c r="M150" s="3184">
        <v>15229.7</v>
      </c>
      <c r="N150" s="3184">
        <f t="shared" si="2"/>
        <v>32287</v>
      </c>
      <c r="O150" s="3184">
        <v>117.52</v>
      </c>
      <c r="P150" s="3184" t="s">
        <v>3084</v>
      </c>
    </row>
    <row r="151" spans="1:16" hidden="1">
      <c r="A151" s="3184" t="s">
        <v>3494</v>
      </c>
      <c r="B151" s="3184" t="s">
        <v>1943</v>
      </c>
      <c r="C151" s="3184" t="s">
        <v>3073</v>
      </c>
      <c r="D151" s="3184" t="s">
        <v>3074</v>
      </c>
      <c r="E151" s="3184">
        <v>199465.5</v>
      </c>
      <c r="F151" s="3184">
        <v>348037.9</v>
      </c>
      <c r="G151" s="3184" t="s">
        <v>2812</v>
      </c>
      <c r="H151" s="3184" t="s">
        <v>2812</v>
      </c>
      <c r="I151" s="3184" t="s">
        <v>3492</v>
      </c>
      <c r="J151" s="3184" t="s">
        <v>3495</v>
      </c>
      <c r="K151" s="3184">
        <v>202500</v>
      </c>
      <c r="L151" s="3184">
        <v>597000</v>
      </c>
      <c r="M151" s="3184">
        <v>17153.29</v>
      </c>
      <c r="N151" s="3184">
        <f t="shared" si="2"/>
        <v>29930</v>
      </c>
      <c r="O151" s="3184">
        <v>194.81</v>
      </c>
      <c r="P151" s="3184" t="s">
        <v>3084</v>
      </c>
    </row>
    <row r="152" spans="1:16" hidden="1">
      <c r="A152" s="3184" t="s">
        <v>3496</v>
      </c>
      <c r="B152" s="3184" t="s">
        <v>1943</v>
      </c>
      <c r="C152" s="3184" t="s">
        <v>3088</v>
      </c>
      <c r="D152" s="3184" t="s">
        <v>3074</v>
      </c>
      <c r="E152" s="3184">
        <v>99048.13</v>
      </c>
      <c r="F152" s="3184">
        <v>247620.3</v>
      </c>
      <c r="G152" s="3184" t="s">
        <v>2812</v>
      </c>
      <c r="H152" s="3184" t="s">
        <v>2812</v>
      </c>
      <c r="I152" s="3184" t="s">
        <v>3497</v>
      </c>
      <c r="J152" s="3184" t="s">
        <v>3498</v>
      </c>
      <c r="K152" s="3184">
        <v>127075</v>
      </c>
      <c r="L152" s="3184">
        <v>198500</v>
      </c>
      <c r="M152" s="3184">
        <v>8016.31</v>
      </c>
      <c r="N152" s="3184">
        <f t="shared" si="2"/>
        <v>20041</v>
      </c>
      <c r="O152" s="3184">
        <v>56.21</v>
      </c>
      <c r="P152" s="3184" t="s">
        <v>3084</v>
      </c>
    </row>
    <row r="153" spans="1:16" hidden="1">
      <c r="A153" s="3184" t="s">
        <v>3499</v>
      </c>
      <c r="B153" s="3184" t="s">
        <v>1943</v>
      </c>
      <c r="C153" s="3184" t="s">
        <v>3073</v>
      </c>
      <c r="D153" s="3184" t="s">
        <v>3074</v>
      </c>
      <c r="E153" s="3184">
        <v>204989</v>
      </c>
      <c r="F153" s="3184">
        <v>245219.4</v>
      </c>
      <c r="G153" s="3184" t="s">
        <v>2812</v>
      </c>
      <c r="H153" s="3184" t="s">
        <v>2812</v>
      </c>
      <c r="I153" s="3184" t="s">
        <v>3230</v>
      </c>
      <c r="J153" s="3184" t="s">
        <v>3500</v>
      </c>
      <c r="K153" s="3184">
        <v>53313</v>
      </c>
      <c r="L153" s="3184">
        <v>282000</v>
      </c>
      <c r="M153" s="3184">
        <v>11499.9</v>
      </c>
      <c r="N153" s="3184">
        <f t="shared" si="2"/>
        <v>13757</v>
      </c>
      <c r="O153" s="3184">
        <v>428.95</v>
      </c>
      <c r="P153" s="3184" t="s">
        <v>3111</v>
      </c>
    </row>
    <row r="154" spans="1:16">
      <c r="A154" s="3184" t="s">
        <v>3049</v>
      </c>
      <c r="B154" s="3184" t="s">
        <v>3050</v>
      </c>
      <c r="C154" s="3184" t="s">
        <v>3051</v>
      </c>
      <c r="D154" s="3184" t="s">
        <v>3052</v>
      </c>
      <c r="E154" s="3184" t="s">
        <v>3053</v>
      </c>
      <c r="F154" s="3184" t="s">
        <v>3054</v>
      </c>
      <c r="G154" s="3184" t="s">
        <v>2028</v>
      </c>
      <c r="H154" s="3184" t="s">
        <v>3055</v>
      </c>
      <c r="I154" s="3184" t="s">
        <v>3056</v>
      </c>
      <c r="J154" s="3184" t="s">
        <v>3057</v>
      </c>
      <c r="K154" s="3184" t="s">
        <v>3058</v>
      </c>
      <c r="L154" s="3184" t="s">
        <v>3059</v>
      </c>
      <c r="M154" s="3184" t="s">
        <v>3060</v>
      </c>
      <c r="N154" s="3184" t="e">
        <f t="shared" si="2"/>
        <v>#VALUE!</v>
      </c>
      <c r="O154" s="3184" t="s">
        <v>3062</v>
      </c>
      <c r="P154" s="3184" t="s">
        <v>3063</v>
      </c>
    </row>
    <row r="155" spans="1:16" s="3191" customFormat="1">
      <c r="A155" s="3190" t="s">
        <v>3501</v>
      </c>
      <c r="B155" s="3190" t="s">
        <v>1943</v>
      </c>
      <c r="C155" s="3190" t="s">
        <v>3073</v>
      </c>
      <c r="D155" s="3190" t="s">
        <v>3074</v>
      </c>
      <c r="E155" s="3190">
        <v>34507.51</v>
      </c>
      <c r="F155" s="3190">
        <v>94282.53</v>
      </c>
      <c r="G155" s="3190" t="s">
        <v>3502</v>
      </c>
      <c r="H155" s="3190" t="s">
        <v>2812</v>
      </c>
      <c r="I155" s="3190" t="s">
        <v>3090</v>
      </c>
      <c r="J155" s="3190" t="s">
        <v>3503</v>
      </c>
      <c r="K155" s="3190">
        <v>256450</v>
      </c>
      <c r="L155" s="3190">
        <v>256450</v>
      </c>
      <c r="M155" s="3190">
        <v>27200.15</v>
      </c>
      <c r="N155" s="3190">
        <f t="shared" si="2"/>
        <v>74317</v>
      </c>
      <c r="O155" s="3190">
        <v>0</v>
      </c>
      <c r="P155" s="3190" t="s">
        <v>3078</v>
      </c>
    </row>
    <row r="156" spans="1:16" s="3191" customFormat="1">
      <c r="A156" s="3190" t="s">
        <v>3504</v>
      </c>
      <c r="B156" s="3190" t="s">
        <v>1943</v>
      </c>
      <c r="C156" s="3190" t="s">
        <v>3073</v>
      </c>
      <c r="D156" s="3190" t="s">
        <v>3161</v>
      </c>
      <c r="E156" s="3190">
        <v>14680.08</v>
      </c>
      <c r="F156" s="3190">
        <v>31629</v>
      </c>
      <c r="G156" s="3190">
        <v>2.15</v>
      </c>
      <c r="H156" s="3190" t="s">
        <v>2812</v>
      </c>
      <c r="I156" s="3190" t="s">
        <v>3505</v>
      </c>
      <c r="J156" s="3190" t="s">
        <v>3506</v>
      </c>
      <c r="K156" s="3190" t="s">
        <v>2812</v>
      </c>
      <c r="L156" s="3190">
        <v>76000</v>
      </c>
      <c r="M156" s="3190">
        <v>24028.58</v>
      </c>
      <c r="N156" s="3190">
        <f t="shared" si="2"/>
        <v>51771</v>
      </c>
      <c r="O156" s="3190" t="s">
        <v>2812</v>
      </c>
      <c r="P156" s="3190" t="s">
        <v>3084</v>
      </c>
    </row>
    <row r="157" spans="1:16" s="3195" customFormat="1">
      <c r="A157" s="3194" t="s">
        <v>3507</v>
      </c>
      <c r="B157" s="3194" t="s">
        <v>1943</v>
      </c>
      <c r="C157" s="3194" t="s">
        <v>3073</v>
      </c>
      <c r="D157" s="3194" t="s">
        <v>3161</v>
      </c>
      <c r="E157" s="3194">
        <v>239378.2</v>
      </c>
      <c r="F157" s="3194">
        <v>302600</v>
      </c>
      <c r="G157" s="3194">
        <v>1.26</v>
      </c>
      <c r="H157" s="3194" t="s">
        <v>2812</v>
      </c>
      <c r="I157" s="3194" t="s">
        <v>3505</v>
      </c>
      <c r="J157" s="3194" t="s">
        <v>3508</v>
      </c>
      <c r="K157" s="3194" t="s">
        <v>2812</v>
      </c>
      <c r="L157" s="3194">
        <v>630000</v>
      </c>
      <c r="M157" s="3194">
        <v>20819.560000000001</v>
      </c>
      <c r="N157" s="3194">
        <f t="shared" si="2"/>
        <v>26318</v>
      </c>
      <c r="O157" s="3194" t="s">
        <v>2812</v>
      </c>
      <c r="P157" s="3194" t="s">
        <v>3111</v>
      </c>
    </row>
    <row r="158" spans="1:16" s="3191" customFormat="1">
      <c r="A158" s="3190" t="s">
        <v>3509</v>
      </c>
      <c r="B158" s="3190" t="s">
        <v>1943</v>
      </c>
      <c r="C158" s="3190" t="s">
        <v>3073</v>
      </c>
      <c r="D158" s="3190" t="s">
        <v>3161</v>
      </c>
      <c r="E158" s="3190">
        <v>68981.53</v>
      </c>
      <c r="F158" s="3190">
        <v>141907</v>
      </c>
      <c r="G158" s="3190">
        <v>2.06</v>
      </c>
      <c r="H158" s="3190" t="s">
        <v>2812</v>
      </c>
      <c r="I158" s="3190" t="s">
        <v>3505</v>
      </c>
      <c r="J158" s="3190" t="s">
        <v>3506</v>
      </c>
      <c r="K158" s="3190" t="s">
        <v>2812</v>
      </c>
      <c r="L158" s="3190">
        <v>389000</v>
      </c>
      <c r="M158" s="3190">
        <v>27412.31</v>
      </c>
      <c r="N158" s="3190">
        <f t="shared" si="2"/>
        <v>56392</v>
      </c>
      <c r="O158" s="3190" t="s">
        <v>2812</v>
      </c>
      <c r="P158" s="3190" t="s">
        <v>3084</v>
      </c>
    </row>
    <row r="159" spans="1:16">
      <c r="A159" s="3184" t="s">
        <v>3510</v>
      </c>
      <c r="B159" s="3184" t="s">
        <v>1943</v>
      </c>
      <c r="C159" s="3184" t="s">
        <v>3088</v>
      </c>
      <c r="D159" s="3184" t="s">
        <v>3074</v>
      </c>
      <c r="E159" s="3184">
        <v>74772.84</v>
      </c>
      <c r="F159" s="3184">
        <v>134591</v>
      </c>
      <c r="G159" s="3184">
        <v>1.8</v>
      </c>
      <c r="H159" s="3184" t="s">
        <v>2812</v>
      </c>
      <c r="I159" s="3184" t="s">
        <v>3246</v>
      </c>
      <c r="J159" s="3184" t="s">
        <v>3423</v>
      </c>
      <c r="K159" s="3184">
        <v>472300</v>
      </c>
      <c r="L159" s="3184">
        <v>550000</v>
      </c>
      <c r="M159" s="3184">
        <v>40864.550000000003</v>
      </c>
      <c r="N159" s="3184">
        <f t="shared" si="2"/>
        <v>73556</v>
      </c>
      <c r="O159" s="3184">
        <v>16.45</v>
      </c>
      <c r="P159" s="3184" t="s">
        <v>3111</v>
      </c>
    </row>
    <row r="160" spans="1:16">
      <c r="A160" s="3184" t="s">
        <v>3511</v>
      </c>
      <c r="B160" s="3184" t="s">
        <v>1943</v>
      </c>
      <c r="C160" s="3184" t="s">
        <v>3088</v>
      </c>
      <c r="D160" s="3184" t="s">
        <v>3161</v>
      </c>
      <c r="E160" s="3184">
        <v>6180.98</v>
      </c>
      <c r="F160" s="3184">
        <v>32400</v>
      </c>
      <c r="G160" s="3184">
        <v>5.24</v>
      </c>
      <c r="H160" s="3184" t="s">
        <v>3377</v>
      </c>
      <c r="I160" s="3184" t="s">
        <v>3512</v>
      </c>
      <c r="J160" s="3184" t="s">
        <v>3513</v>
      </c>
      <c r="K160" s="3184" t="s">
        <v>2812</v>
      </c>
      <c r="L160" s="3184" t="s">
        <v>2812</v>
      </c>
      <c r="M160" s="3184" t="s">
        <v>2812</v>
      </c>
      <c r="N160" s="3184" t="e">
        <f t="shared" si="2"/>
        <v>#VALUE!</v>
      </c>
      <c r="O160" s="3184" t="s">
        <v>2812</v>
      </c>
      <c r="P160" s="3184" t="s">
        <v>3084</v>
      </c>
    </row>
    <row r="161" spans="1:16">
      <c r="A161" s="3184" t="s">
        <v>3514</v>
      </c>
      <c r="B161" s="3184" t="s">
        <v>1943</v>
      </c>
      <c r="C161" s="3184" t="s">
        <v>3073</v>
      </c>
      <c r="D161" s="3184" t="s">
        <v>3074</v>
      </c>
      <c r="E161" s="3184">
        <v>105309.9</v>
      </c>
      <c r="F161" s="3184">
        <v>201320</v>
      </c>
      <c r="G161" s="3184">
        <v>1.9116899999999999</v>
      </c>
      <c r="H161" s="3184" t="s">
        <v>2812</v>
      </c>
      <c r="I161" s="3184" t="s">
        <v>3515</v>
      </c>
      <c r="J161" s="3184" t="s">
        <v>3516</v>
      </c>
      <c r="K161" s="3184">
        <v>692500</v>
      </c>
      <c r="L161" s="3184">
        <v>762000</v>
      </c>
      <c r="M161" s="3184">
        <v>37850.19</v>
      </c>
      <c r="N161" s="3184">
        <f t="shared" si="2"/>
        <v>72358</v>
      </c>
      <c r="O161" s="3184">
        <v>10.039999999999999</v>
      </c>
      <c r="P161" s="3184" t="s">
        <v>3111</v>
      </c>
    </row>
    <row r="162" spans="1:16">
      <c r="A162" s="3184" t="s">
        <v>3517</v>
      </c>
      <c r="B162" s="3184" t="s">
        <v>1943</v>
      </c>
      <c r="C162" s="3184" t="s">
        <v>3088</v>
      </c>
      <c r="D162" s="3184" t="s">
        <v>3074</v>
      </c>
      <c r="E162" s="3184">
        <v>84786.55</v>
      </c>
      <c r="F162" s="3184">
        <v>186530</v>
      </c>
      <c r="G162" s="3184">
        <v>2.2000000000000002</v>
      </c>
      <c r="H162" s="3184" t="s">
        <v>2812</v>
      </c>
      <c r="I162" s="3184" t="s">
        <v>3126</v>
      </c>
      <c r="J162" s="3184" t="s">
        <v>3518</v>
      </c>
      <c r="K162" s="3184">
        <v>532800</v>
      </c>
      <c r="L162" s="3184">
        <v>535500</v>
      </c>
      <c r="M162" s="3184">
        <v>28708.52</v>
      </c>
      <c r="N162" s="3184">
        <f t="shared" si="2"/>
        <v>63159</v>
      </c>
      <c r="O162" s="3184">
        <v>0.51</v>
      </c>
      <c r="P162" s="3184" t="s">
        <v>3111</v>
      </c>
    </row>
    <row r="163" spans="1:16">
      <c r="A163" s="3184" t="s">
        <v>3519</v>
      </c>
      <c r="B163" s="3184" t="s">
        <v>1943</v>
      </c>
      <c r="C163" s="3184" t="s">
        <v>3088</v>
      </c>
      <c r="D163" s="3184" t="s">
        <v>3074</v>
      </c>
      <c r="E163" s="3184">
        <v>10423.85</v>
      </c>
      <c r="F163" s="3184">
        <v>31272</v>
      </c>
      <c r="G163" s="3184">
        <v>3</v>
      </c>
      <c r="H163" s="3184" t="s">
        <v>2812</v>
      </c>
      <c r="I163" s="3184" t="s">
        <v>3520</v>
      </c>
      <c r="J163" s="3184" t="s">
        <v>3521</v>
      </c>
      <c r="K163" s="3184">
        <v>123600</v>
      </c>
      <c r="L163" s="3184">
        <v>165000</v>
      </c>
      <c r="M163" s="3184">
        <v>52762.84</v>
      </c>
      <c r="N163" s="3184">
        <f t="shared" si="2"/>
        <v>158291</v>
      </c>
      <c r="O163" s="3184">
        <v>33.5</v>
      </c>
      <c r="P163" s="3184" t="s">
        <v>3084</v>
      </c>
    </row>
    <row r="164" spans="1:16">
      <c r="A164" s="3184" t="s">
        <v>3522</v>
      </c>
      <c r="B164" s="3184" t="s">
        <v>1943</v>
      </c>
      <c r="C164" s="3184" t="s">
        <v>3088</v>
      </c>
      <c r="D164" s="3184" t="s">
        <v>3074</v>
      </c>
      <c r="E164" s="3184">
        <v>82336.42</v>
      </c>
      <c r="F164" s="3184">
        <v>139022</v>
      </c>
      <c r="G164" s="3184" t="s">
        <v>3523</v>
      </c>
      <c r="H164" s="3184" t="s">
        <v>2812</v>
      </c>
      <c r="I164" s="3184" t="s">
        <v>3524</v>
      </c>
      <c r="J164" s="3184" t="s">
        <v>3525</v>
      </c>
      <c r="K164" s="3184">
        <v>484000</v>
      </c>
      <c r="L164" s="3184">
        <v>580800</v>
      </c>
      <c r="M164" s="3184">
        <v>41777.550000000003</v>
      </c>
      <c r="N164" s="3184">
        <f t="shared" si="2"/>
        <v>70540</v>
      </c>
      <c r="O164" s="3184">
        <v>20</v>
      </c>
      <c r="P164" s="3184" t="s">
        <v>3111</v>
      </c>
    </row>
    <row r="165" spans="1:16">
      <c r="A165" s="3184" t="s">
        <v>3526</v>
      </c>
      <c r="B165" s="3184" t="s">
        <v>1943</v>
      </c>
      <c r="C165" s="3184" t="s">
        <v>3088</v>
      </c>
      <c r="D165" s="3184" t="s">
        <v>3074</v>
      </c>
      <c r="E165" s="3184">
        <v>54881.23</v>
      </c>
      <c r="F165" s="3184">
        <v>104288</v>
      </c>
      <c r="G165" s="3184" t="s">
        <v>3527</v>
      </c>
      <c r="H165" s="3184" t="s">
        <v>3377</v>
      </c>
      <c r="I165" s="3184" t="s">
        <v>3524</v>
      </c>
      <c r="J165" s="3184" t="s">
        <v>3528</v>
      </c>
      <c r="K165" s="3184">
        <v>157000</v>
      </c>
      <c r="L165" s="3184">
        <v>180550</v>
      </c>
      <c r="M165" s="3184">
        <v>17312.63</v>
      </c>
      <c r="N165" s="3184">
        <f t="shared" si="2"/>
        <v>32898</v>
      </c>
      <c r="O165" s="3184">
        <v>15</v>
      </c>
      <c r="P165" s="3184" t="s">
        <v>3251</v>
      </c>
    </row>
    <row r="166" spans="1:16">
      <c r="A166" s="3184" t="s">
        <v>3529</v>
      </c>
      <c r="B166" s="3184" t="s">
        <v>1943</v>
      </c>
      <c r="C166" s="3184" t="s">
        <v>3088</v>
      </c>
      <c r="D166" s="3184" t="s">
        <v>3074</v>
      </c>
      <c r="E166" s="3184">
        <v>83549.62</v>
      </c>
      <c r="F166" s="3184">
        <v>138825</v>
      </c>
      <c r="G166" s="3184">
        <v>1.66</v>
      </c>
      <c r="H166" s="3184" t="s">
        <v>2812</v>
      </c>
      <c r="I166" s="3184" t="s">
        <v>3530</v>
      </c>
      <c r="J166" s="3184" t="s">
        <v>3475</v>
      </c>
      <c r="K166" s="3184">
        <v>384000</v>
      </c>
      <c r="L166" s="3184">
        <v>500000</v>
      </c>
      <c r="M166" s="3184">
        <v>36016.559999999998</v>
      </c>
      <c r="N166" s="3184">
        <f t="shared" si="2"/>
        <v>59845</v>
      </c>
      <c r="O166" s="3184">
        <v>30.21</v>
      </c>
      <c r="P166" s="3184" t="s">
        <v>3111</v>
      </c>
    </row>
    <row r="167" spans="1:16">
      <c r="A167" s="3184" t="s">
        <v>3531</v>
      </c>
      <c r="B167" s="3184" t="s">
        <v>1943</v>
      </c>
      <c r="C167" s="3184" t="s">
        <v>3073</v>
      </c>
      <c r="D167" s="3184" t="s">
        <v>3074</v>
      </c>
      <c r="E167" s="3184">
        <v>85584.57</v>
      </c>
      <c r="F167" s="3184">
        <v>162894</v>
      </c>
      <c r="G167" s="3184">
        <v>1.9</v>
      </c>
      <c r="H167" s="3184" t="s">
        <v>2812</v>
      </c>
      <c r="I167" s="3184" t="s">
        <v>3530</v>
      </c>
      <c r="J167" s="3184" t="s">
        <v>3532</v>
      </c>
      <c r="K167" s="3184">
        <v>440000</v>
      </c>
      <c r="L167" s="3184">
        <v>590000</v>
      </c>
      <c r="M167" s="3184">
        <v>36219.870000000003</v>
      </c>
      <c r="N167" s="3184">
        <f t="shared" si="2"/>
        <v>68938</v>
      </c>
      <c r="O167" s="3184">
        <v>34.090000000000003</v>
      </c>
      <c r="P167" s="3184" t="s">
        <v>3251</v>
      </c>
    </row>
    <row r="168" spans="1:16">
      <c r="A168" s="3184" t="s">
        <v>3533</v>
      </c>
      <c r="B168" s="3184" t="s">
        <v>1943</v>
      </c>
      <c r="C168" s="3184" t="s">
        <v>3073</v>
      </c>
      <c r="D168" s="3184" t="s">
        <v>3074</v>
      </c>
      <c r="E168" s="3184">
        <v>84241.64</v>
      </c>
      <c r="F168" s="3184">
        <v>183336</v>
      </c>
      <c r="G168" s="3184">
        <v>2.1800000000000002</v>
      </c>
      <c r="H168" s="3184" t="s">
        <v>2812</v>
      </c>
      <c r="I168" s="3184" t="s">
        <v>3534</v>
      </c>
      <c r="J168" s="3184" t="s">
        <v>3535</v>
      </c>
      <c r="K168" s="3184">
        <v>390000</v>
      </c>
      <c r="L168" s="3184">
        <v>576000</v>
      </c>
      <c r="M168" s="3184">
        <v>31417.72</v>
      </c>
      <c r="N168" s="3184">
        <f t="shared" si="2"/>
        <v>68375</v>
      </c>
      <c r="O168" s="3184">
        <v>47.69</v>
      </c>
      <c r="P168" s="3184" t="s">
        <v>3251</v>
      </c>
    </row>
    <row r="169" spans="1:16">
      <c r="A169" s="3184" t="s">
        <v>3536</v>
      </c>
      <c r="B169" s="3184" t="s">
        <v>1943</v>
      </c>
      <c r="C169" s="3184" t="s">
        <v>3088</v>
      </c>
      <c r="D169" s="3184" t="s">
        <v>3074</v>
      </c>
      <c r="E169" s="3184">
        <v>43356.75</v>
      </c>
      <c r="F169" s="3184">
        <v>91049</v>
      </c>
      <c r="G169" s="3184">
        <v>2.1</v>
      </c>
      <c r="H169" s="3184" t="s">
        <v>3141</v>
      </c>
      <c r="I169" s="3184" t="s">
        <v>3537</v>
      </c>
      <c r="J169" s="3184" t="s">
        <v>3381</v>
      </c>
      <c r="K169" s="3184">
        <v>199000</v>
      </c>
      <c r="L169" s="3184">
        <v>215000</v>
      </c>
      <c r="M169" s="3184">
        <v>23613.65</v>
      </c>
      <c r="N169" s="3184">
        <f t="shared" si="2"/>
        <v>49589</v>
      </c>
      <c r="O169" s="3184">
        <v>8.0399999999999991</v>
      </c>
      <c r="P169" s="3184" t="s">
        <v>3251</v>
      </c>
    </row>
    <row r="170" spans="1:16">
      <c r="A170" s="3184" t="s">
        <v>3538</v>
      </c>
      <c r="B170" s="3184" t="s">
        <v>1943</v>
      </c>
      <c r="C170" s="3184" t="s">
        <v>3073</v>
      </c>
      <c r="D170" s="3184" t="s">
        <v>3074</v>
      </c>
      <c r="E170" s="3184">
        <v>65219.27</v>
      </c>
      <c r="F170" s="3184">
        <v>208702</v>
      </c>
      <c r="G170" s="3184">
        <v>3.2</v>
      </c>
      <c r="H170" s="3184" t="s">
        <v>3141</v>
      </c>
      <c r="I170" s="3184" t="s">
        <v>3539</v>
      </c>
      <c r="J170" s="3184" t="s">
        <v>3540</v>
      </c>
      <c r="K170" s="3184">
        <v>378700</v>
      </c>
      <c r="L170" s="3184">
        <v>564000</v>
      </c>
      <c r="M170" s="3184">
        <v>27024.18</v>
      </c>
      <c r="N170" s="3184">
        <f t="shared" si="2"/>
        <v>86478</v>
      </c>
      <c r="O170" s="3184">
        <v>48.93</v>
      </c>
      <c r="P170" s="3184" t="s">
        <v>3111</v>
      </c>
    </row>
    <row r="171" spans="1:16">
      <c r="A171" s="3184" t="s">
        <v>3541</v>
      </c>
      <c r="B171" s="3184" t="s">
        <v>1943</v>
      </c>
      <c r="C171" s="3184" t="s">
        <v>3073</v>
      </c>
      <c r="D171" s="3184" t="s">
        <v>3074</v>
      </c>
      <c r="E171" s="3184">
        <v>5378.6</v>
      </c>
      <c r="F171" s="3184">
        <v>16136</v>
      </c>
      <c r="G171" s="3184">
        <v>3</v>
      </c>
      <c r="H171" s="3184" t="s">
        <v>2812</v>
      </c>
      <c r="I171" s="3184" t="s">
        <v>3542</v>
      </c>
      <c r="J171" s="3184" t="s">
        <v>3543</v>
      </c>
      <c r="K171" s="3184">
        <v>60000</v>
      </c>
      <c r="L171" s="3184">
        <v>60900</v>
      </c>
      <c r="M171" s="3184">
        <v>37741.69</v>
      </c>
      <c r="N171" s="3184">
        <f t="shared" si="2"/>
        <v>113226</v>
      </c>
      <c r="O171" s="3184">
        <v>1.5</v>
      </c>
      <c r="P171" s="3184" t="s">
        <v>3084</v>
      </c>
    </row>
    <row r="172" spans="1:16">
      <c r="A172" s="3184" t="s">
        <v>3544</v>
      </c>
      <c r="B172" s="3184" t="s">
        <v>1943</v>
      </c>
      <c r="C172" s="3184" t="s">
        <v>3088</v>
      </c>
      <c r="D172" s="3184" t="s">
        <v>3161</v>
      </c>
      <c r="E172" s="3184">
        <v>83231.570000000007</v>
      </c>
      <c r="F172" s="3184">
        <v>183109</v>
      </c>
      <c r="G172" s="3184">
        <v>2.2000000000000002</v>
      </c>
      <c r="H172" s="3184" t="s">
        <v>2812</v>
      </c>
      <c r="I172" s="3184" t="s">
        <v>3545</v>
      </c>
      <c r="J172" s="3184" t="s">
        <v>3546</v>
      </c>
      <c r="K172" s="3184" t="s">
        <v>2812</v>
      </c>
      <c r="L172" s="3184">
        <v>222500</v>
      </c>
      <c r="M172" s="3184">
        <v>12151.22</v>
      </c>
      <c r="N172" s="3184">
        <f t="shared" si="2"/>
        <v>26733</v>
      </c>
      <c r="O172" s="3184" t="s">
        <v>2812</v>
      </c>
      <c r="P172" s="3184" t="s">
        <v>3251</v>
      </c>
    </row>
    <row r="173" spans="1:16">
      <c r="A173" s="3184" t="s">
        <v>3547</v>
      </c>
      <c r="B173" s="3184" t="s">
        <v>1943</v>
      </c>
      <c r="C173" s="3184" t="s">
        <v>3088</v>
      </c>
      <c r="D173" s="3184" t="s">
        <v>3074</v>
      </c>
      <c r="E173" s="3184">
        <v>13025</v>
      </c>
      <c r="F173" s="3184">
        <v>27353</v>
      </c>
      <c r="G173" s="3184">
        <v>2.1</v>
      </c>
      <c r="H173" s="3184" t="s">
        <v>3141</v>
      </c>
      <c r="I173" s="3184" t="s">
        <v>3188</v>
      </c>
      <c r="J173" s="3184" t="s">
        <v>3548</v>
      </c>
      <c r="K173" s="3184">
        <v>45000</v>
      </c>
      <c r="L173" s="3184">
        <v>54000</v>
      </c>
      <c r="M173" s="3184">
        <v>19741.88</v>
      </c>
      <c r="N173" s="3184">
        <f t="shared" si="2"/>
        <v>41459</v>
      </c>
      <c r="O173" s="3184">
        <v>20</v>
      </c>
      <c r="P173" s="3184" t="s">
        <v>3084</v>
      </c>
    </row>
    <row r="174" spans="1:16">
      <c r="A174" s="3184" t="s">
        <v>3549</v>
      </c>
      <c r="B174" s="3184" t="s">
        <v>1943</v>
      </c>
      <c r="C174" s="3184" t="s">
        <v>3073</v>
      </c>
      <c r="D174" s="3184" t="s">
        <v>3074</v>
      </c>
      <c r="E174" s="3184">
        <v>61062.71</v>
      </c>
      <c r="F174" s="3184">
        <v>97511</v>
      </c>
      <c r="G174" s="3184">
        <v>1.6</v>
      </c>
      <c r="H174" s="3184" t="s">
        <v>3145</v>
      </c>
      <c r="I174" s="3184" t="s">
        <v>3550</v>
      </c>
      <c r="J174" s="3184" t="s">
        <v>3319</v>
      </c>
      <c r="K174" s="3184">
        <v>96000</v>
      </c>
      <c r="L174" s="3184">
        <v>181000</v>
      </c>
      <c r="M174" s="3184">
        <v>18562</v>
      </c>
      <c r="N174" s="3184">
        <f t="shared" si="2"/>
        <v>29642</v>
      </c>
      <c r="O174" s="3184">
        <v>88.54</v>
      </c>
      <c r="P174" s="3184" t="s">
        <v>3078</v>
      </c>
    </row>
    <row r="175" spans="1:16">
      <c r="A175" s="3184" t="s">
        <v>3551</v>
      </c>
      <c r="B175" s="3184" t="s">
        <v>1943</v>
      </c>
      <c r="C175" s="3184" t="s">
        <v>3073</v>
      </c>
      <c r="D175" s="3184" t="s">
        <v>3161</v>
      </c>
      <c r="E175" s="3184">
        <v>159082</v>
      </c>
      <c r="F175" s="3184">
        <v>329900</v>
      </c>
      <c r="G175" s="3184">
        <v>2.08</v>
      </c>
      <c r="H175" s="3184" t="s">
        <v>2812</v>
      </c>
      <c r="I175" s="3184" t="s">
        <v>3552</v>
      </c>
      <c r="J175" s="3184" t="s">
        <v>3553</v>
      </c>
      <c r="K175" s="3184" t="s">
        <v>2812</v>
      </c>
      <c r="L175" s="3184">
        <v>465000</v>
      </c>
      <c r="M175" s="3184">
        <v>14095.18</v>
      </c>
      <c r="N175" s="3184">
        <f t="shared" si="2"/>
        <v>29230</v>
      </c>
      <c r="O175" s="3184" t="s">
        <v>2812</v>
      </c>
      <c r="P175" s="3184" t="s">
        <v>3084</v>
      </c>
    </row>
    <row r="176" spans="1:16">
      <c r="A176" s="3184" t="s">
        <v>3554</v>
      </c>
      <c r="B176" s="3184" t="s">
        <v>1943</v>
      </c>
      <c r="C176" s="3184" t="s">
        <v>3088</v>
      </c>
      <c r="D176" s="3184" t="s">
        <v>3074</v>
      </c>
      <c r="E176" s="3184">
        <v>38869.64</v>
      </c>
      <c r="F176" s="3184">
        <v>77739</v>
      </c>
      <c r="G176" s="3184">
        <v>2</v>
      </c>
      <c r="H176" s="3184" t="s">
        <v>2812</v>
      </c>
      <c r="I176" s="3184" t="s">
        <v>3555</v>
      </c>
      <c r="J176" s="3184" t="s">
        <v>3556</v>
      </c>
      <c r="K176" s="3184">
        <v>186600</v>
      </c>
      <c r="L176" s="3184">
        <v>263000</v>
      </c>
      <c r="M176" s="3184">
        <v>33831.15</v>
      </c>
      <c r="N176" s="3184">
        <f t="shared" si="2"/>
        <v>67662</v>
      </c>
      <c r="O176" s="3184">
        <v>40.94</v>
      </c>
      <c r="P176" s="3184" t="s">
        <v>3084</v>
      </c>
    </row>
    <row r="177" spans="1:16">
      <c r="A177" s="3184" t="s">
        <v>3557</v>
      </c>
      <c r="B177" s="3184" t="s">
        <v>1943</v>
      </c>
      <c r="C177" s="3184" t="s">
        <v>3073</v>
      </c>
      <c r="D177" s="3184" t="s">
        <v>3161</v>
      </c>
      <c r="E177" s="3184">
        <v>65863.199999999997</v>
      </c>
      <c r="F177" s="3184">
        <v>141368</v>
      </c>
      <c r="G177" s="3184">
        <v>2.15</v>
      </c>
      <c r="H177" s="3184" t="s">
        <v>2812</v>
      </c>
      <c r="I177" s="3184" t="s">
        <v>3558</v>
      </c>
      <c r="J177" s="3184" t="s">
        <v>3559</v>
      </c>
      <c r="K177" s="3184">
        <v>65123</v>
      </c>
      <c r="L177" s="3184">
        <v>66100</v>
      </c>
      <c r="M177" s="3184">
        <v>4675.7299999999996</v>
      </c>
      <c r="N177" s="3184">
        <f t="shared" si="2"/>
        <v>10036</v>
      </c>
      <c r="O177" s="3184">
        <v>1.5</v>
      </c>
      <c r="P177" s="3184" t="s">
        <v>3084</v>
      </c>
    </row>
    <row r="178" spans="1:16">
      <c r="A178" s="3184" t="s">
        <v>3560</v>
      </c>
      <c r="B178" s="3184" t="s">
        <v>1943</v>
      </c>
      <c r="C178" s="3184" t="s">
        <v>3073</v>
      </c>
      <c r="D178" s="3184" t="s">
        <v>3074</v>
      </c>
      <c r="E178" s="3184">
        <v>83810.509999999995</v>
      </c>
      <c r="F178" s="3184">
        <v>136046</v>
      </c>
      <c r="G178" s="3184">
        <v>1.6</v>
      </c>
      <c r="H178" s="3184" t="s">
        <v>2812</v>
      </c>
      <c r="I178" s="3184" t="s">
        <v>3561</v>
      </c>
      <c r="J178" s="3184" t="s">
        <v>3506</v>
      </c>
      <c r="K178" s="3184">
        <v>85000</v>
      </c>
      <c r="L178" s="3184">
        <v>101000</v>
      </c>
      <c r="M178" s="3184">
        <v>7423.96</v>
      </c>
      <c r="N178" s="3184">
        <f t="shared" si="2"/>
        <v>12051</v>
      </c>
      <c r="O178" s="3184">
        <v>18.82</v>
      </c>
      <c r="P178" s="3184" t="s">
        <v>3078</v>
      </c>
    </row>
    <row r="179" spans="1:16">
      <c r="A179" s="3184" t="s">
        <v>3562</v>
      </c>
      <c r="B179" s="3184" t="s">
        <v>1943</v>
      </c>
      <c r="C179" s="3184" t="s">
        <v>3088</v>
      </c>
      <c r="D179" s="3184" t="s">
        <v>3161</v>
      </c>
      <c r="E179" s="3184">
        <v>85099</v>
      </c>
      <c r="F179" s="3184">
        <v>187218</v>
      </c>
      <c r="G179" s="3184">
        <v>2.2000000000000002</v>
      </c>
      <c r="H179" s="3184" t="s">
        <v>2812</v>
      </c>
      <c r="I179" s="3184" t="s">
        <v>3563</v>
      </c>
      <c r="J179" s="3184" t="s">
        <v>3564</v>
      </c>
      <c r="K179" s="3184" t="s">
        <v>2812</v>
      </c>
      <c r="L179" s="3184">
        <v>374400</v>
      </c>
      <c r="M179" s="3184">
        <v>19998.080000000002</v>
      </c>
      <c r="N179" s="3184">
        <f t="shared" si="2"/>
        <v>43996</v>
      </c>
      <c r="O179" s="3184" t="s">
        <v>2812</v>
      </c>
      <c r="P179" s="3184" t="s">
        <v>3084</v>
      </c>
    </row>
    <row r="180" spans="1:16">
      <c r="A180" s="3184" t="s">
        <v>3565</v>
      </c>
      <c r="B180" s="3184" t="s">
        <v>1943</v>
      </c>
      <c r="C180" s="3184" t="s">
        <v>3073</v>
      </c>
      <c r="D180" s="3184" t="s">
        <v>3161</v>
      </c>
      <c r="E180" s="3184">
        <v>53545</v>
      </c>
      <c r="F180" s="3184">
        <v>92719</v>
      </c>
      <c r="G180" s="3184">
        <v>1.7</v>
      </c>
      <c r="H180" s="3184" t="s">
        <v>2812</v>
      </c>
      <c r="I180" s="3184" t="s">
        <v>3563</v>
      </c>
      <c r="J180" s="3184" t="s">
        <v>3564</v>
      </c>
      <c r="K180" s="3184" t="s">
        <v>2812</v>
      </c>
      <c r="L180" s="3184">
        <v>148300</v>
      </c>
      <c r="M180" s="3184">
        <v>15994.55</v>
      </c>
      <c r="N180" s="3184">
        <f t="shared" si="2"/>
        <v>27696</v>
      </c>
      <c r="O180" s="3184" t="s">
        <v>2812</v>
      </c>
      <c r="P180" s="3184" t="s">
        <v>3084</v>
      </c>
    </row>
    <row r="181" spans="1:16">
      <c r="A181" s="3184" t="s">
        <v>3566</v>
      </c>
      <c r="B181" s="3184" t="s">
        <v>1943</v>
      </c>
      <c r="C181" s="3184" t="s">
        <v>3073</v>
      </c>
      <c r="D181" s="3184" t="s">
        <v>3161</v>
      </c>
      <c r="E181" s="3184">
        <v>114377</v>
      </c>
      <c r="F181" s="3184">
        <v>237250</v>
      </c>
      <c r="G181" s="3184">
        <v>2</v>
      </c>
      <c r="H181" s="3184" t="s">
        <v>2812</v>
      </c>
      <c r="I181" s="3184" t="s">
        <v>3567</v>
      </c>
      <c r="J181" s="3184" t="s">
        <v>3568</v>
      </c>
      <c r="K181" s="3184">
        <v>84500</v>
      </c>
      <c r="L181" s="3184">
        <v>85600</v>
      </c>
      <c r="M181" s="3184">
        <v>3608.01</v>
      </c>
      <c r="N181" s="3184">
        <f t="shared" si="2"/>
        <v>7484</v>
      </c>
      <c r="O181" s="3184">
        <v>1.3</v>
      </c>
      <c r="P181" s="3184" t="s">
        <v>3084</v>
      </c>
    </row>
    <row r="182" spans="1:16">
      <c r="A182" s="3184" t="s">
        <v>3569</v>
      </c>
      <c r="B182" s="3184" t="s">
        <v>1943</v>
      </c>
      <c r="C182" s="3184" t="s">
        <v>3073</v>
      </c>
      <c r="D182" s="3184" t="s">
        <v>3161</v>
      </c>
      <c r="E182" s="3184">
        <v>140731</v>
      </c>
      <c r="F182" s="3184">
        <v>281388</v>
      </c>
      <c r="G182" s="3184">
        <v>2</v>
      </c>
      <c r="H182" s="3184" t="s">
        <v>2812</v>
      </c>
      <c r="I182" s="3184" t="s">
        <v>3570</v>
      </c>
      <c r="J182" s="3184" t="s">
        <v>3568</v>
      </c>
      <c r="K182" s="3184">
        <v>232035.89</v>
      </c>
      <c r="L182" s="3184">
        <v>281200</v>
      </c>
      <c r="M182" s="3184">
        <v>9993.31</v>
      </c>
      <c r="N182" s="3184">
        <f t="shared" si="2"/>
        <v>19981</v>
      </c>
      <c r="O182" s="3184">
        <v>21.19</v>
      </c>
      <c r="P182" s="3184" t="s">
        <v>3084</v>
      </c>
    </row>
    <row r="183" spans="1:16">
      <c r="A183" s="3184" t="s">
        <v>3571</v>
      </c>
      <c r="B183" s="3184" t="s">
        <v>1943</v>
      </c>
      <c r="C183" s="3184" t="s">
        <v>3073</v>
      </c>
      <c r="D183" s="3184" t="s">
        <v>3074</v>
      </c>
      <c r="E183" s="3184">
        <v>34253.22</v>
      </c>
      <c r="F183" s="3184">
        <v>104537</v>
      </c>
      <c r="G183" s="3184" t="s">
        <v>2812</v>
      </c>
      <c r="H183" s="3184" t="s">
        <v>2812</v>
      </c>
      <c r="I183" s="3184" t="s">
        <v>3224</v>
      </c>
      <c r="J183" s="3184" t="s">
        <v>3572</v>
      </c>
      <c r="K183" s="3184">
        <v>60000</v>
      </c>
      <c r="L183" s="3184">
        <v>176000</v>
      </c>
      <c r="M183" s="3184">
        <v>16836.13</v>
      </c>
      <c r="N183" s="3184">
        <f t="shared" si="2"/>
        <v>51382</v>
      </c>
      <c r="O183" s="3184">
        <v>193.33</v>
      </c>
      <c r="P183" s="3184" t="s">
        <v>3084</v>
      </c>
    </row>
    <row r="184" spans="1:16">
      <c r="A184" s="3184" t="s">
        <v>3573</v>
      </c>
      <c r="B184" s="3184" t="s">
        <v>1943</v>
      </c>
      <c r="C184" s="3184" t="s">
        <v>3073</v>
      </c>
      <c r="D184" s="3184" t="s">
        <v>3074</v>
      </c>
      <c r="E184" s="3184">
        <v>33677.4</v>
      </c>
      <c r="F184" s="3184">
        <v>49737.83</v>
      </c>
      <c r="G184" s="3184" t="s">
        <v>2812</v>
      </c>
      <c r="H184" s="3184" t="s">
        <v>2812</v>
      </c>
      <c r="I184" s="3184" t="s">
        <v>3230</v>
      </c>
      <c r="J184" s="3184" t="s">
        <v>3574</v>
      </c>
      <c r="K184" s="3184">
        <v>39902</v>
      </c>
      <c r="L184" s="3184">
        <v>66200</v>
      </c>
      <c r="M184" s="3184">
        <v>13309.79</v>
      </c>
      <c r="N184" s="3184">
        <f t="shared" si="2"/>
        <v>19657</v>
      </c>
      <c r="O184" s="3184">
        <v>65.91</v>
      </c>
      <c r="P184" s="3184" t="s">
        <v>3084</v>
      </c>
    </row>
    <row r="185" spans="1:16">
      <c r="A185" s="3184" t="s">
        <v>3575</v>
      </c>
      <c r="B185" s="3184" t="s">
        <v>1943</v>
      </c>
      <c r="C185" s="3184" t="s">
        <v>3073</v>
      </c>
      <c r="D185" s="3184" t="s">
        <v>3074</v>
      </c>
      <c r="E185" s="3184">
        <v>17145.59</v>
      </c>
      <c r="F185" s="3184">
        <v>42863.98</v>
      </c>
      <c r="G185" s="3184">
        <v>2.5</v>
      </c>
      <c r="H185" s="3184" t="s">
        <v>2812</v>
      </c>
      <c r="I185" s="3184" t="s">
        <v>3576</v>
      </c>
      <c r="J185" s="3184" t="s">
        <v>3577</v>
      </c>
      <c r="K185" s="3184">
        <v>15242</v>
      </c>
      <c r="L185" s="3184">
        <v>15592</v>
      </c>
      <c r="M185" s="3184">
        <v>3637.55</v>
      </c>
      <c r="N185" s="3184">
        <f t="shared" si="2"/>
        <v>9094</v>
      </c>
      <c r="O185" s="3184">
        <v>2.2999999999999998</v>
      </c>
      <c r="P185" s="3184" t="s">
        <v>3084</v>
      </c>
    </row>
    <row r="186" spans="1:16">
      <c r="A186" s="3184" t="s">
        <v>3578</v>
      </c>
      <c r="B186" s="3184" t="s">
        <v>1943</v>
      </c>
      <c r="C186" s="3184" t="s">
        <v>3073</v>
      </c>
      <c r="D186" s="3184" t="s">
        <v>3074</v>
      </c>
      <c r="E186" s="3184">
        <v>20385.080000000002</v>
      </c>
      <c r="F186" s="3184">
        <v>50963</v>
      </c>
      <c r="G186" s="3184">
        <v>2.5</v>
      </c>
      <c r="H186" s="3184" t="s">
        <v>2812</v>
      </c>
      <c r="I186" s="3184" t="s">
        <v>3579</v>
      </c>
      <c r="J186" s="3184" t="s">
        <v>3580</v>
      </c>
      <c r="K186" s="3184">
        <v>11000</v>
      </c>
      <c r="L186" s="3184">
        <v>12550</v>
      </c>
      <c r="M186" s="3184">
        <v>2462.5700000000002</v>
      </c>
      <c r="N186" s="3184">
        <f t="shared" si="2"/>
        <v>6156</v>
      </c>
      <c r="O186" s="3184">
        <v>14.09</v>
      </c>
      <c r="P186" s="3184" t="s">
        <v>3084</v>
      </c>
    </row>
    <row r="187" spans="1:16">
      <c r="A187" s="3184" t="s">
        <v>3581</v>
      </c>
      <c r="B187" s="3184" t="s">
        <v>1943</v>
      </c>
      <c r="C187" s="3184" t="s">
        <v>3073</v>
      </c>
      <c r="D187" s="3184" t="s">
        <v>3074</v>
      </c>
      <c r="E187" s="3184">
        <v>43067.7</v>
      </c>
      <c r="F187" s="3184">
        <v>82594.81</v>
      </c>
      <c r="G187" s="3184">
        <v>1.9</v>
      </c>
      <c r="H187" s="3184" t="s">
        <v>2812</v>
      </c>
      <c r="I187" s="3184" t="s">
        <v>3582</v>
      </c>
      <c r="J187" s="3184" t="s">
        <v>3583</v>
      </c>
      <c r="K187" s="3184">
        <v>59500</v>
      </c>
      <c r="L187" s="3184">
        <v>59500</v>
      </c>
      <c r="M187" s="3184">
        <v>7203.84</v>
      </c>
      <c r="N187" s="3184">
        <f t="shared" si="2"/>
        <v>13815</v>
      </c>
      <c r="O187" s="3184">
        <v>0</v>
      </c>
      <c r="P187" s="3184" t="s">
        <v>3084</v>
      </c>
    </row>
    <row r="188" spans="1:16">
      <c r="A188" s="3184" t="s">
        <v>3584</v>
      </c>
      <c r="B188" s="3184" t="s">
        <v>1943</v>
      </c>
      <c r="C188" s="3184" t="s">
        <v>3088</v>
      </c>
      <c r="D188" s="3184" t="s">
        <v>3074</v>
      </c>
      <c r="E188" s="3184">
        <v>196881.7</v>
      </c>
      <c r="F188" s="3184">
        <v>287160.2</v>
      </c>
      <c r="G188" s="3184">
        <v>1.46</v>
      </c>
      <c r="H188" s="3184" t="s">
        <v>2812</v>
      </c>
      <c r="I188" s="3184" t="s">
        <v>3585</v>
      </c>
      <c r="J188" s="3184" t="s">
        <v>3586</v>
      </c>
      <c r="K188" s="3184">
        <v>176327.79</v>
      </c>
      <c r="L188" s="3184">
        <v>201000</v>
      </c>
      <c r="M188" s="3184">
        <v>6999.57</v>
      </c>
      <c r="N188" s="3184">
        <f t="shared" si="2"/>
        <v>10209</v>
      </c>
      <c r="O188" s="3184">
        <v>13.99</v>
      </c>
      <c r="P188" s="3184" t="s">
        <v>3078</v>
      </c>
    </row>
    <row r="189" spans="1:16">
      <c r="A189" s="3184" t="s">
        <v>3587</v>
      </c>
      <c r="B189" s="3184" t="s">
        <v>1943</v>
      </c>
      <c r="C189" s="3184" t="s">
        <v>3088</v>
      </c>
      <c r="D189" s="3184" t="s">
        <v>3074</v>
      </c>
      <c r="E189" s="3184">
        <v>19721.84</v>
      </c>
      <c r="F189" s="3184">
        <v>43388.05</v>
      </c>
      <c r="G189" s="3184">
        <v>2.2000000000000002</v>
      </c>
      <c r="H189" s="3184" t="s">
        <v>2812</v>
      </c>
      <c r="I189" s="3184" t="s">
        <v>3588</v>
      </c>
      <c r="J189" s="3184" t="s">
        <v>3589</v>
      </c>
      <c r="K189" s="3184">
        <v>24527.4</v>
      </c>
      <c r="L189" s="3184">
        <v>64000</v>
      </c>
      <c r="M189" s="3184">
        <v>14750.61</v>
      </c>
      <c r="N189" s="3184">
        <f t="shared" si="2"/>
        <v>32451</v>
      </c>
      <c r="O189" s="3184">
        <v>160.93</v>
      </c>
      <c r="P189" s="3184" t="s">
        <v>3084</v>
      </c>
    </row>
    <row r="190" spans="1:16">
      <c r="A190" s="3184" t="s">
        <v>3590</v>
      </c>
      <c r="B190" s="3184" t="s">
        <v>1943</v>
      </c>
      <c r="C190" s="3184" t="s">
        <v>3088</v>
      </c>
      <c r="D190" s="3184" t="s">
        <v>3161</v>
      </c>
      <c r="E190" s="3184">
        <v>49553.58</v>
      </c>
      <c r="F190" s="3184">
        <v>69375.02</v>
      </c>
      <c r="G190" s="3184">
        <v>1.4</v>
      </c>
      <c r="H190" s="3184" t="s">
        <v>2812</v>
      </c>
      <c r="I190" s="3184" t="s">
        <v>3591</v>
      </c>
      <c r="J190" s="3184" t="s">
        <v>3592</v>
      </c>
      <c r="K190" s="3184">
        <v>22050</v>
      </c>
      <c r="L190" s="3184">
        <v>25000</v>
      </c>
      <c r="M190" s="3184">
        <v>3603.59</v>
      </c>
      <c r="N190" s="3184">
        <f t="shared" si="2"/>
        <v>5045</v>
      </c>
      <c r="O190" s="3184">
        <v>13.38</v>
      </c>
      <c r="P190" s="3184" t="s">
        <v>3251</v>
      </c>
    </row>
    <row r="191" spans="1:16">
      <c r="A191" s="3184" t="s">
        <v>3593</v>
      </c>
      <c r="B191" s="3184" t="s">
        <v>1943</v>
      </c>
      <c r="C191" s="3184" t="s">
        <v>3088</v>
      </c>
      <c r="D191" s="3184" t="s">
        <v>3161</v>
      </c>
      <c r="E191" s="3184">
        <v>70879.679999999993</v>
      </c>
      <c r="F191" s="3184">
        <v>142354.1</v>
      </c>
      <c r="G191" s="3184">
        <v>2</v>
      </c>
      <c r="H191" s="3184" t="s">
        <v>2812</v>
      </c>
      <c r="I191" s="3184" t="s">
        <v>3594</v>
      </c>
      <c r="J191" s="3184" t="s">
        <v>3177</v>
      </c>
      <c r="K191" s="3184">
        <v>39800</v>
      </c>
      <c r="L191" s="3184">
        <v>46500</v>
      </c>
      <c r="M191" s="3184">
        <v>3266.5</v>
      </c>
      <c r="N191" s="3184">
        <f t="shared" si="2"/>
        <v>6560</v>
      </c>
      <c r="O191" s="3184">
        <v>16.829999999999998</v>
      </c>
      <c r="P191" s="3184" t="s">
        <v>3084</v>
      </c>
    </row>
    <row r="192" spans="1:16">
      <c r="A192" s="3184" t="s">
        <v>3595</v>
      </c>
      <c r="B192" s="3184" t="s">
        <v>1943</v>
      </c>
      <c r="C192" s="3184" t="s">
        <v>3073</v>
      </c>
      <c r="D192" s="3184" t="s">
        <v>3161</v>
      </c>
      <c r="E192" s="3184">
        <v>224896.1</v>
      </c>
      <c r="F192" s="3184">
        <v>488243.07</v>
      </c>
      <c r="G192" s="3184">
        <v>2.17</v>
      </c>
      <c r="H192" s="3184" t="s">
        <v>2812</v>
      </c>
      <c r="I192" s="3184" t="s">
        <v>3596</v>
      </c>
      <c r="J192" s="3184" t="s">
        <v>3597</v>
      </c>
      <c r="K192" s="3184">
        <v>127000</v>
      </c>
      <c r="L192" s="3184">
        <v>139800</v>
      </c>
      <c r="M192" s="3184">
        <v>2863.32</v>
      </c>
      <c r="N192" s="3184">
        <f t="shared" si="2"/>
        <v>6216</v>
      </c>
      <c r="O192" s="3184">
        <v>10.08</v>
      </c>
      <c r="P192" s="3184" t="s">
        <v>3084</v>
      </c>
    </row>
    <row r="193" spans="1:16">
      <c r="A193" s="3184" t="s">
        <v>3598</v>
      </c>
      <c r="B193" s="3184" t="s">
        <v>1943</v>
      </c>
      <c r="C193" s="3184" t="s">
        <v>3088</v>
      </c>
      <c r="D193" s="3184" t="s">
        <v>3161</v>
      </c>
      <c r="E193" s="3184">
        <v>8088.5</v>
      </c>
      <c r="F193" s="3184">
        <v>19412.400000000001</v>
      </c>
      <c r="G193" s="3184">
        <v>2.4</v>
      </c>
      <c r="H193" s="3184" t="s">
        <v>2812</v>
      </c>
      <c r="I193" s="3184" t="s">
        <v>3599</v>
      </c>
      <c r="J193" s="3184" t="s">
        <v>3600</v>
      </c>
      <c r="K193" s="3184">
        <v>9310</v>
      </c>
      <c r="L193" s="3184">
        <v>12384.86</v>
      </c>
      <c r="M193" s="3184">
        <v>6379.86</v>
      </c>
      <c r="N193" s="3184">
        <f t="shared" si="2"/>
        <v>15312</v>
      </c>
      <c r="O193" s="3184">
        <v>33.03</v>
      </c>
      <c r="P193" s="3184" t="s">
        <v>3084</v>
      </c>
    </row>
    <row r="194" spans="1:16">
      <c r="A194" s="3184" t="s">
        <v>3601</v>
      </c>
      <c r="B194" s="3184" t="s">
        <v>1943</v>
      </c>
      <c r="C194" s="3184" t="s">
        <v>3088</v>
      </c>
      <c r="D194" s="3184" t="s">
        <v>3161</v>
      </c>
      <c r="E194" s="3184">
        <v>19881.8</v>
      </c>
      <c r="F194" s="3184">
        <v>59645.4</v>
      </c>
      <c r="G194" s="3184">
        <v>3</v>
      </c>
      <c r="H194" s="3184" t="s">
        <v>2812</v>
      </c>
      <c r="I194" s="3184" t="s">
        <v>3602</v>
      </c>
      <c r="J194" s="3184" t="s">
        <v>3603</v>
      </c>
      <c r="K194" s="3184">
        <v>29900</v>
      </c>
      <c r="L194" s="3184">
        <v>31800</v>
      </c>
      <c r="M194" s="3184">
        <v>5331.51</v>
      </c>
      <c r="N194" s="3184">
        <f t="shared" si="2"/>
        <v>15995</v>
      </c>
      <c r="O194" s="3184">
        <v>6.35</v>
      </c>
      <c r="P194" s="3184" t="s">
        <v>3084</v>
      </c>
    </row>
    <row r="195" spans="1:16">
      <c r="A195" s="3184" t="s">
        <v>3604</v>
      </c>
      <c r="B195" s="3184" t="s">
        <v>1943</v>
      </c>
      <c r="C195" s="3184" t="s">
        <v>3088</v>
      </c>
      <c r="D195" s="3184" t="s">
        <v>3161</v>
      </c>
      <c r="E195" s="3184">
        <v>83800</v>
      </c>
      <c r="F195" s="3184">
        <v>79176</v>
      </c>
      <c r="G195" s="3184">
        <v>0.94</v>
      </c>
      <c r="H195" s="3184" t="s">
        <v>2812</v>
      </c>
      <c r="I195" s="3184" t="s">
        <v>3605</v>
      </c>
      <c r="J195" s="3184" t="s">
        <v>3606</v>
      </c>
      <c r="K195" s="3184">
        <v>65052.83</v>
      </c>
      <c r="L195" s="3184">
        <v>65066</v>
      </c>
      <c r="M195" s="3184">
        <v>8217.8799999999992</v>
      </c>
      <c r="N195" s="3184">
        <f t="shared" ref="N195:N204" si="3">ROUND(L195*10000/E195,0)</f>
        <v>7764</v>
      </c>
      <c r="O195" s="3184">
        <v>0.02</v>
      </c>
      <c r="P195" s="3184" t="s">
        <v>3078</v>
      </c>
    </row>
    <row r="196" spans="1:16">
      <c r="A196" s="3184" t="s">
        <v>3607</v>
      </c>
      <c r="B196" s="3184" t="s">
        <v>1943</v>
      </c>
      <c r="C196" s="3184" t="s">
        <v>3073</v>
      </c>
      <c r="D196" s="3184" t="s">
        <v>3074</v>
      </c>
      <c r="E196" s="3184">
        <v>128457.60000000001</v>
      </c>
      <c r="F196" s="3184">
        <v>256916</v>
      </c>
      <c r="G196" s="3184">
        <v>2</v>
      </c>
      <c r="H196" s="3184" t="s">
        <v>2812</v>
      </c>
      <c r="I196" s="3184" t="s">
        <v>3608</v>
      </c>
      <c r="J196" s="3184" t="s">
        <v>3609</v>
      </c>
      <c r="K196" s="3184">
        <v>81366.33</v>
      </c>
      <c r="L196" s="3184">
        <v>82000</v>
      </c>
      <c r="M196" s="3184">
        <v>3191.69</v>
      </c>
      <c r="N196" s="3184">
        <f t="shared" si="3"/>
        <v>6383</v>
      </c>
      <c r="O196" s="3184">
        <v>0.78</v>
      </c>
      <c r="P196" s="3184" t="s">
        <v>3251</v>
      </c>
    </row>
    <row r="197" spans="1:16">
      <c r="A197" s="3184" t="s">
        <v>3610</v>
      </c>
      <c r="B197" s="3184" t="s">
        <v>1943</v>
      </c>
      <c r="C197" s="3184" t="s">
        <v>3073</v>
      </c>
      <c r="D197" s="3184" t="s">
        <v>3074</v>
      </c>
      <c r="E197" s="3184">
        <v>97808.9</v>
      </c>
      <c r="F197" s="3184">
        <v>207652.7</v>
      </c>
      <c r="G197" s="3184">
        <v>1.35</v>
      </c>
      <c r="H197" s="3184" t="s">
        <v>2812</v>
      </c>
      <c r="I197" s="3184" t="s">
        <v>3611</v>
      </c>
      <c r="J197" s="3184" t="s">
        <v>3612</v>
      </c>
      <c r="K197" s="3184">
        <v>89572.94</v>
      </c>
      <c r="L197" s="3184">
        <v>90022.94</v>
      </c>
      <c r="M197" s="3184">
        <v>4335.26</v>
      </c>
      <c r="N197" s="3184">
        <f t="shared" si="3"/>
        <v>9204</v>
      </c>
      <c r="O197" s="3184">
        <v>0.5</v>
      </c>
      <c r="P197" s="3184" t="s">
        <v>3078</v>
      </c>
    </row>
    <row r="198" spans="1:16">
      <c r="A198" s="3184" t="s">
        <v>3613</v>
      </c>
      <c r="B198" s="3184" t="s">
        <v>1943</v>
      </c>
      <c r="C198" s="3184" t="s">
        <v>3073</v>
      </c>
      <c r="D198" s="3184" t="s">
        <v>3074</v>
      </c>
      <c r="E198" s="3184">
        <v>158337</v>
      </c>
      <c r="F198" s="3184">
        <v>236459</v>
      </c>
      <c r="G198" s="3184">
        <v>1.49</v>
      </c>
      <c r="H198" s="3184" t="s">
        <v>2812</v>
      </c>
      <c r="I198" s="3184" t="s">
        <v>3614</v>
      </c>
      <c r="J198" s="3184" t="s">
        <v>3615</v>
      </c>
      <c r="K198" s="3184">
        <v>68119.41</v>
      </c>
      <c r="L198" s="3184">
        <v>115000</v>
      </c>
      <c r="M198" s="3184">
        <v>4863.42</v>
      </c>
      <c r="N198" s="3184">
        <f t="shared" si="3"/>
        <v>7263</v>
      </c>
      <c r="O198" s="3184">
        <v>68.819999999999993</v>
      </c>
      <c r="P198" s="3184" t="s">
        <v>3251</v>
      </c>
    </row>
    <row r="199" spans="1:16">
      <c r="A199" s="3184" t="s">
        <v>3616</v>
      </c>
      <c r="B199" s="3184" t="s">
        <v>1943</v>
      </c>
      <c r="C199" s="3184" t="s">
        <v>3073</v>
      </c>
      <c r="D199" s="3184" t="s">
        <v>3074</v>
      </c>
      <c r="E199" s="3184">
        <v>63060.61</v>
      </c>
      <c r="F199" s="3184">
        <v>107300</v>
      </c>
      <c r="G199" s="3184">
        <v>1.7</v>
      </c>
      <c r="H199" s="3184" t="s">
        <v>2812</v>
      </c>
      <c r="I199" s="3184" t="s">
        <v>3617</v>
      </c>
      <c r="J199" s="3184" t="s">
        <v>3618</v>
      </c>
      <c r="K199" s="3184">
        <v>28371.9</v>
      </c>
      <c r="L199" s="3184">
        <v>28371.9</v>
      </c>
      <c r="M199" s="3184">
        <v>2644.17</v>
      </c>
      <c r="N199" s="3184">
        <f t="shared" si="3"/>
        <v>4499</v>
      </c>
      <c r="O199" s="3184">
        <v>0</v>
      </c>
      <c r="P199" s="3184" t="s">
        <v>3084</v>
      </c>
    </row>
    <row r="200" spans="1:16">
      <c r="A200" s="3184" t="s">
        <v>3619</v>
      </c>
      <c r="B200" s="3184" t="s">
        <v>1943</v>
      </c>
      <c r="C200" s="3184" t="s">
        <v>3073</v>
      </c>
      <c r="D200" s="3184" t="s">
        <v>3074</v>
      </c>
      <c r="E200" s="3184">
        <v>311830</v>
      </c>
      <c r="F200" s="3184">
        <v>701617.5</v>
      </c>
      <c r="G200" s="3184">
        <v>2.25</v>
      </c>
      <c r="H200" s="3184" t="s">
        <v>2812</v>
      </c>
      <c r="I200" s="3184" t="s">
        <v>3620</v>
      </c>
      <c r="J200" s="3184" t="s">
        <v>3621</v>
      </c>
      <c r="K200" s="3184">
        <v>169886.45</v>
      </c>
      <c r="L200" s="3184">
        <v>256500</v>
      </c>
      <c r="M200" s="3184">
        <v>3655.84</v>
      </c>
      <c r="N200" s="3184">
        <f t="shared" si="3"/>
        <v>8226</v>
      </c>
      <c r="O200" s="3184">
        <v>50.98</v>
      </c>
      <c r="P200" s="3184" t="s">
        <v>3084</v>
      </c>
    </row>
    <row r="201" spans="1:16">
      <c r="A201" s="3184" t="s">
        <v>3622</v>
      </c>
      <c r="B201" s="3184" t="s">
        <v>1943</v>
      </c>
      <c r="C201" s="3184" t="s">
        <v>3073</v>
      </c>
      <c r="D201" s="3184" t="s">
        <v>3074</v>
      </c>
      <c r="E201" s="3184">
        <v>41629</v>
      </c>
      <c r="F201" s="3184">
        <v>98017</v>
      </c>
      <c r="G201" s="3184">
        <v>2.35</v>
      </c>
      <c r="H201" s="3184" t="s">
        <v>2812</v>
      </c>
      <c r="I201" s="3184" t="s">
        <v>3623</v>
      </c>
      <c r="J201" s="3184" t="s">
        <v>3503</v>
      </c>
      <c r="K201" s="3184">
        <v>31466.29</v>
      </c>
      <c r="L201" s="3184">
        <v>31466.29</v>
      </c>
      <c r="M201" s="3184">
        <v>3210.28</v>
      </c>
      <c r="N201" s="3184">
        <f t="shared" si="3"/>
        <v>7559</v>
      </c>
      <c r="O201" s="3184">
        <v>0</v>
      </c>
      <c r="P201" s="3184" t="s">
        <v>3084</v>
      </c>
    </row>
    <row r="202" spans="1:16">
      <c r="A202" s="3184" t="s">
        <v>3624</v>
      </c>
      <c r="B202" s="3184" t="s">
        <v>1943</v>
      </c>
      <c r="C202" s="3184" t="s">
        <v>3088</v>
      </c>
      <c r="D202" s="3184" t="s">
        <v>3074</v>
      </c>
      <c r="E202" s="3184">
        <v>68544.5</v>
      </c>
      <c r="F202" s="3184">
        <v>154069.1</v>
      </c>
      <c r="G202" s="3184" t="s">
        <v>2812</v>
      </c>
      <c r="H202" s="3184" t="s">
        <v>2812</v>
      </c>
      <c r="I202" s="3184" t="s">
        <v>3625</v>
      </c>
      <c r="J202" s="3184" t="s">
        <v>3626</v>
      </c>
      <c r="K202" s="3184">
        <v>42699</v>
      </c>
      <c r="L202" s="3184">
        <v>42699</v>
      </c>
      <c r="M202" s="3184">
        <v>2771.42</v>
      </c>
      <c r="N202" s="3184">
        <f t="shared" si="3"/>
        <v>6229</v>
      </c>
      <c r="O202" s="3184">
        <v>0</v>
      </c>
      <c r="P202" s="3184" t="s">
        <v>3084</v>
      </c>
    </row>
    <row r="203" spans="1:16">
      <c r="A203" s="3184" t="s">
        <v>3627</v>
      </c>
      <c r="B203" s="3184" t="s">
        <v>1943</v>
      </c>
      <c r="C203" s="3184" t="s">
        <v>3088</v>
      </c>
      <c r="D203" s="3184" t="s">
        <v>3074</v>
      </c>
      <c r="E203" s="3184">
        <v>347108</v>
      </c>
      <c r="F203" s="3184">
        <v>391010</v>
      </c>
      <c r="G203" s="3184" t="s">
        <v>2812</v>
      </c>
      <c r="H203" s="3184" t="s">
        <v>2812</v>
      </c>
      <c r="I203" s="3184" t="s">
        <v>3628</v>
      </c>
      <c r="J203" s="3184" t="s">
        <v>3629</v>
      </c>
      <c r="K203" s="3184">
        <v>94004.74</v>
      </c>
      <c r="L203" s="3184">
        <v>117500</v>
      </c>
      <c r="M203" s="3184">
        <v>3005.03</v>
      </c>
      <c r="N203" s="3184">
        <f t="shared" si="3"/>
        <v>3385</v>
      </c>
      <c r="O203" s="3184">
        <v>24.99</v>
      </c>
      <c r="P203" s="3184" t="s">
        <v>3084</v>
      </c>
    </row>
    <row r="204" spans="1:16">
      <c r="A204" s="3184" t="s">
        <v>3630</v>
      </c>
      <c r="B204" s="3184" t="s">
        <v>1943</v>
      </c>
      <c r="C204" s="3184" t="s">
        <v>3088</v>
      </c>
      <c r="D204" s="3184" t="s">
        <v>3074</v>
      </c>
      <c r="E204" s="3184">
        <v>54870</v>
      </c>
      <c r="F204" s="3184">
        <v>82300</v>
      </c>
      <c r="G204" s="3184" t="s">
        <v>2812</v>
      </c>
      <c r="H204" s="3184" t="s">
        <v>2812</v>
      </c>
      <c r="I204" s="3184" t="s">
        <v>3631</v>
      </c>
      <c r="J204" s="3184" t="s">
        <v>3632</v>
      </c>
      <c r="K204" s="3184">
        <v>32300</v>
      </c>
      <c r="L204" s="3184">
        <v>32300</v>
      </c>
      <c r="M204" s="3184">
        <v>3924.67</v>
      </c>
      <c r="N204" s="3184">
        <f t="shared" si="3"/>
        <v>5887</v>
      </c>
      <c r="O204" s="3184">
        <v>0</v>
      </c>
      <c r="P204" s="3184" t="s">
        <v>3078</v>
      </c>
    </row>
  </sheetData>
  <autoFilter ref="H1:H204"/>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5" t="str">
        <f>项目基本情况!B1</f>
        <v>北京市海淀区地铁16号线北安河 车辆段综合利用项目HD00-0700-0001、0002、0003、0004地块A334托幼用地、F3其他类多功能用地、R2二类居住用地项目（现状结构转换层）出让国有建设用地使用权市场价格预评估</v>
      </c>
      <c r="C37" s="3215"/>
      <c r="D37" s="3215"/>
      <c r="E37" s="3215"/>
      <c r="F37" s="3215"/>
      <c r="G37" s="3215"/>
      <c r="H37" s="3215"/>
      <c r="I37" s="3215"/>
    </row>
    <row r="38" spans="1:9">
      <c r="A38" s="1638"/>
      <c r="B38" s="1638"/>
    </row>
    <row r="39" spans="1:9">
      <c r="A39" s="1636" t="s">
        <v>1901</v>
      </c>
      <c r="B39" s="1636" t="s">
        <v>2042</v>
      </c>
    </row>
    <row r="40" spans="1:9">
      <c r="A40" s="1636"/>
      <c r="B40" s="1636" t="str">
        <f>项目基本情况!B5</f>
        <v>北京京投兴海房地产有限公司</v>
      </c>
    </row>
    <row r="41" spans="1:9">
      <c r="A41" s="1636"/>
      <c r="B41" s="1636"/>
    </row>
    <row r="42" spans="1:9">
      <c r="A42" s="1636" t="s">
        <v>1901</v>
      </c>
      <c r="B42" s="1636" t="s">
        <v>2043</v>
      </c>
    </row>
    <row r="43" spans="1:9">
      <c r="A43" s="1636"/>
      <c r="B43" s="1636" t="s">
        <v>1903</v>
      </c>
    </row>
    <row r="44" spans="1:9">
      <c r="A44" s="1636"/>
      <c r="B44" s="1636"/>
    </row>
    <row r="45" spans="1:9">
      <c r="A45" s="1636" t="s">
        <v>1901</v>
      </c>
      <c r="B45" s="1636" t="s">
        <v>2041</v>
      </c>
    </row>
    <row r="46" spans="1:9" s="1636" customFormat="1" ht="12.75">
      <c r="B46" s="1636" t="str">
        <f>项目基本情况!K4</f>
        <v>吴薇、郑燚</v>
      </c>
    </row>
    <row r="47" spans="1:9">
      <c r="A47" s="1636"/>
      <c r="B47" s="1636"/>
    </row>
    <row r="48" spans="1:9">
      <c r="A48" s="1636" t="s">
        <v>1901</v>
      </c>
      <c r="B48" s="1636" t="s">
        <v>2044</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6" sqref="L2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t="s">
        <v>923</v>
      </c>
      <c r="C1" s="2086"/>
      <c r="D1" s="2086"/>
      <c r="E1" s="2086"/>
      <c r="F1" s="2086"/>
      <c r="G1" s="2086"/>
      <c r="H1" s="2086"/>
      <c r="I1" s="2086"/>
      <c r="J1" s="2086"/>
      <c r="K1" s="420">
        <f>MATCH(B1,'数据-取费表'!A6:A16,0)+5</f>
        <v>6</v>
      </c>
    </row>
    <row r="2" spans="1:31" s="2023" customFormat="1" ht="18" customHeight="1">
      <c r="A2" s="2083" t="s">
        <v>467</v>
      </c>
      <c r="B2" s="2087">
        <f ca="1">C36</f>
        <v>458423</v>
      </c>
      <c r="C2" s="2086"/>
      <c r="D2" s="2086"/>
      <c r="E2" s="2086"/>
      <c r="F2" s="2086"/>
      <c r="G2" s="2086"/>
      <c r="H2" s="2086"/>
      <c r="I2" s="2086"/>
      <c r="J2" s="2086"/>
      <c r="K2" s="2086"/>
    </row>
    <row r="3" spans="1:31" s="2023" customFormat="1" ht="18" customHeight="1">
      <c r="A3" s="2088" t="s">
        <v>1684</v>
      </c>
      <c r="B3" s="2089">
        <f ca="1">ROUND(B2*10000/IF(B1="",'数据-汇总表'!E3,INDIRECT("'数据-取费表'!K"&amp;$K$1)),0)</f>
        <v>32994</v>
      </c>
      <c r="C3" s="2086"/>
      <c r="D3" s="2086"/>
      <c r="E3" s="2086"/>
      <c r="F3" s="2086"/>
      <c r="G3" s="2086"/>
      <c r="H3" s="2086"/>
      <c r="I3" s="2086"/>
      <c r="J3" s="2086"/>
      <c r="K3" s="2086"/>
    </row>
    <row r="4" spans="1:31" s="2023" customFormat="1" ht="18" customHeight="1">
      <c r="A4" s="424" t="s">
        <v>468</v>
      </c>
      <c r="B4" s="425">
        <f ca="1">ROUND(B2*10000/IF(B1="",'数据-汇总表'!D3,INDIRECT("'数据-取费表'!R"&amp;$K$1)),0)</f>
        <v>55141</v>
      </c>
      <c r="C4" s="426"/>
      <c r="D4" s="420"/>
      <c r="E4" s="420"/>
      <c r="F4" s="420"/>
      <c r="G4" s="420"/>
      <c r="H4" s="420"/>
      <c r="I4" s="420"/>
      <c r="J4" s="420"/>
      <c r="K4" s="420"/>
    </row>
    <row r="5" spans="1:31" s="2023" customFormat="1" ht="18" customHeight="1" thickBot="1">
      <c r="A5" s="427"/>
      <c r="B5" s="428">
        <f ca="1">ROUND(B2/(IF(B1="",'数据-汇总表'!D3,INDIRECT("'数据-取费表'!R"&amp;$K$1))/666.67),0)</f>
        <v>3676</v>
      </c>
      <c r="C5" s="429" t="s">
        <v>469</v>
      </c>
      <c r="D5" s="420"/>
      <c r="E5" s="420"/>
      <c r="F5" s="420"/>
      <c r="G5" s="420"/>
      <c r="H5" s="420"/>
      <c r="I5" s="420"/>
      <c r="J5" s="420"/>
      <c r="K5" s="420"/>
    </row>
    <row r="6" spans="1:31" s="2093" customFormat="1" ht="16.5" customHeight="1">
      <c r="A6" s="2780" t="s">
        <v>1842</v>
      </c>
      <c r="B6" s="2781"/>
      <c r="C6" s="2782">
        <f>SUM(C10:K10)</f>
        <v>766790</v>
      </c>
      <c r="D6" s="2781"/>
      <c r="E6" s="2781"/>
      <c r="F6" s="2781"/>
      <c r="G6" s="2781"/>
      <c r="H6" s="2781"/>
      <c r="I6" s="2781"/>
      <c r="J6" s="2781"/>
      <c r="K6" s="2783"/>
    </row>
    <row r="7" spans="1:31" s="2095" customFormat="1" ht="15">
      <c r="A7" s="2784" t="s">
        <v>470</v>
      </c>
      <c r="B7" s="2785" t="s">
        <v>471</v>
      </c>
      <c r="C7" s="434" t="s">
        <v>923</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60" t="s">
        <v>472</v>
      </c>
      <c r="C8" s="2786">
        <v>55188</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60" t="s">
        <v>473</v>
      </c>
      <c r="C9" s="439">
        <f>SUMIF('数据-汇总表'!$C19:$C33,'剩余法-待开发'!C7,'数据-汇总表'!$E19:$E33)</f>
        <v>138941.47999999998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ROUND(C8*C9/10000,0)</f>
        <v>766790</v>
      </c>
      <c r="D10" s="2977"/>
      <c r="E10" s="2977"/>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8">
        <f ca="1">IF(B1="",'数据-取费表'!P16,INDIRECT("'数据-取费表'!p"&amp;$K$1)+INDIRECT("'数据-取费表'!t"&amp;$K$1))</f>
        <v>55577</v>
      </c>
      <c r="D13" s="2796"/>
      <c r="E13" s="2797"/>
      <c r="F13" s="2798"/>
      <c r="G13" s="2764"/>
      <c r="H13" s="2765"/>
      <c r="I13" s="2765"/>
      <c r="J13" s="2765"/>
      <c r="K13" s="2766"/>
    </row>
    <row r="14" spans="1:31" s="2098" customFormat="1" ht="13.5" customHeight="1">
      <c r="A14" s="2794" t="s">
        <v>1849</v>
      </c>
      <c r="B14" s="2795" t="s">
        <v>480</v>
      </c>
      <c r="C14" s="52">
        <f ca="1">ROUND(C13*F14,0)</f>
        <v>2779</v>
      </c>
      <c r="D14" s="2796"/>
      <c r="E14" s="2797"/>
      <c r="F14" s="2799">
        <f>'数据-取费表'!B33</f>
        <v>0.05</v>
      </c>
      <c r="G14" s="2764" t="s">
        <v>481</v>
      </c>
      <c r="H14" s="2765"/>
      <c r="I14" s="2765"/>
      <c r="J14" s="2765"/>
      <c r="K14" s="2766"/>
    </row>
    <row r="15" spans="1:31" s="2098" customFormat="1" ht="13.5" customHeight="1">
      <c r="A15" s="2794" t="s">
        <v>1850</v>
      </c>
      <c r="B15" s="2795" t="s">
        <v>482</v>
      </c>
      <c r="C15" s="52">
        <f ca="1">ROUND(IF(B1="",SUMIF('数据-取费表'!C:C,"住宅",'数据-取费表'!P:P)*F15,IF(INDIRECT("'数据-取费表'!c"&amp;$K$1)="住宅",INDIRECT("'数据-取费表'!P"&amp;$K$1)*F15,0)),0)</f>
        <v>2779</v>
      </c>
      <c r="D15" s="2796"/>
      <c r="E15" s="2797"/>
      <c r="F15" s="2799">
        <f>'数据-取费表'!B34</f>
        <v>0.05</v>
      </c>
      <c r="G15" s="2764" t="s">
        <v>483</v>
      </c>
      <c r="H15" s="2765"/>
      <c r="I15" s="2765"/>
      <c r="J15" s="2765"/>
      <c r="K15" s="2766"/>
    </row>
    <row r="16" spans="1:31" s="2099" customFormat="1" ht="13.5" customHeight="1">
      <c r="A16" s="2794" t="s">
        <v>1851</v>
      </c>
      <c r="B16" s="2795" t="s">
        <v>484</v>
      </c>
      <c r="C16" s="52">
        <f ca="1">ROUND(D16*E16/10000,0)</f>
        <v>2779</v>
      </c>
      <c r="D16" s="2796">
        <f ca="1">IF(B1="",'数据-汇总表'!E3,INDIRECT("'数据-取费表'!K"&amp;$K$1)+INDIRECT("'数据-取费表'!S"&amp;$K$1))</f>
        <v>138941.47999999998</v>
      </c>
      <c r="E16" s="52">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834</v>
      </c>
      <c r="D17" s="473"/>
      <c r="E17" s="2800"/>
      <c r="F17" s="2801">
        <f>'数据-取费表'!B36</f>
        <v>1.4999999999999999E-2</v>
      </c>
      <c r="G17" s="260" t="s">
        <v>486</v>
      </c>
      <c r="H17" s="2767"/>
      <c r="I17" s="2767"/>
      <c r="J17" s="2767"/>
      <c r="K17" s="277"/>
    </row>
    <row r="18" spans="1:14" s="2098" customFormat="1" ht="13.5" customHeight="1">
      <c r="A18" s="2802" t="s">
        <v>1853</v>
      </c>
      <c r="B18" s="2803" t="s">
        <v>487</v>
      </c>
      <c r="C18" s="2804">
        <f ca="1">SUM(C13:C17)</f>
        <v>64748</v>
      </c>
      <c r="D18" s="2805"/>
      <c r="E18" s="466"/>
      <c r="F18" s="466"/>
      <c r="G18" s="2768" t="s">
        <v>2426</v>
      </c>
      <c r="H18" s="2769"/>
      <c r="I18" s="2769"/>
      <c r="J18" s="2769"/>
      <c r="K18" s="2770"/>
    </row>
    <row r="19" spans="1:14" s="2098" customFormat="1" ht="13.5" customHeight="1">
      <c r="A19" s="2802" t="s">
        <v>1854</v>
      </c>
      <c r="B19" s="2803" t="s">
        <v>488</v>
      </c>
      <c r="C19" s="2760">
        <f ca="1">ROUND(D19*E19/10000,0)</f>
        <v>417</v>
      </c>
      <c r="D19" s="2806">
        <f ca="1">D16</f>
        <v>138941.47999999998</v>
      </c>
      <c r="E19" s="2760">
        <f>'数据-取费表'!B32</f>
        <v>30</v>
      </c>
      <c r="F19" s="466"/>
      <c r="G19" s="2764" t="s">
        <v>489</v>
      </c>
      <c r="H19" s="2765"/>
      <c r="I19" s="2769"/>
      <c r="J19" s="2769"/>
      <c r="K19" s="2770"/>
    </row>
    <row r="20" spans="1:14" s="2098" customFormat="1" ht="13.5" customHeight="1">
      <c r="A20" s="2802" t="s">
        <v>1855</v>
      </c>
      <c r="B20" s="2803" t="s">
        <v>490</v>
      </c>
      <c r="C20" s="2760">
        <f ca="1">C21+C22-IF(B1="",'数据-取费表'!B29,IF(G20="已全部缴纳",C21+C22,H20))</f>
        <v>2223</v>
      </c>
      <c r="D20" s="2806"/>
      <c r="E20" s="2760"/>
      <c r="F20" s="2807"/>
      <c r="G20" s="3034"/>
      <c r="H20" s="2762"/>
      <c r="I20" s="2763" t="s">
        <v>2646</v>
      </c>
      <c r="J20" s="2769"/>
      <c r="K20" s="2770"/>
    </row>
    <row r="21" spans="1:14" s="2098" customFormat="1" ht="13.5" customHeight="1">
      <c r="A21" s="2794" t="s">
        <v>1856</v>
      </c>
      <c r="B21" s="2795" t="s">
        <v>491</v>
      </c>
      <c r="C21" s="52">
        <f ca="1">ROUND(D21*E21/10000,0)</f>
        <v>2223</v>
      </c>
      <c r="D21" s="2796">
        <f ca="1">IF(B1="",'数据-汇总表'!E5,IF(INDIRECT("'数据-取费表'!c"&amp;$K$1)="住宅",INDIRECT("'数据-取费表'!k"&amp;$K$1),0))</f>
        <v>138941.47999999998</v>
      </c>
      <c r="E21" s="52">
        <f>'数据-取费表'!B27</f>
        <v>160</v>
      </c>
      <c r="F21" s="2799"/>
      <c r="G21" s="25"/>
      <c r="H21" s="50"/>
      <c r="I21" s="50"/>
      <c r="J21" s="50"/>
      <c r="K21" s="2771"/>
    </row>
    <row r="22" spans="1:14" s="2098" customFormat="1" ht="13.5" customHeight="1">
      <c r="A22" s="2794" t="s">
        <v>1857</v>
      </c>
      <c r="B22" s="2795" t="s">
        <v>492</v>
      </c>
      <c r="C22" s="52">
        <f ca="1">ROUND(D22*E22/10000,0)</f>
        <v>0</v>
      </c>
      <c r="D22" s="2796">
        <f ca="1">IF(B1="",'数据-汇总表'!E6,IF(INDIRECT("'数据-取费表'!c"&amp;$K$1)="住宅",INDIRECT("'数据-取费表'!s"&amp;$K$1),INDIRECT("'数据-取费表'!k"&amp;$K$1)+INDIRECT("'数据-取费表'!s"&amp;$K$1)))</f>
        <v>0</v>
      </c>
      <c r="E22" s="52">
        <f>'数据-取费表'!B28</f>
        <v>200</v>
      </c>
      <c r="F22" s="2799"/>
      <c r="G22" s="25"/>
      <c r="H22" s="50"/>
      <c r="I22" s="50"/>
      <c r="J22" s="50"/>
      <c r="K22" s="2771"/>
    </row>
    <row r="23" spans="1:14" s="2098" customFormat="1" ht="13.5" customHeight="1">
      <c r="A23" s="2802" t="s">
        <v>1858</v>
      </c>
      <c r="B23" s="2983" t="s">
        <v>2828</v>
      </c>
      <c r="C23" s="2804">
        <f ca="1">ROUND((C18+C19+C20)*F23,0)</f>
        <v>2022</v>
      </c>
      <c r="D23" s="466"/>
      <c r="E23" s="466"/>
      <c r="F23" s="2808">
        <f>'数据-取费表'!B37</f>
        <v>0.03</v>
      </c>
      <c r="G23" s="2764" t="s">
        <v>2427</v>
      </c>
      <c r="H23" s="2765"/>
      <c r="I23" s="2765"/>
      <c r="J23" s="2765"/>
      <c r="K23" s="2766"/>
      <c r="L23" s="2100"/>
      <c r="M23" s="2100"/>
      <c r="N23" s="2100"/>
    </row>
    <row r="24" spans="1:14" s="2098" customFormat="1" ht="13.5" customHeight="1">
      <c r="A24" s="2802" t="s">
        <v>1859</v>
      </c>
      <c r="B24" s="2983" t="s">
        <v>2831</v>
      </c>
      <c r="C24" s="2804">
        <f>ROUND(C6*F24,0)</f>
        <v>23004</v>
      </c>
      <c r="D24" s="473"/>
      <c r="E24" s="471"/>
      <c r="F24" s="2808">
        <f>'数据-取费表'!B38</f>
        <v>0.03</v>
      </c>
      <c r="G24" s="2773" t="s">
        <v>499</v>
      </c>
      <c r="H24" s="2767"/>
      <c r="I24" s="2767"/>
      <c r="J24" s="2767"/>
      <c r="K24" s="277"/>
      <c r="L24" s="2100"/>
      <c r="M24" s="2100"/>
      <c r="N24" s="2100"/>
    </row>
    <row r="25" spans="1:14" s="2101" customFormat="1" ht="13.5" customHeight="1">
      <c r="A25" s="2802" t="s">
        <v>1860</v>
      </c>
      <c r="B25" s="2983" t="s">
        <v>2829</v>
      </c>
      <c r="C25" s="465">
        <f>ROUND(F25/(1+'数据-取费表'!C42),4)</f>
        <v>2.9000000000000001E-2</v>
      </c>
      <c r="D25" s="460" t="s">
        <v>2823</v>
      </c>
      <c r="E25" s="467"/>
      <c r="F25" s="2808">
        <f>IF(项目基本情况!B8="出让",0,'数据-取费表'!B48+'数据-取费表'!B49)</f>
        <v>3.0499999999999999E-2</v>
      </c>
      <c r="G25" s="2772" t="s">
        <v>2285</v>
      </c>
      <c r="H25" s="2765"/>
      <c r="I25" s="2765"/>
      <c r="J25" s="2765"/>
      <c r="K25" s="2766"/>
    </row>
    <row r="26" spans="1:14" s="2100" customFormat="1" ht="13.5" customHeight="1">
      <c r="A26" s="2802" t="s">
        <v>1861</v>
      </c>
      <c r="B26" s="2984" t="s">
        <v>2830</v>
      </c>
      <c r="C26" s="2809">
        <f ca="1">C28</f>
        <v>6662</v>
      </c>
      <c r="D26" s="465">
        <f ca="1">C27</f>
        <v>0.1537</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1856</v>
      </c>
      <c r="B27" s="2810" t="s">
        <v>496</v>
      </c>
      <c r="C27" s="2811">
        <f ca="1">ROUND(IF('数据-取费表'!B22&lt;=1,(1+C25)*F26*'数据-取费表'!B24,(1+C25)*(POWER((1+F26),'数据-取费表'!B24)-1)),4)</f>
        <v>0.1537</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1857</v>
      </c>
      <c r="B28" s="2810" t="s">
        <v>2832</v>
      </c>
      <c r="C28" s="2812">
        <f ca="1">ROUND(IF('数据-取费表'!B22&lt;=1,(C18+C19+C20+C23+C24)*F26*'数据-取费表'!B24/2,(C18+C19+C20+C23+C24)*(POWER((1+F26),'数据-取费表'!B24/2)-1)),0)</f>
        <v>6662</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1862</v>
      </c>
      <c r="B29" s="2803" t="s">
        <v>497</v>
      </c>
      <c r="C29" s="2804">
        <f>ROUND(C6*F29/(1+'数据-取费表'!C42),0)</f>
        <v>40895</v>
      </c>
      <c r="D29" s="466"/>
      <c r="E29" s="466"/>
      <c r="F29" s="2985">
        <f>'数据-取费表'!B41</f>
        <v>5.6000000000000001E-2</v>
      </c>
      <c r="G29" s="2773" t="s">
        <v>498</v>
      </c>
      <c r="H29" s="2765"/>
      <c r="I29" s="2765"/>
      <c r="J29" s="2765"/>
      <c r="K29" s="2766"/>
    </row>
    <row r="30" spans="1:14" s="2103" customFormat="1" ht="13.5" customHeight="1">
      <c r="A30" s="1617" t="s">
        <v>1863</v>
      </c>
      <c r="B30" s="2814" t="s">
        <v>500</v>
      </c>
      <c r="C30" s="2809">
        <f ca="1">C31</f>
        <v>139971</v>
      </c>
      <c r="D30" s="475">
        <f ca="1">C32</f>
        <v>0.1827</v>
      </c>
      <c r="E30" s="467" t="s">
        <v>495</v>
      </c>
      <c r="F30" s="469"/>
      <c r="G30" s="2772" t="s">
        <v>2959</v>
      </c>
      <c r="H30" s="2765"/>
      <c r="I30" s="2765"/>
      <c r="J30" s="2765"/>
      <c r="K30" s="2766"/>
    </row>
    <row r="31" spans="1:14" s="2102" customFormat="1" ht="13.5" customHeight="1">
      <c r="A31" s="801" t="s">
        <v>1856</v>
      </c>
      <c r="B31" s="2810"/>
      <c r="C31" s="448">
        <f ca="1">C18+C19+C20+C23+C24+C26+C29</f>
        <v>139971</v>
      </c>
      <c r="D31" s="470"/>
      <c r="E31" s="471"/>
      <c r="F31" s="472"/>
      <c r="G31" s="260"/>
      <c r="H31" s="2767"/>
      <c r="I31" s="2767"/>
      <c r="J31" s="2767"/>
      <c r="K31" s="277"/>
    </row>
    <row r="32" spans="1:14" s="2102" customFormat="1" ht="13.5" customHeight="1">
      <c r="A32" s="801" t="s">
        <v>1857</v>
      </c>
      <c r="B32" s="2810"/>
      <c r="C32" s="52">
        <f ca="1">ROUND(C25+D26,4)</f>
        <v>0.1827</v>
      </c>
      <c r="D32" s="470"/>
      <c r="E32" s="471"/>
      <c r="F32" s="472"/>
      <c r="G32" s="260"/>
      <c r="H32" s="2767"/>
      <c r="I32" s="2767"/>
      <c r="J32" s="2767"/>
      <c r="K32" s="277"/>
    </row>
    <row r="33" spans="1:11" s="2104" customFormat="1" ht="13.5" customHeight="1">
      <c r="A33" s="2982" t="s">
        <v>2827</v>
      </c>
      <c r="B33" s="2980" t="s">
        <v>2825</v>
      </c>
      <c r="C33" s="476">
        <f ca="1">C35</f>
        <v>13862</v>
      </c>
      <c r="D33" s="465">
        <f ca="1">C34</f>
        <v>0.15440000000000001</v>
      </c>
      <c r="E33" s="467" t="s">
        <v>495</v>
      </c>
      <c r="F33" s="477">
        <f ca="1">IF(B1="",'数据-取费表'!Q16,INDIRECT("'数据-取费表'!q"&amp;$K$1))</f>
        <v>0.15</v>
      </c>
      <c r="G33" s="2768"/>
      <c r="H33" s="2769"/>
      <c r="I33" s="2769"/>
      <c r="J33" s="2769"/>
      <c r="K33" s="2770"/>
    </row>
    <row r="34" spans="1:11" s="2105" customFormat="1" ht="13.5" customHeight="1">
      <c r="A34" s="373" t="s">
        <v>1856</v>
      </c>
      <c r="B34" s="2815" t="s">
        <v>501</v>
      </c>
      <c r="C34" s="470">
        <f ca="1">ROUND((1+C25)*F33,4)</f>
        <v>0.15440000000000001</v>
      </c>
      <c r="D34" s="470"/>
      <c r="E34" s="471"/>
      <c r="F34" s="478"/>
      <c r="G34" s="260" t="s">
        <v>2286</v>
      </c>
      <c r="H34" s="2767"/>
      <c r="I34" s="2767"/>
      <c r="J34" s="2767"/>
      <c r="K34" s="277"/>
    </row>
    <row r="35" spans="1:11" s="2105" customFormat="1" ht="13.5" customHeight="1" thickBot="1">
      <c r="A35" s="1618" t="s">
        <v>1857</v>
      </c>
      <c r="B35" s="2981" t="s">
        <v>2833</v>
      </c>
      <c r="C35" s="1610">
        <f ca="1">ROUND((C18+C19+C20+C23+C24)*F33,0)</f>
        <v>13862</v>
      </c>
      <c r="D35" s="1611"/>
      <c r="E35" s="2816"/>
      <c r="F35" s="1612"/>
      <c r="G35" s="2774"/>
      <c r="H35" s="2775"/>
      <c r="I35" s="2775"/>
      <c r="J35" s="2775"/>
      <c r="K35" s="2776"/>
    </row>
    <row r="36" spans="1:11" s="2067" customFormat="1" ht="13.5" customHeight="1" thickBot="1">
      <c r="A36" s="282" t="s">
        <v>1844</v>
      </c>
      <c r="B36" s="2778"/>
      <c r="C36" s="2817">
        <f ca="1">ROUND((C6-C30-C33)/(1+D30+D33),0)</f>
        <v>458423</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M14" sqref="M14"/>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7</v>
      </c>
    </row>
    <row r="2" spans="1:41" s="2023" customFormat="1" ht="18" customHeight="1">
      <c r="A2" s="421" t="s">
        <v>467</v>
      </c>
      <c r="B2" s="422" t="e">
        <f ca="1">C32</f>
        <v>#N/A</v>
      </c>
      <c r="C2" s="2086"/>
      <c r="D2" s="2086"/>
      <c r="E2" s="2086"/>
      <c r="F2" s="2086"/>
      <c r="G2" s="2086"/>
      <c r="H2" s="2086"/>
      <c r="I2" s="2086"/>
      <c r="J2" s="2086"/>
      <c r="K2" s="2086"/>
    </row>
    <row r="3" spans="1:41" s="2023" customFormat="1" ht="18" customHeight="1">
      <c r="A3" s="1373" t="s">
        <v>1684</v>
      </c>
      <c r="B3" s="423" t="e">
        <f ca="1">ROUND(B2*10000/IF(B1="",'数据-汇总表'!E3,INDIRECT("'数据-取费表'!K"&amp;$K$1)),0)</f>
        <v>#N/A</v>
      </c>
      <c r="C3" s="2086"/>
      <c r="D3" s="2086"/>
      <c r="E3" s="2086"/>
      <c r="F3" s="2086"/>
      <c r="G3" s="2086"/>
      <c r="H3" s="2086"/>
      <c r="I3" s="2086"/>
      <c r="J3" s="2086"/>
      <c r="K3" s="2086"/>
    </row>
    <row r="4" spans="1:41" s="2023" customFormat="1" ht="18" customHeight="1">
      <c r="A4" s="424" t="s">
        <v>468</v>
      </c>
      <c r="B4" s="425" t="e">
        <f ca="1">ROUND(B2*10000/IF(B1="",'数据-汇总表'!D3,INDIRECT("'数据-取费表'!R"&amp;$K$1)),0)</f>
        <v>#N/A</v>
      </c>
      <c r="C4" s="2043"/>
      <c r="D4" s="2086"/>
      <c r="E4" s="2086"/>
      <c r="F4" s="2086"/>
      <c r="G4" s="2086"/>
      <c r="H4" s="2086"/>
      <c r="I4" s="2086"/>
      <c r="J4" s="2086"/>
      <c r="K4" s="2086"/>
    </row>
    <row r="5" spans="1:41" s="2023" customFormat="1" ht="18" customHeight="1" thickBot="1">
      <c r="A5" s="427"/>
      <c r="B5" s="428" t="e">
        <f ca="1">ROUND(B2/(IF(B1="",'数据-汇总表'!D3,INDIRECT("'数据-取费表'!R"&amp;$K$1))/666.67),0)</f>
        <v>#N/A</v>
      </c>
      <c r="C5" s="429" t="s">
        <v>469</v>
      </c>
      <c r="D5" s="2086"/>
      <c r="E5" s="2086"/>
      <c r="F5" s="2086"/>
      <c r="G5" s="2086"/>
      <c r="H5" s="2086"/>
      <c r="I5" s="2086"/>
      <c r="J5" s="2086"/>
      <c r="K5" s="2086"/>
    </row>
    <row r="6" spans="1:41" s="2093" customFormat="1" ht="16.5" customHeight="1">
      <c r="A6" s="430" t="s">
        <v>2647</v>
      </c>
      <c r="B6" s="431"/>
      <c r="C6" s="1605" t="e">
        <f ca="1">SUM(C10:K10)</f>
        <v>#N/A</v>
      </c>
      <c r="D6" s="2091"/>
      <c r="E6" s="2091"/>
      <c r="F6" s="2091"/>
      <c r="G6" s="2091"/>
      <c r="H6" s="2091"/>
      <c r="I6" s="2091"/>
      <c r="J6" s="2091"/>
      <c r="K6" s="2092"/>
    </row>
    <row r="7" spans="1:41" s="2095" customFormat="1" ht="15">
      <c r="A7" s="432" t="s">
        <v>470</v>
      </c>
      <c r="B7" s="433" t="s">
        <v>471</v>
      </c>
      <c r="C7" s="434" t="s">
        <v>923</v>
      </c>
      <c r="D7" s="434" t="s">
        <v>3004</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v>55188</v>
      </c>
      <c r="D8" s="437" t="e">
        <f ca="1">不动产收益法!C43</f>
        <v>#N/A</v>
      </c>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138941.47999999998</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f>ROUND(C8*C9/10000,0)</f>
        <v>766790</v>
      </c>
      <c r="D10" s="1607" t="e">
        <f ca="1">不动产收益法!C40</f>
        <v>#N/A</v>
      </c>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55577</v>
      </c>
      <c r="D13" s="449"/>
      <c r="E13" s="363"/>
      <c r="F13" s="450"/>
      <c r="G13" s="442"/>
      <c r="H13" s="445"/>
      <c r="I13" s="445"/>
      <c r="J13" s="445"/>
      <c r="K13" s="446"/>
    </row>
    <row r="14" spans="1:41" s="2098" customFormat="1" ht="13.5" customHeight="1">
      <c r="A14" s="1615" t="s">
        <v>1849</v>
      </c>
      <c r="B14" s="447" t="s">
        <v>480</v>
      </c>
      <c r="C14" s="52">
        <f ca="1">ROUND(C13*F14,0)</f>
        <v>2779</v>
      </c>
      <c r="D14" s="449"/>
      <c r="E14" s="363"/>
      <c r="F14" s="451">
        <f>'数据-取费表'!B33</f>
        <v>0.05</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2779</v>
      </c>
      <c r="D15" s="449"/>
      <c r="E15" s="363"/>
      <c r="F15" s="451">
        <f>'数据-取费表'!B34</f>
        <v>0.05</v>
      </c>
      <c r="G15" s="442" t="s">
        <v>502</v>
      </c>
      <c r="H15" s="445"/>
      <c r="I15" s="445"/>
      <c r="J15" s="445"/>
      <c r="K15" s="446"/>
    </row>
    <row r="16" spans="1:41" s="2099" customFormat="1" ht="13.5" customHeight="1">
      <c r="A16" s="1615" t="s">
        <v>1851</v>
      </c>
      <c r="B16" s="447" t="s">
        <v>484</v>
      </c>
      <c r="C16" s="52">
        <f ca="1">ROUND(D16*E16/10000,0)</f>
        <v>2779</v>
      </c>
      <c r="D16" s="449">
        <f ca="1">IF(B1="",'数据-汇总表'!E3,INDIRECT("'数据-取费表'!K"&amp;$K$1)+INDIRECT("'数据-取费表'!S"&amp;$K$1))</f>
        <v>138941.47999999998</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834</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64748</v>
      </c>
      <c r="D18" s="459"/>
      <c r="E18" s="460"/>
      <c r="F18" s="460"/>
      <c r="G18" s="1321" t="s">
        <v>2428</v>
      </c>
      <c r="H18" s="445"/>
      <c r="I18" s="445"/>
      <c r="J18" s="445"/>
      <c r="K18" s="446"/>
    </row>
    <row r="19" spans="1:14" s="2101" customFormat="1" ht="13.5" customHeight="1">
      <c r="A19" s="1616" t="s">
        <v>1854</v>
      </c>
      <c r="B19" s="457" t="s">
        <v>493</v>
      </c>
      <c r="C19" s="458">
        <f ca="1">ROUND(C18*F19,0)</f>
        <v>1942</v>
      </c>
      <c r="D19" s="460"/>
      <c r="E19" s="460"/>
      <c r="F19" s="464">
        <f>'数据-取费表'!B37</f>
        <v>0.03</v>
      </c>
      <c r="G19" s="442" t="s">
        <v>503</v>
      </c>
      <c r="H19" s="445"/>
      <c r="I19" s="445"/>
      <c r="J19" s="445"/>
      <c r="K19" s="446"/>
      <c r="L19" s="2103"/>
      <c r="M19" s="2103"/>
      <c r="N19" s="2103"/>
    </row>
    <row r="20" spans="1:14" s="2101" customFormat="1" ht="13.5" customHeight="1">
      <c r="A20" s="1616" t="s">
        <v>1855</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1858</v>
      </c>
      <c r="B21" s="459" t="s">
        <v>494</v>
      </c>
      <c r="C21" s="468">
        <f ca="1">C22</f>
        <v>4808</v>
      </c>
      <c r="D21" s="465">
        <f ca="1">C23</f>
        <v>2.2000000000000001E-3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1848</v>
      </c>
      <c r="B22" s="1322" t="s">
        <v>2431</v>
      </c>
      <c r="C22" s="485">
        <f ca="1">ROUND(IF('数据-取费表'!B22&lt;=1,(C18+C19)*F21*'数据-取费表'!B20/2,(C18+C19)*(POWER((1+F21),'数据-取费表'!B20/2)-1)),0)</f>
        <v>4808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2" t="s">
        <v>508</v>
      </c>
      <c r="C23" s="486">
        <f ca="1">ROUND(IF('数据-取费表'!B22&lt;=1,F20*F21*'数据-取费表'!B20/2,F20*(POWER((1+F21),'数据-取费表'!B20/2)-1)),4)</f>
        <v>2.2000000000000001E-3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80" t="s">
        <v>2826</v>
      </c>
      <c r="C24" s="476">
        <f ca="1">C25</f>
        <v>10004</v>
      </c>
      <c r="D24" s="487">
        <f ca="1">C26</f>
        <v>4.4999999999999997E-3</v>
      </c>
      <c r="E24" s="467" t="s">
        <v>507</v>
      </c>
      <c r="F24" s="477">
        <f ca="1">IF(B1="",'数据-取费表'!Q16,INDIRECT("'数据-取费表'!q"&amp;$K$1))</f>
        <v>0.15</v>
      </c>
      <c r="G24" s="442"/>
      <c r="H24" s="445"/>
      <c r="I24" s="445"/>
      <c r="J24" s="445"/>
      <c r="K24" s="446"/>
    </row>
    <row r="25" spans="1:14" s="2102" customFormat="1" ht="13.5" customHeight="1">
      <c r="A25" s="1615" t="s">
        <v>1848</v>
      </c>
      <c r="B25" s="1322" t="s">
        <v>2432</v>
      </c>
      <c r="C25" s="488">
        <f ca="1">ROUND((C18+C19)*F24,0)</f>
        <v>10004</v>
      </c>
      <c r="D25" s="470"/>
      <c r="E25" s="471"/>
      <c r="F25" s="478"/>
      <c r="G25" s="1320" t="s">
        <v>2429</v>
      </c>
      <c r="H25" s="455"/>
      <c r="I25" s="455"/>
      <c r="J25" s="455"/>
      <c r="K25" s="456"/>
    </row>
    <row r="26" spans="1:14" s="2102" customFormat="1" ht="13.5" customHeight="1">
      <c r="A26" s="1615" t="s">
        <v>1849</v>
      </c>
      <c r="B26" s="1322" t="s">
        <v>509</v>
      </c>
      <c r="C26" s="489">
        <f ca="1">ROUND(F20*F24,4)</f>
        <v>4.4999999999999997E-3</v>
      </c>
      <c r="D26" s="470"/>
      <c r="E26" s="479"/>
      <c r="F26" s="478"/>
      <c r="G26" s="1320" t="s">
        <v>510</v>
      </c>
      <c r="H26" s="455"/>
      <c r="I26" s="455"/>
      <c r="J26" s="455"/>
      <c r="K26" s="456"/>
    </row>
    <row r="27" spans="1:14" s="2102" customFormat="1" ht="13.5" customHeight="1">
      <c r="A27" s="1619" t="s">
        <v>1867</v>
      </c>
      <c r="B27" s="457" t="s">
        <v>511</v>
      </c>
      <c r="C27" s="2979">
        <f>ROUND(F27/(1+'数据-取费表'!C42),4)</f>
        <v>5.33E-2</v>
      </c>
      <c r="D27" s="460" t="s">
        <v>2824</v>
      </c>
      <c r="E27" s="460"/>
      <c r="F27" s="464">
        <f>'数据-取费表'!B41</f>
        <v>5.6000000000000001E-2</v>
      </c>
      <c r="G27" s="1942" t="s">
        <v>2287</v>
      </c>
      <c r="H27" s="445"/>
      <c r="I27" s="445"/>
      <c r="J27" s="445"/>
      <c r="K27" s="446"/>
    </row>
    <row r="28" spans="1:14" s="2103" customFormat="1" ht="13.5" customHeight="1">
      <c r="A28" s="1619" t="s">
        <v>1868</v>
      </c>
      <c r="B28" s="474" t="s">
        <v>512</v>
      </c>
      <c r="C28" s="468">
        <f ca="1">ROUND((C18+C19+C21+C24)/(1-C20-D21-D24-C27),0)</f>
        <v>89563</v>
      </c>
      <c r="D28" s="475"/>
      <c r="E28" s="467"/>
      <c r="F28" s="469"/>
      <c r="G28" s="1321" t="s">
        <v>2430</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1865</v>
      </c>
      <c r="B31" s="1324"/>
      <c r="C31" s="498" t="e">
        <f ca="1">ROUND(C6*F31/(1+'数据-取费表'!C42),0)</f>
        <v>#N/A</v>
      </c>
      <c r="D31" s="1325"/>
      <c r="E31" s="1325"/>
      <c r="F31" s="499">
        <f>'数据-取费表'!B41</f>
        <v>5.6000000000000001E-2</v>
      </c>
      <c r="G31" s="1326"/>
      <c r="H31" s="1326"/>
      <c r="I31" s="1326"/>
      <c r="J31" s="1327"/>
      <c r="K31" s="1328"/>
    </row>
    <row r="32" spans="1:14" s="2067" customFormat="1" ht="13.5" customHeight="1" thickBot="1">
      <c r="A32" s="480" t="s">
        <v>1866</v>
      </c>
      <c r="B32" s="481"/>
      <c r="C32" s="482" t="e">
        <f ca="1">IF('数据-取费表'!B20&lt;=1,(C6-C30-C31)/(1+F21*'数据-取费表'!B20+F24)/(1+'数据-取费表'!B48+'数据-取费表'!B49),(C6-C30-C31)/(1+(POWER((1+F21),'数据-取费表'!B20)-1)+F24)/(1+'数据-取费表'!B48+'数据-取费表'!B49))</f>
        <v>#N/A</v>
      </c>
      <c r="D32" s="481"/>
      <c r="E32" s="481"/>
      <c r="F32" s="481"/>
      <c r="G32" s="2444"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4"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89" t="s">
        <v>522</v>
      </c>
      <c r="D6" s="3390"/>
      <c r="E6" s="3423" t="s">
        <v>523</v>
      </c>
      <c r="F6" s="3424"/>
      <c r="G6" s="3389" t="s">
        <v>524</v>
      </c>
      <c r="H6" s="3390"/>
      <c r="I6" s="3389" t="s">
        <v>525</v>
      </c>
      <c r="J6" s="3390"/>
      <c r="K6" s="512" t="s">
        <v>526</v>
      </c>
      <c r="L6" s="2115"/>
      <c r="M6" s="2116"/>
      <c r="N6" s="2116"/>
      <c r="O6" s="2116"/>
      <c r="P6" s="3391" t="s">
        <v>527</v>
      </c>
      <c r="Q6" s="3392"/>
      <c r="R6" s="3397" t="s">
        <v>523</v>
      </c>
      <c r="S6" s="3398"/>
      <c r="T6" s="3397" t="s">
        <v>524</v>
      </c>
      <c r="U6" s="3398"/>
      <c r="V6" s="3384" t="s">
        <v>525</v>
      </c>
      <c r="W6" s="3384"/>
      <c r="X6" s="1550"/>
      <c r="Y6" s="3397" t="s">
        <v>527</v>
      </c>
      <c r="Z6" s="3398"/>
      <c r="AA6" s="3386" t="s">
        <v>523</v>
      </c>
      <c r="AB6" s="3387" t="s">
        <v>524</v>
      </c>
      <c r="AC6" s="3386" t="s">
        <v>525</v>
      </c>
    </row>
    <row r="7" spans="1:29" ht="15">
      <c r="A7" s="513"/>
      <c r="B7" s="514"/>
      <c r="C7" s="3405" t="s">
        <v>2917</v>
      </c>
      <c r="D7" s="3406"/>
      <c r="E7" s="3425" t="s">
        <v>2918</v>
      </c>
      <c r="F7" s="3426"/>
      <c r="G7" s="3405" t="s">
        <v>2919</v>
      </c>
      <c r="H7" s="3406"/>
      <c r="I7" s="3405" t="s">
        <v>2920</v>
      </c>
      <c r="J7" s="3406"/>
      <c r="K7" s="512"/>
      <c r="L7" s="2115"/>
      <c r="M7" s="2116"/>
      <c r="N7" s="2116"/>
      <c r="O7" s="2116"/>
      <c r="P7" s="3393"/>
      <c r="Q7" s="3394"/>
      <c r="R7" s="3399"/>
      <c r="S7" s="3400"/>
      <c r="T7" s="3399"/>
      <c r="U7" s="3400"/>
      <c r="V7" s="3384"/>
      <c r="W7" s="3384"/>
      <c r="X7" s="1550"/>
      <c r="Y7" s="3399"/>
      <c r="Z7" s="3400"/>
      <c r="AA7" s="3387"/>
      <c r="AB7" s="3387"/>
      <c r="AC7" s="3387"/>
    </row>
    <row r="8" spans="1:29" ht="15.75" thickBot="1">
      <c r="A8" s="515"/>
      <c r="B8" s="516"/>
      <c r="C8" s="3403" t="s">
        <v>2921</v>
      </c>
      <c r="D8" s="3404"/>
      <c r="E8" s="3421" t="s">
        <v>2921</v>
      </c>
      <c r="F8" s="3422"/>
      <c r="G8" s="3403" t="s">
        <v>2921</v>
      </c>
      <c r="H8" s="3404"/>
      <c r="I8" s="3403" t="s">
        <v>2921</v>
      </c>
      <c r="J8" s="3404"/>
      <c r="K8" s="512" t="s">
        <v>528</v>
      </c>
      <c r="L8" s="2115"/>
      <c r="M8" s="2116"/>
      <c r="N8" s="2116"/>
      <c r="O8" s="2116"/>
      <c r="P8" s="3395"/>
      <c r="Q8" s="3396"/>
      <c r="R8" s="3399"/>
      <c r="S8" s="3400"/>
      <c r="T8" s="3401"/>
      <c r="U8" s="3402"/>
      <c r="V8" s="3384"/>
      <c r="W8" s="3384"/>
      <c r="X8" s="1550"/>
      <c r="Y8" s="3401"/>
      <c r="Z8" s="3402"/>
      <c r="AA8" s="3388"/>
      <c r="AB8" s="3388"/>
      <c r="AC8" s="3388"/>
    </row>
    <row r="9" spans="1:29" s="1214" customFormat="1" ht="15.75" thickBot="1">
      <c r="A9" s="2864"/>
      <c r="B9" s="2871" t="s">
        <v>529</v>
      </c>
      <c r="C9" s="517">
        <f>'数据-取费表'!B2</f>
        <v>43833</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4" t="s">
        <v>530</v>
      </c>
      <c r="Q9" s="3416"/>
      <c r="R9" s="1551" t="s">
        <v>8</v>
      </c>
      <c r="S9" s="1552">
        <f t="shared" ref="S9:S17" si="0">F9</f>
        <v>0</v>
      </c>
      <c r="T9" s="1551" t="s">
        <v>8</v>
      </c>
      <c r="U9" s="1552">
        <f t="shared" ref="U9:U17" si="1">H9</f>
        <v>0</v>
      </c>
      <c r="V9" s="1551" t="s">
        <v>8</v>
      </c>
      <c r="W9" s="1552">
        <f t="shared" ref="W9:W17" si="2">J9</f>
        <v>0</v>
      </c>
      <c r="X9" s="1553"/>
      <c r="Y9" s="3414" t="s">
        <v>530</v>
      </c>
      <c r="Z9" s="3415"/>
      <c r="AA9" s="1554" t="e">
        <f>D9/F9</f>
        <v>#DIV/0!</v>
      </c>
      <c r="AB9" s="1554" t="e">
        <f>D9/H9</f>
        <v>#DIV/0!</v>
      </c>
      <c r="AC9" s="1554" t="e">
        <f>D9/J9</f>
        <v>#DIV/0!</v>
      </c>
    </row>
    <row r="10" spans="1:29" s="1214"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4" t="s">
        <v>533</v>
      </c>
      <c r="Q10" s="3415"/>
      <c r="R10" s="1551" t="s">
        <v>8</v>
      </c>
      <c r="S10" s="1552">
        <f t="shared" si="0"/>
        <v>0</v>
      </c>
      <c r="T10" s="1551" t="s">
        <v>8</v>
      </c>
      <c r="U10" s="1552">
        <f t="shared" si="1"/>
        <v>0</v>
      </c>
      <c r="V10" s="1551" t="s">
        <v>8</v>
      </c>
      <c r="W10" s="1552">
        <f t="shared" si="2"/>
        <v>0</v>
      </c>
      <c r="X10" s="1553"/>
      <c r="Y10" s="3414" t="s">
        <v>533</v>
      </c>
      <c r="Z10" s="3415"/>
      <c r="AA10" s="1554" t="e">
        <f t="shared" ref="AA10:AA42" si="3">D10/F10</f>
        <v>#DIV/0!</v>
      </c>
      <c r="AB10" s="1554" t="e">
        <f t="shared" ref="AB10:AB42" si="4">D10/H10</f>
        <v>#DIV/0!</v>
      </c>
      <c r="AC10" s="1554" t="e">
        <f t="shared" ref="AC10:AC42" si="5">D10/J10</f>
        <v>#DIV/0!</v>
      </c>
    </row>
    <row r="11" spans="1:29" s="1214" customFormat="1" ht="15">
      <c r="A11" s="2866"/>
      <c r="B11" s="2873" t="s">
        <v>2751</v>
      </c>
      <c r="C11" s="524"/>
      <c r="D11" s="253">
        <v>100</v>
      </c>
      <c r="E11" s="524"/>
      <c r="F11" s="253">
        <f>SUMIF(72:72,E11,73:73)-SUMIF(72:72,C11,73:73)+100</f>
        <v>100</v>
      </c>
      <c r="G11" s="524"/>
      <c r="H11" s="253">
        <f>SUMIF(72:72,G11,73:73)-SUMIF(72:72,C11,73:73)+100</f>
        <v>100</v>
      </c>
      <c r="I11" s="524"/>
      <c r="J11" s="253">
        <f>SUMIF(72:72,I11,73:73)-SUMIF(72:72,C11,73:73)+100</f>
        <v>100</v>
      </c>
      <c r="K11" s="522"/>
      <c r="L11" s="2117"/>
      <c r="M11" s="2118"/>
      <c r="N11" s="2118"/>
      <c r="O11" s="2119"/>
      <c r="P11" s="3383" t="s">
        <v>535</v>
      </c>
      <c r="Q11" s="1145" t="str">
        <f t="shared" ref="Q11:Q17" si="6">B11</f>
        <v>用途</v>
      </c>
      <c r="R11" s="1551" t="s">
        <v>8</v>
      </c>
      <c r="S11" s="1552">
        <f t="shared" si="0"/>
        <v>100</v>
      </c>
      <c r="T11" s="1551" t="s">
        <v>8</v>
      </c>
      <c r="U11" s="1552">
        <f t="shared" si="1"/>
        <v>100</v>
      </c>
      <c r="V11" s="1551" t="s">
        <v>8</v>
      </c>
      <c r="W11" s="1552">
        <f t="shared" si="2"/>
        <v>100</v>
      </c>
      <c r="X11" s="1553"/>
      <c r="Y11" s="3329" t="s">
        <v>536</v>
      </c>
      <c r="Z11" s="1144" t="str">
        <f t="shared" ref="Z11:Z17" si="7">Q11</f>
        <v>用途</v>
      </c>
      <c r="AA11" s="1554">
        <f t="shared" si="3"/>
        <v>1</v>
      </c>
      <c r="AB11" s="1554">
        <f t="shared" si="4"/>
        <v>1</v>
      </c>
      <c r="AC11" s="1554">
        <f t="shared" si="5"/>
        <v>1</v>
      </c>
    </row>
    <row r="12" spans="1:29" s="1332" customFormat="1" ht="27">
      <c r="A12" s="2867"/>
      <c r="B12" s="2872" t="s">
        <v>2752</v>
      </c>
      <c r="C12" s="526"/>
      <c r="D12" s="254">
        <v>100</v>
      </c>
      <c r="E12" s="526"/>
      <c r="F12" s="254">
        <f>ROUND(100/'数据-取费表'!G16,0)</f>
        <v>100</v>
      </c>
      <c r="G12" s="526"/>
      <c r="H12" s="254">
        <f>ROUND(100/'数据-取费表'!G16,0)</f>
        <v>100</v>
      </c>
      <c r="I12" s="526"/>
      <c r="J12" s="254">
        <f>ROUND(100/'数据-取费表'!G16,0)</f>
        <v>100</v>
      </c>
      <c r="K12" s="529"/>
      <c r="L12" s="2120"/>
      <c r="M12" s="2160"/>
      <c r="N12" s="2160"/>
      <c r="O12" s="2121"/>
      <c r="P12" s="3383"/>
      <c r="Q12" s="1145" t="str">
        <f t="shared" si="6"/>
        <v>土地使用年限（年）</v>
      </c>
      <c r="R12" s="1551" t="s">
        <v>8</v>
      </c>
      <c r="S12" s="1552">
        <f t="shared" si="0"/>
        <v>100</v>
      </c>
      <c r="T12" s="1551" t="s">
        <v>8</v>
      </c>
      <c r="U12" s="1552">
        <f t="shared" si="1"/>
        <v>100</v>
      </c>
      <c r="V12" s="1551" t="s">
        <v>8</v>
      </c>
      <c r="W12" s="1552">
        <f t="shared" si="2"/>
        <v>100</v>
      </c>
      <c r="X12" s="1553"/>
      <c r="Y12" s="3329"/>
      <c r="Z12" s="1144" t="str">
        <f t="shared" si="7"/>
        <v>土地使用年限（年）</v>
      </c>
      <c r="AA12" s="1554">
        <f t="shared" si="3"/>
        <v>1</v>
      </c>
      <c r="AB12" s="1554">
        <f t="shared" si="4"/>
        <v>1</v>
      </c>
      <c r="AC12" s="1554">
        <f t="shared" si="5"/>
        <v>1</v>
      </c>
    </row>
    <row r="13" spans="1:29" ht="15">
      <c r="A13" s="2868"/>
      <c r="B13" s="2872" t="s">
        <v>2753</v>
      </c>
      <c r="C13" s="531"/>
      <c r="D13" s="254">
        <v>100</v>
      </c>
      <c r="E13" s="531"/>
      <c r="F13" s="254" t="e">
        <f>LOOKUP(E13,77:77,78:78)-LOOKUP(C13,77:77,78:78)+100</f>
        <v>#N/A</v>
      </c>
      <c r="G13" s="532"/>
      <c r="H13" s="254" t="e">
        <f>LOOKUP(G13,77:77,78:78)-LOOKUP(C13,77:77,78:78)+100</f>
        <v>#N/A</v>
      </c>
      <c r="I13" s="531"/>
      <c r="J13" s="254" t="e">
        <f>LOOKUP(I13,77:77,78:78)-LOOKUP(C13,77:77,78:78)+100</f>
        <v>#N/A</v>
      </c>
      <c r="K13" s="533"/>
      <c r="L13" s="2122"/>
      <c r="M13" s="2116"/>
      <c r="N13" s="2116"/>
      <c r="O13" s="2123"/>
      <c r="P13" s="3383"/>
      <c r="Q13" s="1145" t="str">
        <f t="shared" si="6"/>
        <v>容积率</v>
      </c>
      <c r="R13" s="1551" t="s">
        <v>8</v>
      </c>
      <c r="S13" s="1552" t="e">
        <f t="shared" si="0"/>
        <v>#N/A</v>
      </c>
      <c r="T13" s="1551" t="s">
        <v>8</v>
      </c>
      <c r="U13" s="1552" t="e">
        <f t="shared" si="1"/>
        <v>#N/A</v>
      </c>
      <c r="V13" s="1551" t="s">
        <v>8</v>
      </c>
      <c r="W13" s="1552" t="e">
        <f t="shared" si="2"/>
        <v>#N/A</v>
      </c>
      <c r="X13" s="1553"/>
      <c r="Y13" s="3329"/>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4">
        <f>SUMIF(79:79,E14,80:80)-SUMIF(79:79,C14,80:80)+100</f>
        <v>100</v>
      </c>
      <c r="G14" s="540"/>
      <c r="H14" s="254">
        <f>SUMIF(79:79,G14,80:80)-SUMIF(79:79,C14,80:80)+100</f>
        <v>100</v>
      </c>
      <c r="I14" s="539"/>
      <c r="J14" s="254">
        <f>SUMIF(79:79,I14,80:80)-SUMIF(79:79,C14,80:80)+100</f>
        <v>100</v>
      </c>
      <c r="K14" s="529"/>
      <c r="L14" s="2117"/>
      <c r="M14" s="2118"/>
      <c r="N14" s="2118"/>
      <c r="O14" s="2119"/>
      <c r="P14" s="3383"/>
      <c r="Q14" s="1145">
        <f t="shared" si="6"/>
        <v>111</v>
      </c>
      <c r="R14" s="1551" t="s">
        <v>8</v>
      </c>
      <c r="S14" s="1552">
        <f t="shared" si="0"/>
        <v>100</v>
      </c>
      <c r="T14" s="1551" t="s">
        <v>8</v>
      </c>
      <c r="U14" s="1552">
        <f t="shared" si="1"/>
        <v>100</v>
      </c>
      <c r="V14" s="1551" t="s">
        <v>8</v>
      </c>
      <c r="W14" s="1552">
        <f t="shared" si="2"/>
        <v>100</v>
      </c>
      <c r="X14" s="1553"/>
      <c r="Y14" s="3329"/>
      <c r="Z14" s="1144">
        <f t="shared" si="7"/>
        <v>111</v>
      </c>
      <c r="AA14" s="1554">
        <f>D14/F14</f>
        <v>1</v>
      </c>
      <c r="AB14" s="1554">
        <f>D14/H14</f>
        <v>1</v>
      </c>
      <c r="AC14" s="1554">
        <f>D14/J14</f>
        <v>1</v>
      </c>
    </row>
    <row r="15" spans="1:29" ht="15">
      <c r="A15" s="2869"/>
      <c r="B15" s="2875">
        <v>111</v>
      </c>
      <c r="C15" s="537"/>
      <c r="D15" s="538">
        <v>100</v>
      </c>
      <c r="E15" s="539"/>
      <c r="F15" s="254">
        <f>SUMIF(81:81,E15,82:82)-SUMIF(81:81,C15,82:82)+100</f>
        <v>100</v>
      </c>
      <c r="G15" s="540"/>
      <c r="H15" s="538">
        <f>SUMIF(81:81,G15,82:82)-SUMIF(81:81,C15,82:82)+100</f>
        <v>100</v>
      </c>
      <c r="I15" s="539"/>
      <c r="J15" s="538">
        <f>SUMIF(81:81,I15,82:82)-SUMIF(81:81,C15,82:82)+100</f>
        <v>100</v>
      </c>
      <c r="K15" s="529"/>
      <c r="L15" s="2124"/>
      <c r="M15" s="2116"/>
      <c r="N15" s="2116"/>
      <c r="O15" s="2123"/>
      <c r="P15" s="3383"/>
      <c r="Q15" s="1145">
        <f t="shared" si="6"/>
        <v>111</v>
      </c>
      <c r="R15" s="1551" t="s">
        <v>8</v>
      </c>
      <c r="S15" s="1552">
        <f t="shared" si="0"/>
        <v>100</v>
      </c>
      <c r="T15" s="1551" t="s">
        <v>8</v>
      </c>
      <c r="U15" s="1552">
        <f t="shared" si="1"/>
        <v>100</v>
      </c>
      <c r="V15" s="1551" t="s">
        <v>8</v>
      </c>
      <c r="W15" s="1552">
        <f t="shared" si="2"/>
        <v>100</v>
      </c>
      <c r="X15" s="1553"/>
      <c r="Y15" s="3329"/>
      <c r="Z15" s="1144">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3"/>
      <c r="Q16" s="1145">
        <f t="shared" si="6"/>
        <v>111</v>
      </c>
      <c r="R16" s="1551" t="s">
        <v>8</v>
      </c>
      <c r="S16" s="1552">
        <f t="shared" si="0"/>
        <v>100</v>
      </c>
      <c r="T16" s="1551" t="s">
        <v>8</v>
      </c>
      <c r="U16" s="1552">
        <f t="shared" si="1"/>
        <v>100</v>
      </c>
      <c r="V16" s="1551" t="s">
        <v>8</v>
      </c>
      <c r="W16" s="1552">
        <f t="shared" si="2"/>
        <v>100</v>
      </c>
      <c r="X16" s="1553"/>
      <c r="Y16" s="3329"/>
      <c r="Z16" s="1144">
        <f t="shared" si="7"/>
        <v>111</v>
      </c>
      <c r="AA16" s="1554">
        <f t="shared" si="3"/>
        <v>1</v>
      </c>
      <c r="AB16" s="1554">
        <f t="shared" si="4"/>
        <v>1</v>
      </c>
      <c r="AC16" s="1554">
        <f t="shared" si="5"/>
        <v>1</v>
      </c>
    </row>
    <row r="17" spans="1:29" ht="57">
      <c r="A17" s="2862" t="s">
        <v>2749</v>
      </c>
      <c r="B17" s="165"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7" t="s">
        <v>540</v>
      </c>
      <c r="Q17" s="1555" t="str">
        <f t="shared" si="6"/>
        <v>产业集聚程度</v>
      </c>
      <c r="R17" s="1556" t="s">
        <v>8</v>
      </c>
      <c r="S17" s="1557">
        <f t="shared" si="0"/>
        <v>100</v>
      </c>
      <c r="T17" s="1556" t="s">
        <v>8</v>
      </c>
      <c r="U17" s="1557">
        <f t="shared" si="1"/>
        <v>100</v>
      </c>
      <c r="V17" s="1556" t="s">
        <v>8</v>
      </c>
      <c r="W17" s="1557">
        <f t="shared" si="2"/>
        <v>100</v>
      </c>
      <c r="X17" s="1550"/>
      <c r="Y17" s="3417"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8"/>
      <c r="Q18" s="1555"/>
      <c r="R18" s="1556"/>
      <c r="S18" s="1557"/>
      <c r="T18" s="1556"/>
      <c r="U18" s="1557"/>
      <c r="V18" s="1556"/>
      <c r="W18" s="1557"/>
      <c r="X18" s="1550"/>
      <c r="Y18" s="3418"/>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8"/>
      <c r="Q19" s="1555" t="str">
        <f>B19</f>
        <v>交通便捷度</v>
      </c>
      <c r="R19" s="1556" t="s">
        <v>8</v>
      </c>
      <c r="S19" s="1557">
        <f>F19</f>
        <v>100</v>
      </c>
      <c r="T19" s="1556" t="s">
        <v>8</v>
      </c>
      <c r="U19" s="1557">
        <f>H19</f>
        <v>100</v>
      </c>
      <c r="V19" s="1556" t="s">
        <v>8</v>
      </c>
      <c r="W19" s="1557">
        <f>J19</f>
        <v>100</v>
      </c>
      <c r="X19" s="1550"/>
      <c r="Y19" s="3418"/>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18"/>
      <c r="Q20" s="1555"/>
      <c r="R20" s="1556"/>
      <c r="S20" s="1557"/>
      <c r="T20" s="1556"/>
      <c r="U20" s="1557"/>
      <c r="V20" s="1556"/>
      <c r="W20" s="1557"/>
      <c r="X20" s="1550"/>
      <c r="Y20" s="3418"/>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418"/>
      <c r="Q21" s="1555" t="str">
        <f t="shared" ref="Q21:Q35" si="8">B21</f>
        <v>区域土地利用方向</v>
      </c>
      <c r="R21" s="1556" t="s">
        <v>8</v>
      </c>
      <c r="S21" s="1557">
        <f>F21</f>
        <v>100</v>
      </c>
      <c r="T21" s="1556" t="s">
        <v>8</v>
      </c>
      <c r="U21" s="1557">
        <f>H21</f>
        <v>100</v>
      </c>
      <c r="V21" s="1556" t="s">
        <v>8</v>
      </c>
      <c r="W21" s="1557">
        <f>J21</f>
        <v>100</v>
      </c>
      <c r="X21" s="1550"/>
      <c r="Y21" s="3418"/>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418"/>
      <c r="Q22" s="1555"/>
      <c r="R22" s="1556"/>
      <c r="S22" s="1557"/>
      <c r="T22" s="1556"/>
      <c r="U22" s="1557"/>
      <c r="V22" s="1556"/>
      <c r="W22" s="1557"/>
      <c r="X22" s="1550"/>
      <c r="Y22" s="3418"/>
      <c r="Z22" s="1558"/>
      <c r="AA22" s="1559"/>
      <c r="AB22" s="1559"/>
      <c r="AC22" s="1559"/>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8"/>
      <c r="Q23" s="1555" t="str">
        <f t="shared" si="8"/>
        <v>环境状况</v>
      </c>
      <c r="R23" s="1556" t="s">
        <v>8</v>
      </c>
      <c r="S23" s="1557">
        <f>F23</f>
        <v>100</v>
      </c>
      <c r="T23" s="1556" t="s">
        <v>8</v>
      </c>
      <c r="U23" s="1557">
        <f>H23</f>
        <v>100</v>
      </c>
      <c r="V23" s="1556" t="s">
        <v>8</v>
      </c>
      <c r="W23" s="1557">
        <f>J23</f>
        <v>100</v>
      </c>
      <c r="X23" s="1550"/>
      <c r="Y23" s="3418"/>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8"/>
      <c r="Q24" s="1555"/>
      <c r="R24" s="1556"/>
      <c r="S24" s="1557"/>
      <c r="T24" s="1556"/>
      <c r="U24" s="1557"/>
      <c r="V24" s="1556"/>
      <c r="W24" s="1557"/>
      <c r="X24" s="1550"/>
      <c r="Y24" s="3418"/>
      <c r="Z24" s="1558"/>
      <c r="AA24" s="1559">
        <v>1</v>
      </c>
      <c r="AB24" s="1559">
        <v>1</v>
      </c>
      <c r="AC24" s="1559">
        <v>1</v>
      </c>
    </row>
    <row r="25" spans="1:29" s="1214" customFormat="1" ht="42.75">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8"/>
      <c r="Q25" s="1145" t="str">
        <f t="shared" si="8"/>
        <v>公共配套设施</v>
      </c>
      <c r="R25" s="1551" t="s">
        <v>8</v>
      </c>
      <c r="S25" s="1552">
        <f>F25</f>
        <v>100</v>
      </c>
      <c r="T25" s="1551" t="s">
        <v>8</v>
      </c>
      <c r="U25" s="1552">
        <f>H25</f>
        <v>100</v>
      </c>
      <c r="V25" s="1551" t="s">
        <v>8</v>
      </c>
      <c r="W25" s="1552">
        <f>J25</f>
        <v>100</v>
      </c>
      <c r="X25" s="1553"/>
      <c r="Y25" s="3418"/>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418"/>
      <c r="Q26" s="1145"/>
      <c r="R26" s="1551"/>
      <c r="S26" s="1552"/>
      <c r="T26" s="1551"/>
      <c r="U26" s="1552"/>
      <c r="V26" s="1551"/>
      <c r="W26" s="1552"/>
      <c r="X26" s="1553"/>
      <c r="Y26" s="3418"/>
      <c r="Z26" s="1144"/>
      <c r="AA26" s="1554">
        <v>1</v>
      </c>
      <c r="AB26" s="1554">
        <v>1</v>
      </c>
      <c r="AC26" s="1554">
        <v>1</v>
      </c>
    </row>
    <row r="27" spans="1:29" s="1214" customFormat="1" ht="28.5">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8"/>
      <c r="Q27" s="2539" t="str">
        <f t="shared" ref="Q27" si="9">B27</f>
        <v>基础设施水平</v>
      </c>
      <c r="R27" s="1551" t="s">
        <v>8</v>
      </c>
      <c r="S27" s="1552">
        <f>F27</f>
        <v>100</v>
      </c>
      <c r="T27" s="1551" t="s">
        <v>8</v>
      </c>
      <c r="U27" s="1552">
        <f>H27</f>
        <v>100</v>
      </c>
      <c r="V27" s="1551" t="s">
        <v>8</v>
      </c>
      <c r="W27" s="1552">
        <f>J27</f>
        <v>100</v>
      </c>
      <c r="X27" s="1553"/>
      <c r="Y27" s="3418"/>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418"/>
      <c r="Q28" s="2539"/>
      <c r="R28" s="1551"/>
      <c r="S28" s="1552"/>
      <c r="T28" s="1551"/>
      <c r="U28" s="1552"/>
      <c r="V28" s="1551"/>
      <c r="W28" s="1552"/>
      <c r="X28" s="1553"/>
      <c r="Y28" s="3418"/>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8"/>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8"/>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8"/>
      <c r="Q30" s="1555" t="str">
        <f t="shared" si="8"/>
        <v>毗邻道路的类型与等级</v>
      </c>
      <c r="R30" s="1556" t="s">
        <v>8</v>
      </c>
      <c r="S30" s="1557">
        <f t="shared" si="10"/>
        <v>100</v>
      </c>
      <c r="T30" s="1556" t="s">
        <v>8</v>
      </c>
      <c r="U30" s="1557">
        <f t="shared" si="11"/>
        <v>100</v>
      </c>
      <c r="V30" s="1556" t="s">
        <v>8</v>
      </c>
      <c r="W30" s="1557">
        <f t="shared" si="12"/>
        <v>100</v>
      </c>
      <c r="X30" s="1550"/>
      <c r="Y30" s="3418"/>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8"/>
      <c r="Q31" s="1555"/>
      <c r="R31" s="1556"/>
      <c r="S31" s="1557"/>
      <c r="T31" s="1556"/>
      <c r="U31" s="1557"/>
      <c r="V31" s="1556"/>
      <c r="W31" s="1557"/>
      <c r="X31" s="1550"/>
      <c r="Y31" s="3418"/>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8"/>
      <c r="Q32" s="1555" t="str">
        <f t="shared" si="8"/>
        <v>土地级别</v>
      </c>
      <c r="R32" s="1556" t="s">
        <v>8</v>
      </c>
      <c r="S32" s="1557">
        <f t="shared" si="10"/>
        <v>100</v>
      </c>
      <c r="T32" s="1556" t="s">
        <v>8</v>
      </c>
      <c r="U32" s="1557">
        <f t="shared" si="11"/>
        <v>100</v>
      </c>
      <c r="V32" s="1556" t="s">
        <v>8</v>
      </c>
      <c r="W32" s="1557">
        <f t="shared" si="12"/>
        <v>100</v>
      </c>
      <c r="X32" s="1550"/>
      <c r="Y32" s="3418"/>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8"/>
      <c r="Q33" s="1555">
        <f t="shared" si="8"/>
        <v>111</v>
      </c>
      <c r="R33" s="1556" t="s">
        <v>8</v>
      </c>
      <c r="S33" s="1557">
        <f t="shared" si="10"/>
        <v>100</v>
      </c>
      <c r="T33" s="1556" t="s">
        <v>8</v>
      </c>
      <c r="U33" s="1557">
        <f t="shared" si="11"/>
        <v>100</v>
      </c>
      <c r="V33" s="1556" t="s">
        <v>8</v>
      </c>
      <c r="W33" s="1557">
        <f t="shared" si="12"/>
        <v>100</v>
      </c>
      <c r="X33" s="1550"/>
      <c r="Y33" s="3418"/>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9" t="s">
        <v>550</v>
      </c>
      <c r="Q34" s="1555">
        <f t="shared" si="8"/>
        <v>111</v>
      </c>
      <c r="R34" s="1556" t="s">
        <v>8</v>
      </c>
      <c r="S34" s="1557">
        <f t="shared" si="10"/>
        <v>100</v>
      </c>
      <c r="T34" s="1556" t="s">
        <v>8</v>
      </c>
      <c r="U34" s="1557">
        <f t="shared" si="11"/>
        <v>100</v>
      </c>
      <c r="V34" s="1556" t="s">
        <v>8</v>
      </c>
      <c r="W34" s="1557">
        <f t="shared" si="12"/>
        <v>100</v>
      </c>
      <c r="X34" s="1550"/>
      <c r="Y34" s="3420" t="s">
        <v>550</v>
      </c>
      <c r="Z34" s="1558">
        <f t="shared" si="13"/>
        <v>111</v>
      </c>
      <c r="AA34" s="1559">
        <f t="shared" si="3"/>
        <v>1</v>
      </c>
      <c r="AB34" s="1559">
        <f t="shared" si="4"/>
        <v>1</v>
      </c>
      <c r="AC34" s="1559">
        <f t="shared" si="5"/>
        <v>1</v>
      </c>
    </row>
    <row r="35" spans="1:29" s="1333" customFormat="1" ht="15.75" thickBot="1">
      <c r="A35" s="587"/>
      <c r="B35" s="2555">
        <v>111</v>
      </c>
      <c r="C35" s="591"/>
      <c r="D35" s="255">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0"/>
      <c r="Q35" s="1555">
        <f t="shared" si="8"/>
        <v>111</v>
      </c>
      <c r="R35" s="1560" t="s">
        <v>8</v>
      </c>
      <c r="S35" s="1561">
        <f t="shared" si="10"/>
        <v>100</v>
      </c>
      <c r="T35" s="1560" t="s">
        <v>8</v>
      </c>
      <c r="U35" s="1561">
        <f t="shared" si="11"/>
        <v>100</v>
      </c>
      <c r="V35" s="1560" t="s">
        <v>8</v>
      </c>
      <c r="W35" s="1561">
        <f t="shared" si="12"/>
        <v>100</v>
      </c>
      <c r="X35" s="1562"/>
      <c r="Y35" s="3420"/>
      <c r="Z35" s="1563">
        <f t="shared" si="13"/>
        <v>111</v>
      </c>
      <c r="AA35" s="1559">
        <f t="shared" si="3"/>
        <v>1</v>
      </c>
      <c r="AB35" s="1559">
        <f t="shared" si="4"/>
        <v>1</v>
      </c>
      <c r="AC35" s="1559">
        <f t="shared" si="5"/>
        <v>1</v>
      </c>
    </row>
    <row r="36" spans="1:29" ht="15">
      <c r="A36" s="2859"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0"/>
      <c r="Q36" s="1555" t="str">
        <f>B36</f>
        <v>宗地面积</v>
      </c>
      <c r="R36" s="1556" t="s">
        <v>8</v>
      </c>
      <c r="S36" s="1557" t="e">
        <f t="shared" si="10"/>
        <v>#N/A</v>
      </c>
      <c r="T36" s="1556" t="s">
        <v>8</v>
      </c>
      <c r="U36" s="1557" t="e">
        <f t="shared" si="11"/>
        <v>#N/A</v>
      </c>
      <c r="V36" s="1556" t="s">
        <v>8</v>
      </c>
      <c r="W36" s="1557" t="e">
        <f t="shared" si="12"/>
        <v>#N/A</v>
      </c>
      <c r="X36" s="1550"/>
      <c r="Y36" s="3420"/>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0"/>
      <c r="Q37" s="1555" t="str">
        <f t="shared" ref="Q37:Q42" si="14">B37</f>
        <v>宗地形状</v>
      </c>
      <c r="R37" s="1556" t="s">
        <v>8</v>
      </c>
      <c r="S37" s="1557">
        <f t="shared" si="10"/>
        <v>100</v>
      </c>
      <c r="T37" s="1556" t="s">
        <v>8</v>
      </c>
      <c r="U37" s="1557">
        <f t="shared" si="11"/>
        <v>100</v>
      </c>
      <c r="V37" s="1556" t="s">
        <v>8</v>
      </c>
      <c r="W37" s="1557">
        <f t="shared" si="12"/>
        <v>100</v>
      </c>
      <c r="X37" s="1550"/>
      <c r="Y37" s="3420"/>
      <c r="Z37" s="1558" t="str">
        <f t="shared" si="13"/>
        <v>宗地形状</v>
      </c>
      <c r="AA37" s="1559">
        <f t="shared" si="3"/>
        <v>1</v>
      </c>
      <c r="AB37" s="1559">
        <f t="shared" si="4"/>
        <v>1</v>
      </c>
      <c r="AC37" s="1559">
        <f t="shared" si="5"/>
        <v>1</v>
      </c>
    </row>
    <row r="38" spans="1:29" s="1214" customFormat="1" ht="15">
      <c r="A38" s="598"/>
      <c r="B38" s="1877" t="s">
        <v>2420</v>
      </c>
      <c r="C38" s="599"/>
      <c r="D38" s="254">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0"/>
      <c r="Q38" s="1555" t="str">
        <f t="shared" si="14"/>
        <v>宗地开发程度</v>
      </c>
      <c r="R38" s="1551" t="s">
        <v>8</v>
      </c>
      <c r="S38" s="1552">
        <f t="shared" si="10"/>
        <v>100</v>
      </c>
      <c r="T38" s="1551" t="s">
        <v>8</v>
      </c>
      <c r="U38" s="1552">
        <f t="shared" si="11"/>
        <v>100</v>
      </c>
      <c r="V38" s="1551" t="s">
        <v>8</v>
      </c>
      <c r="W38" s="1552">
        <f t="shared" si="12"/>
        <v>100</v>
      </c>
      <c r="X38" s="1553"/>
      <c r="Y38" s="3420"/>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0" t="s">
        <v>601</v>
      </c>
      <c r="Q39" s="1555" t="str">
        <f t="shared" si="14"/>
        <v>工程地质条件</v>
      </c>
      <c r="R39" s="1556" t="s">
        <v>8</v>
      </c>
      <c r="S39" s="1557">
        <f t="shared" si="10"/>
        <v>100</v>
      </c>
      <c r="T39" s="1556" t="s">
        <v>8</v>
      </c>
      <c r="U39" s="1557">
        <f t="shared" si="11"/>
        <v>100</v>
      </c>
      <c r="V39" s="1556" t="s">
        <v>8</v>
      </c>
      <c r="W39" s="1557">
        <f t="shared" si="12"/>
        <v>100</v>
      </c>
      <c r="X39" s="1550"/>
      <c r="Y39" s="3420"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0"/>
      <c r="Q40" s="1555">
        <f t="shared" si="14"/>
        <v>111</v>
      </c>
      <c r="R40" s="1556" t="s">
        <v>8</v>
      </c>
      <c r="S40" s="1557">
        <f t="shared" si="10"/>
        <v>100</v>
      </c>
      <c r="T40" s="1556" t="s">
        <v>8</v>
      </c>
      <c r="U40" s="1557">
        <f t="shared" si="11"/>
        <v>100</v>
      </c>
      <c r="V40" s="1556" t="s">
        <v>8</v>
      </c>
      <c r="W40" s="1557">
        <f t="shared" si="12"/>
        <v>100</v>
      </c>
      <c r="X40" s="1550"/>
      <c r="Y40" s="3420"/>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0"/>
      <c r="Q41" s="1555">
        <f t="shared" si="14"/>
        <v>111</v>
      </c>
      <c r="R41" s="1556" t="s">
        <v>8</v>
      </c>
      <c r="S41" s="1557">
        <f t="shared" si="10"/>
        <v>100</v>
      </c>
      <c r="T41" s="1556" t="s">
        <v>8</v>
      </c>
      <c r="U41" s="1557">
        <f t="shared" si="11"/>
        <v>100</v>
      </c>
      <c r="V41" s="1556" t="s">
        <v>8</v>
      </c>
      <c r="W41" s="1557">
        <f t="shared" si="12"/>
        <v>100</v>
      </c>
      <c r="X41" s="1550"/>
      <c r="Y41" s="3420"/>
      <c r="Z41" s="1558">
        <f t="shared" si="13"/>
        <v>111</v>
      </c>
      <c r="AA41" s="1559">
        <f t="shared" si="3"/>
        <v>1</v>
      </c>
      <c r="AB41" s="1559">
        <f t="shared" si="4"/>
        <v>1</v>
      </c>
      <c r="AC41" s="1559">
        <f t="shared" si="5"/>
        <v>1</v>
      </c>
    </row>
    <row r="42" spans="1:29" s="1333" customFormat="1" ht="15.75" thickBot="1">
      <c r="A42" s="601"/>
      <c r="B42" s="600">
        <v>111</v>
      </c>
      <c r="C42" s="602"/>
      <c r="D42" s="255">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0"/>
      <c r="Q42" s="1555">
        <f t="shared" si="14"/>
        <v>111</v>
      </c>
      <c r="R42" s="1560" t="s">
        <v>8</v>
      </c>
      <c r="S42" s="1561">
        <f t="shared" si="10"/>
        <v>100</v>
      </c>
      <c r="T42" s="1560" t="s">
        <v>8</v>
      </c>
      <c r="U42" s="1561">
        <f t="shared" si="11"/>
        <v>100</v>
      </c>
      <c r="V42" s="1560" t="s">
        <v>8</v>
      </c>
      <c r="W42" s="1561">
        <f t="shared" si="12"/>
        <v>100</v>
      </c>
      <c r="X42" s="1562"/>
      <c r="Y42" s="3420"/>
      <c r="Z42" s="1563">
        <f t="shared" si="13"/>
        <v>111</v>
      </c>
      <c r="AA42" s="1559">
        <f t="shared" si="3"/>
        <v>1</v>
      </c>
      <c r="AB42" s="1559">
        <f t="shared" si="4"/>
        <v>1</v>
      </c>
      <c r="AC42" s="1559">
        <f t="shared" si="5"/>
        <v>1</v>
      </c>
    </row>
    <row r="43" spans="1:29" ht="15">
      <c r="A43" s="605" t="s">
        <v>556</v>
      </c>
      <c r="B43" s="606" t="s">
        <v>2922</v>
      </c>
      <c r="C43" s="607" t="s">
        <v>1</v>
      </c>
      <c r="D43" s="608"/>
      <c r="E43" s="609"/>
      <c r="F43" s="610"/>
      <c r="G43" s="611"/>
      <c r="H43" s="612"/>
      <c r="I43" s="609"/>
      <c r="J43" s="612"/>
      <c r="K43" s="1334"/>
      <c r="L43" s="2126"/>
      <c r="M43" s="2116"/>
      <c r="N43" s="2116"/>
      <c r="O43" s="2127"/>
      <c r="P43" s="3383" t="str">
        <f>A43</f>
        <v>成交单价</v>
      </c>
      <c r="Q43" s="3383"/>
      <c r="R43" s="3384">
        <f>E43</f>
        <v>0</v>
      </c>
      <c r="S43" s="3384"/>
      <c r="T43" s="3384">
        <f>G43</f>
        <v>0</v>
      </c>
      <c r="U43" s="3384"/>
      <c r="V43" s="3384">
        <f>I43</f>
        <v>0</v>
      </c>
      <c r="W43" s="3384"/>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5"/>
      <c r="L44" s="2126"/>
      <c r="M44" s="2116"/>
      <c r="N44" s="2116"/>
      <c r="O44" s="2127"/>
      <c r="P44" s="3383" t="str">
        <f>A44</f>
        <v>比较价格（元/平方米）</v>
      </c>
      <c r="Q44" s="3383"/>
      <c r="R44" s="3385" t="e">
        <f>ROUND(PRODUCT(R43,AA9:AA42),0)</f>
        <v>#DIV/0!</v>
      </c>
      <c r="S44" s="3385"/>
      <c r="T44" s="3385" t="e">
        <f>ROUND(PRODUCT(T43,AB9:AB42),0)</f>
        <v>#DIV/0!</v>
      </c>
      <c r="U44" s="3385"/>
      <c r="V44" s="3385" t="e">
        <f>ROUND(PRODUCT(V43,AC9:AC42),0)</f>
        <v>#DIV/0!</v>
      </c>
      <c r="W44" s="3385"/>
      <c r="X44" s="1542"/>
      <c r="Y44" s="1542"/>
      <c r="Z44" s="1542"/>
      <c r="AA44" s="1542"/>
      <c r="AB44" s="1542"/>
      <c r="AC44" s="1542"/>
    </row>
    <row r="45" spans="1:29" ht="15.75" thickBot="1">
      <c r="A45" s="619" t="s">
        <v>2923</v>
      </c>
      <c r="B45" s="620"/>
      <c r="C45" s="621" t="e">
        <f>R45</f>
        <v>#DIV/0!</v>
      </c>
      <c r="D45" s="621"/>
      <c r="E45" s="621"/>
      <c r="F45" s="621"/>
      <c r="G45" s="621"/>
      <c r="H45" s="621"/>
      <c r="I45" s="621"/>
      <c r="J45" s="621"/>
      <c r="K45" s="1336"/>
      <c r="L45" s="2126"/>
      <c r="M45" s="2116"/>
      <c r="N45" s="2116"/>
      <c r="O45" s="2127"/>
      <c r="P45" s="3380" t="str">
        <f>A45</f>
        <v>估价对象XX用房的比较价格（楼面单价，元/平方米）</v>
      </c>
      <c r="Q45" s="3381"/>
      <c r="R45" s="3382" t="e">
        <f>ROUND(AVERAGE(R44:V44),0)</f>
        <v>#DIV/0!</v>
      </c>
      <c r="S45" s="3382"/>
      <c r="T45" s="3382"/>
      <c r="U45" s="3382"/>
      <c r="V45" s="3382"/>
      <c r="W45" s="3382"/>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2289</v>
      </c>
      <c r="E52" s="629" t="s">
        <v>562</v>
      </c>
      <c r="F52" s="1933" t="s">
        <v>563</v>
      </c>
      <c r="G52" s="3427" t="s">
        <v>2280</v>
      </c>
      <c r="H52" s="3428"/>
      <c r="I52" s="1934" t="s">
        <v>1943</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564</v>
      </c>
      <c r="B53" s="632" t="e">
        <f>C45</f>
        <v>#DIV/0!</v>
      </c>
      <c r="C53" s="633">
        <v>1</v>
      </c>
      <c r="D53" s="2210">
        <v>1</v>
      </c>
      <c r="E53" s="633">
        <f>'数据-汇总表'!E8+'数据-汇总表'!E9</f>
        <v>138941.47999999998</v>
      </c>
      <c r="F53" s="1932" t="e">
        <f t="shared" ref="F53:F62" si="15">ROUND(B53*E53/10000,0)</f>
        <v>#DIV/0!</v>
      </c>
      <c r="G53" s="3429"/>
      <c r="H53" s="3430"/>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565</v>
      </c>
      <c r="B54" s="636" t="e">
        <f>ROUND($C$45*C54*D54,0)</f>
        <v>#DIV/0!</v>
      </c>
      <c r="C54" s="376">
        <f t="shared" ref="C54:C62" si="16">IF($C$52="北京市系数",I54,J54)</f>
        <v>0.6</v>
      </c>
      <c r="D54" s="2211">
        <v>0.25</v>
      </c>
      <c r="E54" s="637"/>
      <c r="F54" s="1932" t="e">
        <f t="shared" si="15"/>
        <v>#DIV/0!</v>
      </c>
      <c r="G54" s="3431" t="s">
        <v>2281</v>
      </c>
      <c r="H54" s="1936" t="str">
        <f>项目基本情况!B43</f>
        <v>九级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566</v>
      </c>
      <c r="B55" s="636" t="e">
        <f t="shared" ref="B55:B62" si="17">ROUND($C$45*C55*D55,0)</f>
        <v>#DIV/0!</v>
      </c>
      <c r="C55" s="376">
        <f t="shared" si="16"/>
        <v>0.3</v>
      </c>
      <c r="D55" s="2211">
        <v>0.25</v>
      </c>
      <c r="E55" s="637"/>
      <c r="F55" s="1932" t="e">
        <f t="shared" si="15"/>
        <v>#DIV/0!</v>
      </c>
      <c r="G55" s="3431"/>
      <c r="H55" s="1937" t="str">
        <f>项目基本情况!B43</f>
        <v>九级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567</v>
      </c>
      <c r="B56" s="636" t="e">
        <f t="shared" si="17"/>
        <v>#DIV/0!</v>
      </c>
      <c r="C56" s="376">
        <f t="shared" si="16"/>
        <v>0.2</v>
      </c>
      <c r="D56" s="2211">
        <v>0.25</v>
      </c>
      <c r="E56" s="637"/>
      <c r="F56" s="1932" t="e">
        <f t="shared" si="15"/>
        <v>#DIV/0!</v>
      </c>
      <c r="G56" s="3431"/>
      <c r="H56" s="1937" t="str">
        <f>项目基本情况!B43</f>
        <v>九级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568</v>
      </c>
      <c r="B57" s="636" t="e">
        <f t="shared" si="17"/>
        <v>#DIV/0!</v>
      </c>
      <c r="C57" s="376">
        <f t="shared" si="16"/>
        <v>0.2</v>
      </c>
      <c r="D57" s="2211">
        <v>0.25</v>
      </c>
      <c r="E57" s="637"/>
      <c r="F57" s="1932" t="e">
        <f t="shared" si="15"/>
        <v>#DIV/0!</v>
      </c>
      <c r="G57" s="3431"/>
      <c r="H57" s="1937" t="str">
        <f>项目基本情况!B43</f>
        <v>九级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2324</v>
      </c>
      <c r="B58" s="636" t="e">
        <f t="shared" si="17"/>
        <v>#DIV/0!</v>
      </c>
      <c r="C58" s="376">
        <f t="shared" si="16"/>
        <v>0.2</v>
      </c>
      <c r="D58" s="2211">
        <v>0.25</v>
      </c>
      <c r="E58" s="639">
        <f>'数据-汇总表'!E11</f>
        <v>0</v>
      </c>
      <c r="F58" s="1932" t="e">
        <f t="shared" si="15"/>
        <v>#DIV/0!</v>
      </c>
      <c r="G58" s="1938" t="s">
        <v>2282</v>
      </c>
      <c r="H58" s="1937" t="str">
        <f>项目基本情况!C43</f>
        <v>九级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569</v>
      </c>
      <c r="B59" s="636" t="e">
        <f t="shared" si="17"/>
        <v>#DIV/0!</v>
      </c>
      <c r="C59" s="376">
        <f t="shared" si="16"/>
        <v>0.2</v>
      </c>
      <c r="D59" s="2211">
        <v>0.25</v>
      </c>
      <c r="E59" s="639">
        <f>'数据-汇总表'!E12</f>
        <v>0</v>
      </c>
      <c r="F59" s="1932" t="e">
        <f t="shared" si="15"/>
        <v>#DIV/0!</v>
      </c>
      <c r="G59" s="1928" t="s">
        <v>1677</v>
      </c>
      <c r="H59" s="1936" t="str">
        <f>IF(G59="商业",项目基本情况!B43,IF(G59="办公",项目基本情况!C43,IF(G59="住宅",项目基本情况!D43,项目基本情况!E43)))</f>
        <v>九级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570</v>
      </c>
      <c r="B60" s="636" t="e">
        <f t="shared" si="17"/>
        <v>#DIV/0!</v>
      </c>
      <c r="C60" s="376">
        <f t="shared" si="16"/>
        <v>0.15</v>
      </c>
      <c r="D60" s="2211">
        <v>0.25</v>
      </c>
      <c r="E60" s="639">
        <f>'数据-汇总表'!E13</f>
        <v>0</v>
      </c>
      <c r="F60" s="1932" t="e">
        <f t="shared" si="15"/>
        <v>#DIV/0!</v>
      </c>
      <c r="G60" s="1928" t="s">
        <v>923</v>
      </c>
      <c r="H60" s="1936" t="str">
        <f>IF(G60="商业",项目基本情况!B43,IF(G60="办公",项目基本情况!C43,IF(G60="住宅",项目基本情况!D43,项目基本情况!E43)))</f>
        <v>九级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571</v>
      </c>
      <c r="B61" s="636" t="e">
        <f t="shared" si="17"/>
        <v>#DIV/0!</v>
      </c>
      <c r="C61" s="376">
        <f t="shared" si="16"/>
        <v>0.15</v>
      </c>
      <c r="D61" s="2211">
        <v>0.25</v>
      </c>
      <c r="E61" s="639">
        <f>'数据-汇总表'!E14</f>
        <v>0</v>
      </c>
      <c r="F61" s="1932" t="e">
        <f t="shared" si="15"/>
        <v>#DIV/0!</v>
      </c>
      <c r="G61" s="1938" t="s">
        <v>2281</v>
      </c>
      <c r="H61" s="1937" t="str">
        <f>项目基本情况!B43</f>
        <v>九级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572</v>
      </c>
      <c r="B62" s="636" t="e">
        <f t="shared" si="17"/>
        <v>#DIV/0!</v>
      </c>
      <c r="C62" s="376">
        <f t="shared" si="16"/>
        <v>0.15</v>
      </c>
      <c r="D62" s="2211">
        <v>0.25</v>
      </c>
      <c r="E62" s="639">
        <f>'数据-汇总表'!E15</f>
        <v>0</v>
      </c>
      <c r="F62" s="1932" t="e">
        <f t="shared" si="15"/>
        <v>#DIV/0!</v>
      </c>
      <c r="G62" s="1939" t="s">
        <v>2282</v>
      </c>
      <c r="H62" s="1940" t="str">
        <f>项目基本情况!C43</f>
        <v>九级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573</v>
      </c>
      <c r="B63" s="641" t="s">
        <v>17</v>
      </c>
      <c r="C63" s="641" t="s">
        <v>18</v>
      </c>
      <c r="D63" s="641" t="s">
        <v>2290</v>
      </c>
      <c r="E63" s="641">
        <f>IF(B43="楼面地价",SUM(E53:E62),'数据-汇总表'!D3)</f>
        <v>83137.16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2529</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2644</v>
      </c>
      <c r="B68" s="477" t="str">
        <f>"北京市平均增长率"&amp;TEXT(基准地价!P24,"0.00%")</f>
        <v>北京市平均增长率1.33%</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2421</v>
      </c>
      <c r="C114" s="1370"/>
      <c r="D114" s="1370"/>
      <c r="E114" s="1370"/>
      <c r="F114" s="1370"/>
      <c r="G114" s="1370"/>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0" sqref="D30"/>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2422</v>
      </c>
      <c r="D1" s="1505">
        <f>SUM(D29:D30,D33:D39)</f>
        <v>138941.47999999998</v>
      </c>
      <c r="E1" s="1399" t="s">
        <v>2423</v>
      </c>
      <c r="F1" s="2413"/>
      <c r="G1" s="1394"/>
      <c r="H1" s="1394"/>
      <c r="I1" s="1394"/>
      <c r="J1" s="1394"/>
      <c r="K1" s="1394"/>
      <c r="L1" s="1864" t="s">
        <v>2234</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75">
      <c r="A2" s="1399" t="s">
        <v>920</v>
      </c>
      <c r="B2" s="1036">
        <f ca="1">C26</f>
        <v>0</v>
      </c>
      <c r="C2" s="1400" t="s">
        <v>921</v>
      </c>
      <c r="D2" s="1401" t="s">
        <v>922</v>
      </c>
      <c r="E2" s="1402" t="s">
        <v>923</v>
      </c>
      <c r="F2" s="1401" t="s">
        <v>924</v>
      </c>
      <c r="G2" s="1634" t="str">
        <f>IF(E2="商业",项目基本情况!B43,IF(E2="办公",项目基本情况!C43,IF(E2="住宅",项目基本情况!D43,项目基本情况!E43)))</f>
        <v>九级</v>
      </c>
      <c r="H2" s="1401" t="s">
        <v>926</v>
      </c>
      <c r="I2" s="1635" t="str">
        <f>IF(E2="商业",项目基本情况!B44,IF(E2="办公",项目基本情况!C44,IF(E2="住宅",项目基本情况!D44,项目基本情况!E44)))</f>
        <v>Ⅸ-01</v>
      </c>
      <c r="J2" s="1403"/>
      <c r="K2" s="1403"/>
      <c r="L2" s="1867" t="s">
        <v>2235</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 ca="1">ROUND($C$5*$C$18*$C$19*$C$20*S2*$C$24,0)</f>
        <v>#DIV/0!</v>
      </c>
      <c r="U2" s="2878"/>
      <c r="V2" s="2889" t="e">
        <f ca="1">ROUND(T2*U2/10000,0)</f>
        <v>#DIV/0!</v>
      </c>
      <c r="W2" s="2171"/>
      <c r="X2" s="2171"/>
      <c r="Y2" s="2171"/>
      <c r="Z2" s="2171"/>
      <c r="AA2" s="2171"/>
      <c r="AB2" s="2171"/>
      <c r="AC2" s="2172"/>
    </row>
    <row r="3" spans="1:39" ht="24">
      <c r="A3" s="1404" t="s">
        <v>1687</v>
      </c>
      <c r="B3" s="1036">
        <f ca="1">ROUND(B2*10000/D1,0)</f>
        <v>0</v>
      </c>
      <c r="C3" s="1400" t="s">
        <v>927</v>
      </c>
      <c r="D3" s="1401" t="s">
        <v>928</v>
      </c>
      <c r="E3" s="1405" t="s">
        <v>3668</v>
      </c>
      <c r="F3" s="1406"/>
      <c r="G3" s="1037">
        <f>IF(F3="宗地容积率",'数据-汇总表'!I4,IF(F3="估价对象容积率",'数据-汇总表'!I6,'数据-汇总表'!I7))</f>
        <v>0</v>
      </c>
      <c r="H3" s="1407" t="s">
        <v>929</v>
      </c>
      <c r="I3" s="1038">
        <v>8</v>
      </c>
      <c r="J3" s="1403" t="s">
        <v>930</v>
      </c>
      <c r="K3" s="1403"/>
      <c r="L3" s="1867" t="s">
        <v>2236</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ca="1" si="0">ROUND($C$5*$C$18*$C$19*$C$20*S3*$C$24,0)</f>
        <v>#DIV/0!</v>
      </c>
      <c r="U3" s="2878"/>
      <c r="V3" s="2889" t="e">
        <f t="shared" ref="V3:V16" ca="1" si="1">ROUND(T3*U3/10000,0)</f>
        <v>#DIV/0!</v>
      </c>
      <c r="W3" s="2171"/>
      <c r="X3" s="2171"/>
      <c r="Y3" s="2171"/>
      <c r="Z3" s="2171"/>
      <c r="AA3" s="2171"/>
      <c r="AB3" s="2171"/>
      <c r="AC3" s="2172"/>
    </row>
    <row r="4" spans="1:39" ht="28.5">
      <c r="A4" s="1873" t="s">
        <v>2276</v>
      </c>
      <c r="B4" s="2414" t="e">
        <f ca="1">ROUND(B2*10000/F1,0)</f>
        <v>#DIV/0!</v>
      </c>
      <c r="C4" s="1876" t="s">
        <v>2250</v>
      </c>
      <c r="D4" s="1876" t="e">
        <f ca="1">ROUND(B2/(F1/666.67),0)</f>
        <v>#DIV/0!</v>
      </c>
      <c r="E4" s="1876" t="s">
        <v>2251</v>
      </c>
      <c r="F4" s="1874"/>
      <c r="G4" s="1874"/>
      <c r="H4" s="1874"/>
      <c r="I4" s="1874"/>
      <c r="J4" s="1875"/>
      <c r="K4" s="3142"/>
      <c r="L4" s="1867" t="s">
        <v>2237</v>
      </c>
      <c r="M4" s="1868">
        <f>SUMPRODUCT((区片价!B49:B75=I2)*(区片价!C3:F3=E2)*(区片价!C49:F75))</f>
        <v>0</v>
      </c>
      <c r="N4" s="1869">
        <f>SUMPRODUCT((因素修正幅度!B49:B75=I2)*(因素修正幅度!C3:F3=E2)*(因素修正幅度!C49:F75))</f>
        <v>0</v>
      </c>
      <c r="O4" s="3142"/>
      <c r="P4" s="1394"/>
      <c r="Q4" s="2171"/>
      <c r="R4" s="2889">
        <v>3</v>
      </c>
      <c r="S4" s="2889" t="e">
        <f>ROUND(IF(G3&gt;1,IF(R4&lt;7,SUMPRODUCT((B93:B98=R4)*(C92:N92=G2)*(C93:N98)),SUMIF(C92:N92,G2,C100:N100)),IF(R4&lt;7,SUMPRODUCT((B102:B107=R4)*(C92:N92=G2)*(C102:N107)),SUMIF(C92:N92,G2,C109:N109))),4)</f>
        <v>#DIV/0!</v>
      </c>
      <c r="T4" s="2889" t="e">
        <f t="shared" ca="1" si="0"/>
        <v>#DIV/0!</v>
      </c>
      <c r="U4" s="2878"/>
      <c r="V4" s="2889" t="e">
        <f t="shared" ca="1" si="1"/>
        <v>#DIV/0!</v>
      </c>
      <c r="W4" s="2171"/>
      <c r="X4" s="2171"/>
      <c r="Y4" s="2171"/>
      <c r="Z4" s="2171"/>
      <c r="AA4" s="2171"/>
      <c r="AB4" s="2171"/>
      <c r="AC4" s="2172"/>
    </row>
    <row r="5" spans="1:39" s="1414" customFormat="1" ht="15.75" thickBot="1">
      <c r="A5" s="1620" t="s">
        <v>1823</v>
      </c>
      <c r="B5" s="1408" t="s">
        <v>931</v>
      </c>
      <c r="C5" s="1039">
        <f>ROUND(IF(E2="商业",C6*C7+C16,(IF(E2="住宅",C6*C12+C16,C6+C16))),0)</f>
        <v>5518</v>
      </c>
      <c r="D5" s="3066">
        <f>ROUND(C6+C16,0)</f>
        <v>4187</v>
      </c>
      <c r="E5" s="3066"/>
      <c r="F5" s="1409"/>
      <c r="G5" s="1410"/>
      <c r="H5" s="1410"/>
      <c r="I5" s="1410"/>
      <c r="J5" s="1411"/>
      <c r="K5" s="3143"/>
      <c r="L5" s="1867" t="s">
        <v>2238</v>
      </c>
      <c r="M5" s="1868">
        <f>SUMPRODUCT((区片价!B76:B109=I2)*(区片价!C3:F3=E2)*(区片价!C76:F109))</f>
        <v>0</v>
      </c>
      <c r="N5" s="1869">
        <f>SUMPRODUCT((因素修正幅度!B76:B109=I2)*(因素修正幅度!C3:F3=E2)*(因素修正幅度!C76:F109))</f>
        <v>0</v>
      </c>
      <c r="O5" s="3143"/>
      <c r="P5" s="1577"/>
      <c r="Q5" s="2171"/>
      <c r="R5" s="2889">
        <v>4</v>
      </c>
      <c r="S5" s="2889" t="e">
        <f>ROUND(IF(G3&gt;1,IF(R5&lt;7,SUMPRODUCT((B93:B98=R5)*(C92:N92=G2)*(C93:N98)),SUMIF(C92:N92,G2,C100:N100)),IF(R5&lt;7,SUMPRODUCT((B102:B107=R5)*(C92:N92=G2)*(C102:N107)),SUMIF(C92:N92,G2,C109:N109))),4)</f>
        <v>#DIV/0!</v>
      </c>
      <c r="T5" s="2889" t="e">
        <f t="shared" ca="1" si="0"/>
        <v>#DIV/0!</v>
      </c>
      <c r="U5" s="2878"/>
      <c r="V5" s="2889" t="e">
        <f t="shared" ca="1"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0">
        <f>SUMIF(L1:L12,基准地价!G2,M1:M12)</f>
        <v>4160</v>
      </c>
      <c r="D6" s="1416" t="s">
        <v>1695</v>
      </c>
      <c r="E6" s="1417"/>
      <c r="F6" s="1417"/>
      <c r="G6" s="1418"/>
      <c r="H6" s="1418"/>
      <c r="I6" s="1418"/>
      <c r="J6" s="1419"/>
      <c r="K6" s="1449"/>
      <c r="L6" s="1867" t="s">
        <v>2239</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ca="1" si="0"/>
        <v>#DIV/0!</v>
      </c>
      <c r="U6" s="2878"/>
      <c r="V6" s="2889" t="e">
        <f t="shared" ca="1" si="1"/>
        <v>#DIV/0!</v>
      </c>
      <c r="W6" s="2171"/>
      <c r="X6" s="2171"/>
      <c r="Y6" s="2171"/>
      <c r="Z6" s="2171"/>
      <c r="AA6" s="2171"/>
      <c r="AB6" s="2171"/>
      <c r="AC6" s="2173"/>
      <c r="AD6" s="1412"/>
      <c r="AE6" s="1412"/>
      <c r="AF6" s="1412"/>
      <c r="AG6" s="1412"/>
      <c r="AH6" s="1412"/>
      <c r="AI6" s="1412"/>
      <c r="AJ6" s="1413"/>
    </row>
    <row r="7" spans="1:39" ht="24">
      <c r="A7" s="3443" t="str">
        <f>IF(E2="商业",IF(C8="不临58条商业街","",2),"")</f>
        <v/>
      </c>
      <c r="B7" s="1420" t="s">
        <v>932</v>
      </c>
      <c r="C7" s="1041">
        <f>IF(C8="不临58条商业街",1,ROUND(1+(1.6*E8+1.2*E9+0.8*E10+0.4*E11)*C9,4))</f>
        <v>1</v>
      </c>
      <c r="D7" s="1421" t="s">
        <v>933</v>
      </c>
      <c r="E7" s="1042"/>
      <c r="F7" s="1422"/>
      <c r="G7" s="1423"/>
      <c r="H7" s="1423"/>
      <c r="I7" s="1423"/>
      <c r="J7" s="1424"/>
      <c r="K7" s="1449"/>
      <c r="L7" s="1867" t="s">
        <v>2240</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ca="1" si="0"/>
        <v>#DIV/0!</v>
      </c>
      <c r="U7" s="2878"/>
      <c r="V7" s="2889" t="e">
        <f t="shared" ca="1" si="1"/>
        <v>#DIV/0!</v>
      </c>
      <c r="W7" s="2887" t="s">
        <v>2759</v>
      </c>
      <c r="X7" s="2879" t="str">
        <f>G2</f>
        <v>九级</v>
      </c>
      <c r="Y7" s="2879" t="s">
        <v>2760</v>
      </c>
      <c r="Z7" s="2880">
        <f>G3</f>
        <v>0</v>
      </c>
      <c r="AA7" s="2174"/>
      <c r="AB7" s="2174"/>
      <c r="AC7" s="2175"/>
      <c r="AD7" s="2881"/>
      <c r="AE7" s="2881"/>
      <c r="AF7" s="2881"/>
      <c r="AG7" s="2881"/>
      <c r="AH7" s="2881"/>
      <c r="AI7" s="2881"/>
      <c r="AJ7" s="2882"/>
    </row>
    <row r="8" spans="1:39" ht="25.5">
      <c r="A8" s="3444"/>
      <c r="B8" s="1407" t="s">
        <v>934</v>
      </c>
      <c r="C8" s="1513" t="s">
        <v>3673</v>
      </c>
      <c r="D8" s="1043" t="s">
        <v>935</v>
      </c>
      <c r="E8" s="1044" t="e">
        <f>ROUND(C11/E7,4)</f>
        <v>#DIV/0!</v>
      </c>
      <c r="F8" s="1425" t="s">
        <v>936</v>
      </c>
      <c r="G8" s="1426"/>
      <c r="H8" s="1426"/>
      <c r="I8" s="1426"/>
      <c r="J8" s="1427"/>
      <c r="K8" s="1449"/>
      <c r="L8" s="1867" t="s">
        <v>2241</v>
      </c>
      <c r="M8" s="1868">
        <f>SUMPRODUCT((区片价!B206:B244=I2)*(区片价!C3:F3=E2)*(区片价!C206:F244))</f>
        <v>0</v>
      </c>
      <c r="N8" s="1869">
        <f>SUMPRODUCT((因素修正幅度!B206:B244=I2)*(因素修正幅度!C3:F3=E2)*(因素修正幅度!C206:F244))</f>
        <v>0</v>
      </c>
      <c r="O8" s="1449"/>
      <c r="P8" s="1394"/>
      <c r="Q8" s="2171"/>
      <c r="R8" s="2889">
        <v>7</v>
      </c>
      <c r="S8" s="2878"/>
      <c r="T8" s="2889">
        <f t="shared" ca="1" si="0"/>
        <v>0</v>
      </c>
      <c r="U8" s="2878"/>
      <c r="V8" s="2889">
        <f t="shared" ca="1" si="1"/>
        <v>0</v>
      </c>
      <c r="W8" s="3433" t="s">
        <v>2777</v>
      </c>
      <c r="X8" s="3434"/>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444"/>
      <c r="B9" s="1407" t="s">
        <v>937</v>
      </c>
      <c r="C9" s="1045">
        <f>SUMIF(修正!C59:C119,C8,修正!E59:E119)</f>
        <v>0</v>
      </c>
      <c r="D9" s="1046" t="s">
        <v>938</v>
      </c>
      <c r="E9" s="1046" t="e">
        <f>ROUND(C11/E7,4)</f>
        <v>#DIV/0!</v>
      </c>
      <c r="F9" s="1425" t="s">
        <v>939</v>
      </c>
      <c r="G9" s="1426"/>
      <c r="H9" s="1426"/>
      <c r="I9" s="1426"/>
      <c r="J9" s="1427"/>
      <c r="K9" s="1449"/>
      <c r="L9" s="1867" t="s">
        <v>2242</v>
      </c>
      <c r="M9" s="1868">
        <f>SUMPRODUCT((区片价!B245:B289=I2)*(区片价!C3:F3=E2)*(区片价!C245:F289))</f>
        <v>4160</v>
      </c>
      <c r="N9" s="1869">
        <f>SUMPRODUCT((因素修正幅度!B245:B289=I2)*(因素修正幅度!C3:F3=E2)*(因素修正幅度!C245:F289))</f>
        <v>0.15</v>
      </c>
      <c r="O9" s="1449"/>
      <c r="P9" s="1394"/>
      <c r="Q9" s="2171"/>
      <c r="R9" s="2889">
        <v>8</v>
      </c>
      <c r="S9" s="2878"/>
      <c r="T9" s="2889">
        <f t="shared" ca="1" si="0"/>
        <v>0</v>
      </c>
      <c r="U9" s="2878"/>
      <c r="V9" s="2889">
        <f t="shared" ca="1" si="1"/>
        <v>0</v>
      </c>
      <c r="W9" s="3432" t="s">
        <v>2773</v>
      </c>
      <c r="X9" s="2883" t="s">
        <v>2774</v>
      </c>
      <c r="Y9" s="3044"/>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4"/>
      <c r="B10" s="1407" t="s">
        <v>940</v>
      </c>
      <c r="C10" s="1046">
        <f>SUMIF(修正!C59:C119,C8,修正!F59:F119)</f>
        <v>0</v>
      </c>
      <c r="D10" s="1046" t="s">
        <v>941</v>
      </c>
      <c r="E10" s="1046" t="e">
        <f>ROUND(C11/E7,4)</f>
        <v>#DIV/0!</v>
      </c>
      <c r="F10" s="1425" t="s">
        <v>942</v>
      </c>
      <c r="G10" s="1426"/>
      <c r="H10" s="1426"/>
      <c r="I10" s="1426"/>
      <c r="J10" s="1427"/>
      <c r="K10" s="1449"/>
      <c r="L10" s="1867" t="s">
        <v>2243</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f t="shared" ca="1" si="0"/>
        <v>0</v>
      </c>
      <c r="U10" s="2878"/>
      <c r="V10" s="2889">
        <f t="shared" ca="1" si="1"/>
        <v>0</v>
      </c>
      <c r="W10" s="343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4"/>
      <c r="B11" s="1428" t="s">
        <v>943</v>
      </c>
      <c r="C11" s="1047">
        <f>C10/4</f>
        <v>0</v>
      </c>
      <c r="D11" s="1047" t="s">
        <v>944</v>
      </c>
      <c r="E11" s="1047" t="e">
        <f>ROUND(C11/E7,4)</f>
        <v>#DIV/0!</v>
      </c>
      <c r="F11" s="1429" t="s">
        <v>945</v>
      </c>
      <c r="G11" s="1430"/>
      <c r="H11" s="1430"/>
      <c r="I11" s="1430"/>
      <c r="J11" s="1431"/>
      <c r="K11" s="1449"/>
      <c r="L11" s="1867" t="s">
        <v>2244</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f t="shared" ca="1" si="0"/>
        <v>0</v>
      </c>
      <c r="U11" s="2878"/>
      <c r="V11" s="2889">
        <f t="shared" ca="1" si="1"/>
        <v>0</v>
      </c>
      <c r="W11" s="3432" t="s">
        <v>2775</v>
      </c>
      <c r="X11" s="1046" t="s">
        <v>2760</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43" t="s">
        <v>1871</v>
      </c>
      <c r="B12" s="1432" t="s">
        <v>946</v>
      </c>
      <c r="C12" s="1041">
        <f>ROUND(C15*D15*E15*F15*G15*H15*I15*J15,4)</f>
        <v>1.32</v>
      </c>
      <c r="D12" s="1433" t="s">
        <v>947</v>
      </c>
      <c r="E12" s="1434"/>
      <c r="F12" s="1434"/>
      <c r="G12" s="1435"/>
      <c r="H12" s="1435"/>
      <c r="I12" s="1435"/>
      <c r="J12" s="1436"/>
      <c r="K12" s="1449"/>
      <c r="L12" s="1870" t="s">
        <v>2245</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f t="shared" ca="1" si="0"/>
        <v>0</v>
      </c>
      <c r="U12" s="2878"/>
      <c r="V12" s="2889">
        <f t="shared" ca="1" si="1"/>
        <v>0</v>
      </c>
      <c r="W12" s="3432"/>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5"/>
      <c r="B13" s="1437" t="s">
        <v>1696</v>
      </c>
      <c r="C13" s="1438" t="s">
        <v>1697</v>
      </c>
      <c r="D13" s="1083" t="s">
        <v>1698</v>
      </c>
      <c r="E13" s="1083" t="s">
        <v>1699</v>
      </c>
      <c r="F13" s="1439" t="s">
        <v>948</v>
      </c>
      <c r="G13" s="1440" t="s">
        <v>1642</v>
      </c>
      <c r="H13" s="1441" t="s">
        <v>1642</v>
      </c>
      <c r="I13" s="1442" t="s">
        <v>1642</v>
      </c>
      <c r="J13" s="1443" t="s">
        <v>1642</v>
      </c>
      <c r="K13" s="3158"/>
      <c r="L13" s="3158"/>
      <c r="M13" s="3158"/>
      <c r="N13" s="3158"/>
      <c r="O13" s="3158"/>
      <c r="P13" s="1394"/>
      <c r="Q13" s="2171"/>
      <c r="R13" s="2889">
        <v>12</v>
      </c>
      <c r="S13" s="2878"/>
      <c r="T13" s="2889">
        <f t="shared" ca="1" si="0"/>
        <v>0</v>
      </c>
      <c r="U13" s="2878"/>
      <c r="V13" s="2889">
        <f t="shared" ca="1" si="1"/>
        <v>0</v>
      </c>
      <c r="W13" s="3432"/>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45"/>
      <c r="B14" s="1444"/>
      <c r="C14" s="1445" t="s">
        <v>3669</v>
      </c>
      <c r="D14" s="1446" t="s">
        <v>3012</v>
      </c>
      <c r="E14" s="1446" t="s">
        <v>3012</v>
      </c>
      <c r="F14" s="1447" t="s">
        <v>3670</v>
      </c>
      <c r="G14" s="1448" t="s">
        <v>949</v>
      </c>
      <c r="H14" s="1449"/>
      <c r="I14" s="1450"/>
      <c r="J14" s="1451"/>
      <c r="K14" s="3144"/>
      <c r="L14" s="3144"/>
      <c r="M14" s="3144"/>
      <c r="N14" s="3144"/>
      <c r="O14" s="3144"/>
      <c r="P14" s="1394"/>
      <c r="Q14" s="2171"/>
      <c r="R14" s="2889">
        <v>13</v>
      </c>
      <c r="S14" s="2878"/>
      <c r="T14" s="2889">
        <f t="shared" ca="1" si="0"/>
        <v>0</v>
      </c>
      <c r="U14" s="2878"/>
      <c r="V14" s="2889">
        <f t="shared" ca="1" si="1"/>
        <v>0</v>
      </c>
      <c r="W14" s="2171"/>
      <c r="X14" s="2171"/>
      <c r="Y14" s="2171"/>
      <c r="Z14" s="2171"/>
      <c r="AA14" s="2171"/>
      <c r="AB14" s="2171"/>
      <c r="AC14" s="2172"/>
    </row>
    <row r="15" spans="1:39" ht="13.5" customHeight="1" thickBot="1">
      <c r="A15" s="3446"/>
      <c r="B15" s="3163" t="s">
        <v>1700</v>
      </c>
      <c r="C15" s="1047">
        <f>IF(C14="有",1.1,1)</f>
        <v>1.1000000000000001</v>
      </c>
      <c r="D15" s="1047">
        <f>IF(D14="有",1.1,1)</f>
        <v>1</v>
      </c>
      <c r="E15" s="1047">
        <f>IF(E14="有",1.1,1)</f>
        <v>1</v>
      </c>
      <c r="F15" s="1047">
        <f>IF(F14="500米范围内",1.2,IF(F14="500-1000米",1.1,1))</f>
        <v>1.2</v>
      </c>
      <c r="G15" s="3155">
        <v>1</v>
      </c>
      <c r="H15" s="3155">
        <v>1</v>
      </c>
      <c r="I15" s="3155">
        <v>1</v>
      </c>
      <c r="J15" s="3156">
        <v>1</v>
      </c>
      <c r="K15" s="3159"/>
      <c r="L15" s="3159"/>
      <c r="M15" s="3159"/>
      <c r="N15" s="3159"/>
      <c r="O15" s="3159"/>
      <c r="P15" s="1394"/>
      <c r="Q15" s="2171"/>
      <c r="R15" s="2889">
        <v>14</v>
      </c>
      <c r="S15" s="2878"/>
      <c r="T15" s="2889">
        <f t="shared" ca="1" si="0"/>
        <v>0</v>
      </c>
      <c r="U15" s="2878"/>
      <c r="V15" s="2889">
        <f t="shared" ca="1" si="1"/>
        <v>0</v>
      </c>
      <c r="W15" s="2171"/>
      <c r="X15" s="2171"/>
      <c r="Y15" s="2171"/>
      <c r="Z15" s="2171"/>
      <c r="AA15" s="2171"/>
      <c r="AB15" s="2171"/>
      <c r="AC15" s="2172"/>
    </row>
    <row r="16" spans="1:39" ht="24.6" customHeight="1">
      <c r="A16" s="3443" t="s">
        <v>1838</v>
      </c>
      <c r="B16" s="1420" t="s">
        <v>950</v>
      </c>
      <c r="C16" s="1050">
        <f>ROUND(IF(F17="与级别开发程度一致",0,(G17-E17)/C17),0)</f>
        <v>27</v>
      </c>
      <c r="D16" s="3440" t="s">
        <v>954</v>
      </c>
      <c r="E16" s="3441"/>
      <c r="F16" s="3440" t="s">
        <v>951</v>
      </c>
      <c r="G16" s="3441"/>
      <c r="H16" s="1452" t="s">
        <v>3015</v>
      </c>
      <c r="I16" s="1452" t="s">
        <v>3016</v>
      </c>
      <c r="J16" s="1452" t="s">
        <v>3018</v>
      </c>
      <c r="K16" s="1452" t="s">
        <v>3017</v>
      </c>
      <c r="L16" s="1452" t="s">
        <v>3019</v>
      </c>
      <c r="M16" s="1452" t="s">
        <v>3020</v>
      </c>
      <c r="N16" s="1452" t="s">
        <v>3014</v>
      </c>
      <c r="O16" s="3168"/>
      <c r="P16" s="1394"/>
      <c r="Q16" s="2174"/>
      <c r="R16" s="2889">
        <v>15</v>
      </c>
      <c r="S16" s="2878"/>
      <c r="T16" s="2889">
        <f t="shared" ca="1" si="0"/>
        <v>0</v>
      </c>
      <c r="U16" s="2878"/>
      <c r="V16" s="2889">
        <f t="shared" ca="1" si="1"/>
        <v>0</v>
      </c>
      <c r="W16" s="2174"/>
      <c r="X16" s="2174"/>
      <c r="Y16" s="2174"/>
      <c r="Z16" s="2174"/>
      <c r="AA16" s="2174"/>
      <c r="AB16" s="2174"/>
      <c r="AC16" s="2175"/>
    </row>
    <row r="17" spans="1:40" ht="24.75" thickBot="1">
      <c r="A17" s="3447"/>
      <c r="B17" s="3169" t="s">
        <v>953</v>
      </c>
      <c r="C17" s="3170">
        <f>SUMPRODUCT((修正!A2:A5=E2)*(修正!B1:M1=G2)*(修正!B2:M5))</f>
        <v>1.5</v>
      </c>
      <c r="D17" s="3171" t="str">
        <f>IF(OR(G2="八级",G2="九级",G2="十级",G2="十一级",G2="十二级"),"五通一平","七通一平")</f>
        <v>五通一平</v>
      </c>
      <c r="E17" s="3161">
        <f>SUMPRODUCT((修正!B1:M1=G2)*(修正!B15:M15))</f>
        <v>155</v>
      </c>
      <c r="F17" s="3162" t="s">
        <v>3671</v>
      </c>
      <c r="G17" s="3161">
        <f>SUM(H17:O17)</f>
        <v>195</v>
      </c>
      <c r="H17" s="1049">
        <f>SUMPRODUCT((七通一平=H16)*(修正!B1:M1=G2)*(修正!B6:M14))</f>
        <v>50</v>
      </c>
      <c r="I17" s="1049">
        <f>SUMPRODUCT((七通一平=I16)*(修正!B1:M1=G2)*(修正!B6:M14))</f>
        <v>40</v>
      </c>
      <c r="J17" s="1049">
        <f>SUMPRODUCT((七通一平=J16)*(修正!B1:M1=G2)*(修正!B6:M14))</f>
        <v>20</v>
      </c>
      <c r="K17" s="1049">
        <f>SUMPRODUCT((七通一平=K16)*(修正!B1:M1=G2)*(修正!B6:M14))</f>
        <v>10</v>
      </c>
      <c r="L17" s="1049">
        <f>SUMPRODUCT((七通一平=L16)*(修正!B1:M1=G2)*(修正!B6:M14))</f>
        <v>25</v>
      </c>
      <c r="M17" s="1049">
        <f>SUMPRODUCT((七通一平=M16)*(修正!B1:M1=G2)*(修正!B6:M14))</f>
        <v>40</v>
      </c>
      <c r="N17" s="1049">
        <f>SUMPRODUCT((七通一平=N16)*(修正!B1:M1=G2)*(修正!B6:M14))</f>
        <v>10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4" t="s">
        <v>955</v>
      </c>
      <c r="C18" s="3165">
        <f>SUMIF(修正!C18:C39,E3,修正!E18:E39)</f>
        <v>1</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1">
        <f>ROUND(IF(H19="按公示增长率计算",SUMPRODUCT((地价!A3:A29=YEAR(G19)&amp;"-"&amp;ROUNDUP(MONTH(G19)/3,0))*(地价!X2:AB2=E2)*(地价!X3:AB29)),IF(H19="地价指数",M20/M19,(1+I19)^O19)),4)</f>
        <v>1.6133999999999999</v>
      </c>
      <c r="D19" s="1459" t="s">
        <v>957</v>
      </c>
      <c r="E19" s="1052">
        <v>41640</v>
      </c>
      <c r="F19" s="1459" t="s">
        <v>958</v>
      </c>
      <c r="G19" s="1053">
        <f>'数据-取费表'!B2</f>
        <v>43833</v>
      </c>
      <c r="H19" s="1460" t="s">
        <v>2978</v>
      </c>
      <c r="I19" s="2737" t="str">
        <f>IF(H19="季度增幅（自定义）",SUMIF(N21:N24,E2,O21:O24),"")</f>
        <v/>
      </c>
      <c r="J19" s="1456"/>
      <c r="K19" s="3143"/>
      <c r="L19" s="2988" t="s">
        <v>2835</v>
      </c>
      <c r="M19" s="2989">
        <f>ROUND(SUMIF(地价!B2:F2,E2,地价!B29:F29),0)</f>
        <v>423</v>
      </c>
      <c r="N19" s="2739" t="s">
        <v>1676</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f ca="1">ROUND(POWER(1+G20,J20-I20)*(POWER(1+G20,I20)-1)/(POWER(1+G20,J20)-1),4)</f>
        <v>0.99870000000000003</v>
      </c>
      <c r="D20" s="2734" t="s">
        <v>972</v>
      </c>
      <c r="E20" s="3041">
        <f ca="1">存贷款利率!I4/100</f>
        <v>4.3499999999999997E-2</v>
      </c>
      <c r="F20" s="2734" t="s">
        <v>973</v>
      </c>
      <c r="G20" s="2735">
        <f ca="1">SUMIF(M26:P26,E2,M28:P28)</f>
        <v>0.05</v>
      </c>
      <c r="H20" s="2734" t="s">
        <v>974</v>
      </c>
      <c r="I20" s="2730">
        <f>SUMIF('数据-取费表'!C6:C15,E2,'数据-取费表'!F6:F15)/COUNTIF('数据-取费表'!C6:C15,E2)</f>
        <v>69.23</v>
      </c>
      <c r="J20" s="2736">
        <f>IF(E2="住宅",70,IF(E2="商业",40,50))</f>
        <v>70</v>
      </c>
      <c r="K20" s="3145"/>
      <c r="L20" s="2990" t="s">
        <v>2836</v>
      </c>
      <c r="M20" s="3152">
        <f>ROUND(SUMPRODUCT((地价!A4:A29=YEAR(G19)&amp;"-"&amp;ROUNDUP(MONTH(G19)/3,0))*(地价!B2:F2=E2)*(地价!B4:F29)),0)</f>
        <v>682</v>
      </c>
      <c r="N20" s="2742" t="s">
        <v>2640</v>
      </c>
      <c r="O20" s="2740" t="s">
        <v>2639</v>
      </c>
      <c r="P20" s="2741" t="s">
        <v>2645</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3672</v>
      </c>
      <c r="C21" s="1152">
        <f>IF(B21="容积率修正",IF(G3&lt;=10,D22,J22),C23)</f>
        <v>0</v>
      </c>
      <c r="D21" s="1466"/>
      <c r="E21" s="1466"/>
      <c r="F21" s="1466"/>
      <c r="G21" s="1466"/>
      <c r="H21" s="1466"/>
      <c r="I21" s="1466"/>
      <c r="J21" s="1467"/>
      <c r="K21" s="3143"/>
      <c r="L21" s="1466"/>
      <c r="M21" s="1466"/>
      <c r="N21" s="1463" t="s">
        <v>975</v>
      </c>
      <c r="O21" s="1526"/>
      <c r="P21" s="2729">
        <f>SUMPRODUCT((地价!A3:A29=YEAR(G19)&amp;"-"&amp;ROUNDUP(MONTH(G19)/3,0))*(地价!AD2:AH2=N21)*(地价!AD3:AH29))</f>
        <v>1.35E-2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4" t="s">
        <v>1702</v>
      </c>
      <c r="D22" s="1054">
        <f>IF(E22=G22,F22,IF(G3&lt;=10,ROUND(F22+(H22-F22)*(G3-E22)/(G22-E22),4),"——"))</f>
        <v>0</v>
      </c>
      <c r="E22" s="1037">
        <f>ROUNDDOWN(G3,1)</f>
        <v>0</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6"/>
      <c r="L22" s="1466"/>
      <c r="M22" s="1466"/>
      <c r="N22" s="1463" t="s">
        <v>978</v>
      </c>
      <c r="O22" s="1526"/>
      <c r="P22" s="2729">
        <f>SUMPRODUCT((地价!A3:A29=YEAR(G19)&amp;"-"&amp;ROUNDUP(MONTH(G19)/3,0))*(地价!AD2:AH2=N22)*(地价!AD3:AH29))</f>
        <v>1.35E-2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5" t="e">
        <f>ROUND(IF(G3&gt;1,IF(I3&lt;7,SUMPRODUCT((B93:B98=I3)*(C92:N92=G2)*(C93:N98)),SUMIF(C92:N92,G2,C100:N100)),IF(I3&lt;7,SUMPRODUCT((B102:B107=I3)*(C92:N92=G2)*(C102:N107)),SUMIF(C92:N92,G2,C109:N109))),4)</f>
        <v>#DIV/0!</v>
      </c>
      <c r="D23" s="1514"/>
      <c r="E23" s="1514"/>
      <c r="F23" s="1515"/>
      <c r="G23" s="1516"/>
      <c r="H23" s="1517"/>
      <c r="I23" s="1518"/>
      <c r="J23" s="1518"/>
      <c r="K23" s="3147"/>
      <c r="L23" s="1394"/>
      <c r="M23" s="1394"/>
      <c r="N23" s="1463" t="s">
        <v>923</v>
      </c>
      <c r="O23" s="1526"/>
      <c r="P23" s="2729">
        <f>SUMPRODUCT((地价!A3:A29=YEAR(G19)&amp;"-"&amp;ROUNDUP(MONTH(G19)/3,0))*(地价!AD2:AH2=N23)*(地价!AD3:AH29))</f>
        <v>2.0799999999999999E-2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6">
        <f>SUMIF(A44:A87,E2,B44:B87)</f>
        <v>1</v>
      </c>
      <c r="D24" s="1519"/>
      <c r="E24" s="1520"/>
      <c r="F24" s="1520"/>
      <c r="G24" s="1520"/>
      <c r="H24" s="1520"/>
      <c r="I24" s="1520"/>
      <c r="J24" s="1520"/>
      <c r="K24" s="3147"/>
      <c r="L24" s="1466"/>
      <c r="M24" s="1466"/>
      <c r="N24" s="1463" t="s">
        <v>981</v>
      </c>
      <c r="O24" s="3151"/>
      <c r="P24" s="2729">
        <f>SUMPRODUCT((地价!A3:A29=YEAR(G19)&amp;"-"&amp;ROUNDUP(MONTH(G19)/3,0))*(地价!AD2:AH2=N24)*(地价!AD3:AH29))</f>
        <v>1.3299999999999999E-2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3" t="s">
        <v>2643</v>
      </c>
      <c r="O25" s="3154"/>
      <c r="P25" s="2408">
        <f>SUMPRODUCT((地价!A3:A29=YEAR(G19)&amp;"-"&amp;ROUNDUP(MONTH(G19)/3,0))*(地价!AD2:AH2=N25)*(地价!AD3:AH29))</f>
        <v>1.9E-2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7">
        <f ca="1">E29+SUM(E33:E39)</f>
        <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f ca="1">E30+SUM(I33:I39)</f>
        <v>0</v>
      </c>
      <c r="D27" s="1478"/>
      <c r="E27" s="1479"/>
      <c r="F27" s="1480"/>
      <c r="G27" s="1479"/>
      <c r="H27" s="1479"/>
      <c r="I27" s="1479"/>
      <c r="J27" s="1481"/>
      <c r="K27" s="1449"/>
      <c r="L27" s="1453" t="s">
        <v>987</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7">
        <f ca="1">ROUND(C5*C18*C19*C20*C21*C24,0)</f>
        <v>0</v>
      </c>
      <c r="D29" s="1488">
        <f>'数据-取费表'!K6</f>
        <v>138941.47999999998</v>
      </c>
      <c r="E29" s="1831">
        <f ca="1">ROUND(C29*D29/10000,0)</f>
        <v>0</v>
      </c>
      <c r="F29" s="1489" t="s">
        <v>1701</v>
      </c>
      <c r="G29" s="1490"/>
      <c r="H29" s="1490"/>
      <c r="I29" s="1490"/>
      <c r="J29" s="1491"/>
      <c r="K29" s="3148"/>
      <c r="L29" s="3148"/>
      <c r="M29" s="3148"/>
      <c r="N29" s="3148"/>
      <c r="O29" s="3148"/>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9">
        <f ca="1">ROUND(IF(E2="工业",C29*M39,C29*M38),0)</f>
        <v>0</v>
      </c>
      <c r="D30" s="1494"/>
      <c r="E30" s="1831">
        <f ca="1">ROUND(C30*D30/10000,0)</f>
        <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50" t="s">
        <v>2948</v>
      </c>
      <c r="B33" s="1508" t="s">
        <v>999</v>
      </c>
      <c r="C33" s="1057">
        <f ca="1">ROUND(D5*C19*C20*C24*F33,0)</f>
        <v>4048</v>
      </c>
      <c r="D33" s="1521"/>
      <c r="E33" s="1046">
        <f ca="1">ROUND(C33*D33/10000,0)</f>
        <v>0</v>
      </c>
      <c r="F33" s="1046">
        <f>SUMIF(修正!A45:A56,G2,修正!B45:B56)</f>
        <v>0.6</v>
      </c>
      <c r="G33" s="1046">
        <f t="shared" ref="G33" ca="1" si="6">ROUND(IF(E2="工业",C33*$M$39,C33*$M$38),0)</f>
        <v>1012</v>
      </c>
      <c r="H33" s="1046">
        <f>D33</f>
        <v>0</v>
      </c>
      <c r="I33" s="1046">
        <f ca="1">ROUND(G33*H33/10000,0)</f>
        <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51"/>
      <c r="B34" s="1438" t="s">
        <v>1000</v>
      </c>
      <c r="C34" s="1057">
        <f ca="1">ROUND(D5*C19*C20*C24*F34,0)</f>
        <v>2024</v>
      </c>
      <c r="D34" s="1521"/>
      <c r="E34" s="1046">
        <f t="shared" ref="E34:E39" ca="1" si="7">ROUND(C34*D34/10000,0)</f>
        <v>0</v>
      </c>
      <c r="F34" s="1046">
        <f>SUMIF(修正!A45:A56,G2,修正!C45:C56)</f>
        <v>0.3</v>
      </c>
      <c r="G34" s="1046">
        <f ca="1">ROUND(IF(E2="工业",C34*$M$39,C34*$M$38),0)</f>
        <v>506</v>
      </c>
      <c r="H34" s="1046">
        <f t="shared" ref="H34:H39" si="8">D34</f>
        <v>0</v>
      </c>
      <c r="I34" s="1046">
        <f t="shared" ref="I34:I39" ca="1" si="9">ROUND(G34*H34/10000,0)</f>
        <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51"/>
      <c r="B35" s="1438" t="s">
        <v>1001</v>
      </c>
      <c r="C35" s="1057">
        <f ca="1">ROUND(D5*C19*C20*C24*F35,0)</f>
        <v>1349</v>
      </c>
      <c r="D35" s="1521"/>
      <c r="E35" s="1046">
        <f t="shared" ca="1" si="7"/>
        <v>0</v>
      </c>
      <c r="F35" s="1046">
        <f>SUMIF(修正!A45:A56,G2,修正!D45:D56)</f>
        <v>0.2</v>
      </c>
      <c r="G35" s="1046">
        <f ca="1">ROUND(IF(E2="工业",C35*$M$39,C35*$M$38),0)</f>
        <v>337</v>
      </c>
      <c r="H35" s="1046">
        <f t="shared" si="8"/>
        <v>0</v>
      </c>
      <c r="I35" s="1046">
        <f t="shared" ca="1" si="9"/>
        <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2"/>
      <c r="B36" s="1438" t="s">
        <v>1002</v>
      </c>
      <c r="C36" s="1057">
        <f ca="1">ROUND(D5*C19*C20*C24*F36,0)</f>
        <v>1349</v>
      </c>
      <c r="D36" s="1521"/>
      <c r="E36" s="1046">
        <f t="shared" ca="1" si="7"/>
        <v>0</v>
      </c>
      <c r="F36" s="1046">
        <f>SUMIF(修正!A45:A56,G2,修正!E45:E56)</f>
        <v>0.2</v>
      </c>
      <c r="G36" s="1046">
        <f ca="1">ROUND(IF(E2="工业",C36*$M$39,C36*$M$38),0)</f>
        <v>337</v>
      </c>
      <c r="H36" s="1046">
        <f t="shared" si="8"/>
        <v>0</v>
      </c>
      <c r="I36" s="1046">
        <f t="shared" ca="1" si="9"/>
        <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6">
        <f ca="1">ROUND(D5*C19*C20*C24*F37,0)</f>
        <v>1349</v>
      </c>
      <c r="D37" s="1521"/>
      <c r="E37" s="1046">
        <f t="shared" ca="1" si="7"/>
        <v>0</v>
      </c>
      <c r="F37" s="1057">
        <f>SUMIF(修正!A45:A56,G2,修正!F45:F56)</f>
        <v>0.2</v>
      </c>
      <c r="G37" s="1046">
        <f ca="1">ROUND(IF(E2="工业",C37*$M$39,C37*$M$38),0)</f>
        <v>337</v>
      </c>
      <c r="H37" s="1046">
        <f t="shared" si="8"/>
        <v>0</v>
      </c>
      <c r="I37" s="1046">
        <f t="shared" ca="1" si="9"/>
        <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6">
        <f ca="1">ROUND(D5*C19*C41*C24*F38,0)</f>
        <v>0</v>
      </c>
      <c r="D38" s="1521"/>
      <c r="E38" s="1046">
        <f t="shared" ca="1" si="7"/>
        <v>0</v>
      </c>
      <c r="F38" s="1057">
        <f>SUMIF(修正!A45:A56,G2,修正!G45:G56)</f>
        <v>0.2</v>
      </c>
      <c r="G38" s="1046">
        <f ca="1">ROUND(IF(E2="工业",C38*$M$39,C38*$M$38),0)</f>
        <v>0</v>
      </c>
      <c r="H38" s="1046">
        <f t="shared" si="8"/>
        <v>0</v>
      </c>
      <c r="I38" s="1046">
        <f t="shared" ca="1" si="9"/>
        <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9">
        <f ca="1">ROUND(D5*C19*C41*C24*F39,0)</f>
        <v>0</v>
      </c>
      <c r="D39" s="1522"/>
      <c r="E39" s="1049">
        <f t="shared" ca="1" si="7"/>
        <v>0</v>
      </c>
      <c r="F39" s="1059">
        <f>SUMIF(修正!A45:A56,G2,修正!H45:H56)</f>
        <v>0.15</v>
      </c>
      <c r="G39" s="1049">
        <f ca="1">ROUND(IF(E2="工业",C39*$M$39,C39*$M$38),0)</f>
        <v>0</v>
      </c>
      <c r="H39" s="1049">
        <f t="shared" si="8"/>
        <v>0</v>
      </c>
      <c r="I39" s="1049">
        <f t="shared" ca="1" si="9"/>
        <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1" t="s">
        <v>2972</v>
      </c>
      <c r="C41" s="837">
        <f ca="1">ROUND(POWER(1+E41,H41-G41)*(POWER(1+E41,G41)-1)/(POWER(1+E41,H41)-1),4)</f>
        <v>0</v>
      </c>
      <c r="D41" s="376" t="s">
        <v>2970</v>
      </c>
      <c r="E41" s="3140">
        <f ca="1">G20</f>
        <v>0.05</v>
      </c>
      <c r="F41" s="376" t="s">
        <v>2971</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2246</v>
      </c>
      <c r="G46" s="2392" t="s">
        <v>1014</v>
      </c>
      <c r="H46" s="2375" t="s">
        <v>2414</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1020</v>
      </c>
      <c r="B47" s="2372" t="str">
        <f>估价对象房地状况!C16</f>
        <v>周边商业氛围较差，人流量一般，商业繁华度一般</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1021</v>
      </c>
      <c r="B48" s="2369" t="str">
        <f>估价对象房地状况!C18</f>
        <v>估价对象周边道路状况较通达、公共交通通达情况一般、停车较便捷，综合评价交通便捷度一般</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t="str">
        <f>估价对象房地状况!C19</f>
        <v>较一致</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1023</v>
      </c>
      <c r="B50" s="3043" t="s">
        <v>2925</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t="str">
        <f>估价对象房地状况!C24</f>
        <v>主干道</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1025</v>
      </c>
      <c r="B52" s="3042" t="s">
        <v>2924</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估价对象所在区域公共配套设施程度一般</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1028</v>
      </c>
      <c r="B55" s="2373" t="str">
        <f>估价对象房地状况!C20</f>
        <v>区域自然环境较好；人文环境一般；综合评价环境状况较好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2247</v>
      </c>
      <c r="G57" s="2392" t="s">
        <v>1014</v>
      </c>
      <c r="H57" s="2375" t="s">
        <v>2414</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1021</v>
      </c>
      <c r="B59" s="2369" t="str">
        <f>估价对象房地状况!C18</f>
        <v>估价对象周边道路状况较通达、公共交通通达情况一般、停车较便捷，综合评价交通便捷度一般</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t="str">
        <f>估价对象房地状况!C19</f>
        <v>较一致</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1023</v>
      </c>
      <c r="B61" s="3043" t="s">
        <v>2926</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t="str">
        <f>估价对象房地状况!C24</f>
        <v>主干道</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1025</v>
      </c>
      <c r="B63" s="3042" t="s">
        <v>2924</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估价对象所在区域公共配套设施程度一般</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估价对象所在区域基础设施水平七通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1028</v>
      </c>
      <c r="B66" s="2374" t="str">
        <f>估价对象房地状况!C20</f>
        <v>区域自然环境较好；人文环境一般；综合评价环境状况较好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2248</v>
      </c>
      <c r="G68" s="2392" t="s">
        <v>1014</v>
      </c>
      <c r="H68" s="2375" t="s">
        <v>2414</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1032</v>
      </c>
      <c r="B69" s="2372" t="str">
        <f>估价对象房地状况!C15</f>
        <v>估价对象周边居住用地比例较小、居住小区规模和社区发展完善程度一般，综合评价居住社区成熟度一般</v>
      </c>
      <c r="C69" s="1153"/>
      <c r="D69" s="2378">
        <f t="shared" ref="D69:D77" si="20">SUMIF($J$68:$N$68,C69,J69:N69)</f>
        <v>0</v>
      </c>
      <c r="E69" s="2397">
        <f>ROUND(SUM(D69:D77),4)</f>
        <v>0</v>
      </c>
      <c r="F69" s="2398">
        <f>IF(E2="住宅",SUMIF(L1:L12,G2,N1:N12),"——")</f>
        <v>0.15</v>
      </c>
      <c r="G69" s="2379"/>
      <c r="H69" s="2423">
        <f t="shared" ref="H69:H77" si="21">IFERROR(ROUNDDOWN($F$69*I69/2,4),"——")</f>
        <v>1.0500000000000001E-2</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1033</v>
      </c>
      <c r="B70" s="2369" t="str">
        <f>估价对象房地状况!C18</f>
        <v>估价对象周边道路状况较通达、公共交通通达情况一般、停车较便捷，综合评价交通便捷度一般</v>
      </c>
      <c r="C70" s="1153"/>
      <c r="D70" s="2378">
        <f t="shared" si="20"/>
        <v>0</v>
      </c>
      <c r="E70" s="2406"/>
      <c r="F70" s="2407"/>
      <c r="G70" s="2379"/>
      <c r="H70" s="2423">
        <f t="shared" si="21"/>
        <v>2.2499999999999999E-2</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t="str">
        <f>估价对象房地状况!C19</f>
        <v>较一致</v>
      </c>
      <c r="C71" s="1153"/>
      <c r="D71" s="2378">
        <f t="shared" si="20"/>
        <v>0</v>
      </c>
      <c r="E71" s="2406"/>
      <c r="F71" s="2407"/>
      <c r="G71" s="2379"/>
      <c r="H71" s="2423">
        <f t="shared" si="21"/>
        <v>6.0000000000000001E-3</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1034</v>
      </c>
      <c r="B72" s="2369" t="str">
        <f>估价对象房地状况!C24</f>
        <v>主干道</v>
      </c>
      <c r="C72" s="1153"/>
      <c r="D72" s="2378">
        <f t="shared" si="20"/>
        <v>0</v>
      </c>
      <c r="E72" s="2406"/>
      <c r="F72" s="2407"/>
      <c r="G72" s="2379"/>
      <c r="H72" s="2423">
        <f t="shared" si="21"/>
        <v>3.0000000000000001E-3</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估价对象所在区域公共配套设施程度一般</v>
      </c>
      <c r="C73" s="1153"/>
      <c r="D73" s="2378">
        <f t="shared" si="20"/>
        <v>0</v>
      </c>
      <c r="E73" s="2406"/>
      <c r="F73" s="2407"/>
      <c r="G73" s="2379"/>
      <c r="H73" s="2423">
        <f t="shared" si="21"/>
        <v>6.0000000000000001E-3</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估价对象所在区域基础设施水平七通</v>
      </c>
      <c r="C74" s="1153"/>
      <c r="D74" s="2378">
        <f t="shared" si="20"/>
        <v>0</v>
      </c>
      <c r="E74" s="2406"/>
      <c r="F74" s="2407"/>
      <c r="G74" s="2379"/>
      <c r="H74" s="2423">
        <f t="shared" si="21"/>
        <v>8.9999999999999993E-3</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1025</v>
      </c>
      <c r="B75" s="3042" t="s">
        <v>2924</v>
      </c>
      <c r="C75" s="1153"/>
      <c r="D75" s="2378">
        <f t="shared" si="20"/>
        <v>0</v>
      </c>
      <c r="E75" s="2406"/>
      <c r="F75" s="2407"/>
      <c r="G75" s="2379"/>
      <c r="H75" s="2423">
        <f t="shared" si="21"/>
        <v>3.7000000000000002E-3</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1028</v>
      </c>
      <c r="B76" s="2372" t="str">
        <f>估价对象房地状况!C20</f>
        <v>区域自然环境较好；人文环境一般；综合评价环境状况较好</v>
      </c>
      <c r="C76" s="1153"/>
      <c r="D76" s="2378">
        <f t="shared" si="20"/>
        <v>0</v>
      </c>
      <c r="E76" s="2406"/>
      <c r="F76" s="2407"/>
      <c r="G76" s="2379"/>
      <c r="H76" s="2423">
        <f t="shared" si="21"/>
        <v>1.12E-2</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3"/>
      <c r="D77" s="2378">
        <f t="shared" si="20"/>
        <v>0</v>
      </c>
      <c r="E77" s="2408"/>
      <c r="F77" s="2407"/>
      <c r="G77" s="2379"/>
      <c r="H77" s="2423">
        <f t="shared" si="21"/>
        <v>3.0000000000000001E-3</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2249</v>
      </c>
      <c r="G79" s="2392" t="s">
        <v>1014</v>
      </c>
      <c r="H79" s="2375" t="s">
        <v>2414</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1025</v>
      </c>
      <c r="B86" s="3042" t="s">
        <v>2924</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8" t="s">
        <v>1633</v>
      </c>
      <c r="B90" s="3448"/>
      <c r="C90" s="3448"/>
      <c r="D90" s="3448"/>
      <c r="E90" s="3448"/>
      <c r="F90" s="3448"/>
      <c r="G90" s="3448"/>
      <c r="H90" s="3448"/>
      <c r="I90" s="3448"/>
      <c r="J90" s="3448"/>
      <c r="K90" s="2411"/>
      <c r="L90" s="2411"/>
      <c r="M90" s="2411"/>
      <c r="N90" s="2411"/>
    </row>
    <row r="91" spans="1:40">
      <c r="A91" s="3449" t="s">
        <v>1443</v>
      </c>
      <c r="B91" s="3449" t="s">
        <v>1634</v>
      </c>
      <c r="C91" s="1134" t="s">
        <v>1635</v>
      </c>
      <c r="D91" s="1135"/>
      <c r="E91" s="1135"/>
      <c r="F91" s="1135"/>
      <c r="G91" s="1135"/>
      <c r="H91" s="1135"/>
      <c r="I91" s="1135"/>
      <c r="J91" s="1136"/>
      <c r="K91" s="1128"/>
      <c r="L91" s="1128"/>
      <c r="M91" s="1128"/>
      <c r="N91" s="1128"/>
    </row>
    <row r="92" spans="1:40">
      <c r="A92" s="3449"/>
      <c r="B92" s="3449"/>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5"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6"/>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5"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3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3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3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3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3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3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36"/>
      <c r="B108" s="3438"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7"/>
      <c r="B109" s="343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42" t="s">
        <v>1639</v>
      </c>
      <c r="B110" s="3442"/>
      <c r="C110" s="3442"/>
      <c r="D110" s="3442"/>
      <c r="E110" s="3442"/>
      <c r="F110" s="3442"/>
      <c r="G110" s="3442"/>
      <c r="H110" s="3442"/>
      <c r="I110" s="3442"/>
      <c r="J110" s="3442"/>
      <c r="K110" s="2409"/>
      <c r="L110" s="2409"/>
      <c r="M110" s="2409"/>
      <c r="N110" s="2409"/>
    </row>
    <row r="112" spans="1:14" ht="12.75" thickBot="1"/>
    <row r="113" spans="1:13" ht="25.5" thickBot="1">
      <c r="A113" s="1014" t="s">
        <v>896</v>
      </c>
      <c r="B113" s="2412">
        <f>G3</f>
        <v>0</v>
      </c>
      <c r="C113" s="1015" t="s">
        <v>897</v>
      </c>
      <c r="D113" s="1016">
        <f>SUMPRODUCT((A115:A118=F113)*(B114:M114=H113)*B115:M118)</f>
        <v>0.74119999999999997</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0" t="s">
        <v>2975</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49" t="s">
        <v>1007</v>
      </c>
      <c r="B18" s="1148" t="s">
        <v>1446</v>
      </c>
      <c r="C18" s="1125" t="s">
        <v>1447</v>
      </c>
      <c r="D18" s="1126"/>
      <c r="E18" s="1148">
        <v>1</v>
      </c>
      <c r="F18" s="1127" t="s">
        <v>1448</v>
      </c>
      <c r="G18" s="1128"/>
      <c r="H18" s="1099"/>
      <c r="I18" s="1099"/>
    </row>
    <row r="19" spans="1:9" s="1581" customFormat="1" ht="19.5" customHeight="1">
      <c r="A19" s="3449"/>
      <c r="B19" s="3449" t="s">
        <v>1449</v>
      </c>
      <c r="C19" s="1125" t="s">
        <v>1450</v>
      </c>
      <c r="D19" s="1126"/>
      <c r="E19" s="1148">
        <v>0.9</v>
      </c>
      <c r="F19" s="1127" t="s">
        <v>1451</v>
      </c>
      <c r="G19" s="1128"/>
      <c r="H19" s="1099"/>
      <c r="I19" s="1099"/>
    </row>
    <row r="20" spans="1:9" s="1581" customFormat="1" ht="19.5" customHeight="1">
      <c r="A20" s="3449"/>
      <c r="B20" s="3449"/>
      <c r="C20" s="1125" t="s">
        <v>1452</v>
      </c>
      <c r="D20" s="1126"/>
      <c r="E20" s="1148">
        <v>1.1000000000000001</v>
      </c>
      <c r="F20" s="1127" t="s">
        <v>1453</v>
      </c>
      <c r="G20" s="1128"/>
      <c r="H20" s="1099"/>
      <c r="I20" s="1099"/>
    </row>
    <row r="21" spans="1:9" s="1581" customFormat="1" ht="19.5" customHeight="1">
      <c r="A21" s="3449"/>
      <c r="B21" s="3449"/>
      <c r="C21" s="1125" t="s">
        <v>1454</v>
      </c>
      <c r="D21" s="1126"/>
      <c r="E21" s="1148">
        <v>0.8</v>
      </c>
      <c r="F21" s="1127" t="s">
        <v>1455</v>
      </c>
      <c r="G21" s="1128"/>
      <c r="H21" s="1099"/>
      <c r="I21" s="1099"/>
    </row>
    <row r="22" spans="1:9" s="1581" customFormat="1" ht="19.5" customHeight="1">
      <c r="A22" s="3449"/>
      <c r="B22" s="3449"/>
      <c r="C22" s="1125" t="s">
        <v>1456</v>
      </c>
      <c r="D22" s="1126"/>
      <c r="E22" s="1148">
        <v>0.5</v>
      </c>
      <c r="F22" s="1127"/>
      <c r="G22" s="1128"/>
      <c r="H22" s="1099"/>
      <c r="I22" s="1099"/>
    </row>
    <row r="23" spans="1:9" s="1581" customFormat="1" ht="19.5" customHeight="1">
      <c r="A23" s="3449" t="s">
        <v>1029</v>
      </c>
      <c r="B23" s="1148" t="s">
        <v>1446</v>
      </c>
      <c r="C23" s="1125" t="s">
        <v>1457</v>
      </c>
      <c r="D23" s="1126"/>
      <c r="E23" s="1148">
        <v>1</v>
      </c>
      <c r="F23" s="1127" t="s">
        <v>1458</v>
      </c>
      <c r="G23" s="1128"/>
      <c r="H23" s="1099"/>
      <c r="I23" s="1099"/>
    </row>
    <row r="24" spans="1:9" s="1581" customFormat="1" ht="19.5" customHeight="1">
      <c r="A24" s="3449"/>
      <c r="B24" s="3449" t="s">
        <v>1449</v>
      </c>
      <c r="C24" s="1125" t="s">
        <v>1459</v>
      </c>
      <c r="D24" s="1126"/>
      <c r="E24" s="1148">
        <v>0.5</v>
      </c>
      <c r="F24" s="1127"/>
      <c r="G24" s="1128"/>
      <c r="H24" s="1099"/>
      <c r="I24" s="1099"/>
    </row>
    <row r="25" spans="1:9" s="1581" customFormat="1" ht="19.5" customHeight="1">
      <c r="A25" s="3449"/>
      <c r="B25" s="3449"/>
      <c r="C25" s="1125" t="s">
        <v>1460</v>
      </c>
      <c r="D25" s="1126"/>
      <c r="E25" s="1148">
        <v>1.1000000000000001</v>
      </c>
      <c r="F25" s="1127"/>
      <c r="G25" s="1128"/>
      <c r="H25" s="1099"/>
      <c r="I25" s="1099"/>
    </row>
    <row r="26" spans="1:9" s="1581" customFormat="1" ht="19.5" customHeight="1">
      <c r="A26" s="3449"/>
      <c r="B26" s="3449"/>
      <c r="C26" s="1125" t="s">
        <v>1461</v>
      </c>
      <c r="D26" s="1126"/>
      <c r="E26" s="1148">
        <v>1.1000000000000001</v>
      </c>
      <c r="F26" s="1127"/>
      <c r="G26" s="1128"/>
      <c r="H26" s="1099"/>
      <c r="I26" s="1099"/>
    </row>
    <row r="27" spans="1:9" s="1581" customFormat="1" ht="19.5" customHeight="1">
      <c r="A27" s="3449"/>
      <c r="B27" s="3449"/>
      <c r="C27" s="1125" t="s">
        <v>1462</v>
      </c>
      <c r="D27" s="1126"/>
      <c r="E27" s="1148">
        <v>0.9</v>
      </c>
      <c r="F27" s="1127" t="s">
        <v>1463</v>
      </c>
      <c r="G27" s="1128"/>
      <c r="H27" s="1099"/>
      <c r="I27" s="1099"/>
    </row>
    <row r="28" spans="1:9" s="1581" customFormat="1" ht="19.5" customHeight="1">
      <c r="A28" s="3449"/>
      <c r="B28" s="3449"/>
      <c r="C28" s="1125" t="s">
        <v>1464</v>
      </c>
      <c r="D28" s="1126"/>
      <c r="E28" s="1148">
        <v>0.9</v>
      </c>
      <c r="F28" s="1127" t="s">
        <v>1465</v>
      </c>
      <c r="G28" s="1128"/>
      <c r="H28" s="1099"/>
      <c r="I28" s="1099"/>
    </row>
    <row r="29" spans="1:9" s="1581" customFormat="1" ht="19.5" customHeight="1">
      <c r="A29" s="3449"/>
      <c r="B29" s="3449"/>
      <c r="C29" s="1125" t="s">
        <v>1466</v>
      </c>
      <c r="D29" s="1126"/>
      <c r="E29" s="1148">
        <v>0.9</v>
      </c>
      <c r="F29" s="1127" t="s">
        <v>1467</v>
      </c>
      <c r="G29" s="1128"/>
      <c r="H29" s="1099"/>
      <c r="I29" s="1099"/>
    </row>
    <row r="30" spans="1:9" s="1581" customFormat="1" ht="19.5" customHeight="1">
      <c r="A30" s="3449"/>
      <c r="B30" s="3449"/>
      <c r="C30" s="1125" t="s">
        <v>1468</v>
      </c>
      <c r="D30" s="1126"/>
      <c r="E30" s="1148">
        <v>0.9</v>
      </c>
      <c r="F30" s="1127" t="s">
        <v>1469</v>
      </c>
      <c r="G30" s="1128"/>
      <c r="H30" s="1099"/>
      <c r="I30" s="1099"/>
    </row>
    <row r="31" spans="1:9" s="1581" customFormat="1" ht="19.5" customHeight="1">
      <c r="A31" s="3449"/>
      <c r="B31" s="3449"/>
      <c r="C31" s="1125" t="s">
        <v>1470</v>
      </c>
      <c r="D31" s="1126"/>
      <c r="E31" s="1148">
        <v>0.8</v>
      </c>
      <c r="F31" s="1127" t="s">
        <v>1471</v>
      </c>
      <c r="G31" s="1128"/>
      <c r="H31" s="1099"/>
      <c r="I31" s="1099"/>
    </row>
    <row r="32" spans="1:9" s="1581" customFormat="1" ht="19.5" customHeight="1">
      <c r="A32" s="3449"/>
      <c r="B32" s="3449"/>
      <c r="C32" s="1125" t="s">
        <v>1472</v>
      </c>
      <c r="D32" s="1126"/>
      <c r="E32" s="1148">
        <v>0.8</v>
      </c>
      <c r="F32" s="1127" t="s">
        <v>1473</v>
      </c>
      <c r="G32" s="1128"/>
      <c r="H32" s="1099"/>
      <c r="I32" s="1099"/>
    </row>
    <row r="33" spans="1:9" s="1581" customFormat="1" ht="19.5" customHeight="1">
      <c r="A33" s="3449" t="s">
        <v>1474</v>
      </c>
      <c r="B33" s="1148" t="s">
        <v>1446</v>
      </c>
      <c r="C33" s="1125" t="s">
        <v>1475</v>
      </c>
      <c r="D33" s="1126"/>
      <c r="E33" s="1148">
        <v>1</v>
      </c>
      <c r="F33" s="1127" t="s">
        <v>1476</v>
      </c>
      <c r="G33" s="1128"/>
      <c r="H33" s="1099"/>
      <c r="I33" s="1099"/>
    </row>
    <row r="34" spans="1:9" s="1581" customFormat="1" ht="19.5" customHeight="1">
      <c r="A34" s="3449"/>
      <c r="B34" s="1148" t="s">
        <v>1449</v>
      </c>
      <c r="C34" s="1125" t="s">
        <v>1477</v>
      </c>
      <c r="D34" s="1126"/>
      <c r="E34" s="1148">
        <v>1.5</v>
      </c>
      <c r="F34" s="1127" t="s">
        <v>1478</v>
      </c>
      <c r="G34" s="1128"/>
      <c r="H34" s="1099"/>
      <c r="I34" s="1099"/>
    </row>
    <row r="35" spans="1:9" s="1581" customFormat="1" ht="19.5" customHeight="1">
      <c r="A35" s="3449" t="s">
        <v>1432</v>
      </c>
      <c r="B35" s="1148" t="s">
        <v>1446</v>
      </c>
      <c r="C35" s="1125" t="s">
        <v>1479</v>
      </c>
      <c r="D35" s="1126"/>
      <c r="E35" s="1148">
        <v>1</v>
      </c>
      <c r="F35" s="1127" t="s">
        <v>1480</v>
      </c>
      <c r="G35" s="1128"/>
      <c r="H35" s="1099"/>
      <c r="I35" s="1099"/>
    </row>
    <row r="36" spans="1:9" s="1581" customFormat="1" ht="19.5" customHeight="1">
      <c r="A36" s="3449"/>
      <c r="B36" s="3449" t="s">
        <v>1449</v>
      </c>
      <c r="C36" s="1125" t="s">
        <v>1481</v>
      </c>
      <c r="D36" s="1126"/>
      <c r="E36" s="1148">
        <v>1</v>
      </c>
      <c r="F36" s="1127" t="s">
        <v>1482</v>
      </c>
      <c r="G36" s="1128"/>
      <c r="H36" s="1099"/>
      <c r="I36" s="1099"/>
    </row>
    <row r="37" spans="1:9" s="1581" customFormat="1" ht="19.5" customHeight="1">
      <c r="A37" s="3449"/>
      <c r="B37" s="3449"/>
      <c r="C37" s="1125" t="s">
        <v>1483</v>
      </c>
      <c r="D37" s="1126"/>
      <c r="E37" s="1148">
        <v>1.5</v>
      </c>
      <c r="F37" s="1127" t="s">
        <v>1484</v>
      </c>
      <c r="G37" s="1128"/>
      <c r="H37" s="1099"/>
      <c r="I37" s="1099"/>
    </row>
    <row r="38" spans="1:9" s="1581" customFormat="1" ht="19.5" customHeight="1">
      <c r="A38" s="3449"/>
      <c r="B38" s="3449"/>
      <c r="C38" s="1125" t="s">
        <v>1485</v>
      </c>
      <c r="D38" s="1126"/>
      <c r="E38" s="1148">
        <v>1</v>
      </c>
      <c r="F38" s="1127" t="s">
        <v>1486</v>
      </c>
      <c r="G38" s="1128"/>
      <c r="H38" s="1099"/>
      <c r="I38" s="1099"/>
    </row>
    <row r="39" spans="1:9" s="1581" customFormat="1" ht="19.5" customHeight="1">
      <c r="A39" s="3449"/>
      <c r="B39" s="3449"/>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49" t="s">
        <v>1501</v>
      </c>
      <c r="C61" s="1062" t="s">
        <v>1502</v>
      </c>
      <c r="D61" s="1062" t="s">
        <v>1503</v>
      </c>
      <c r="E61" s="1133">
        <v>0.5</v>
      </c>
      <c r="F61" s="1148">
        <v>80</v>
      </c>
      <c r="H61" s="1099">
        <f>SUMIF(C59:C119,基准地价!C8,E59:E119)</f>
        <v>0</v>
      </c>
    </row>
    <row r="62" spans="1:8" s="1099" customFormat="1" ht="24">
      <c r="A62" s="1148">
        <v>2</v>
      </c>
      <c r="B62" s="3449"/>
      <c r="C62" s="1062" t="s">
        <v>1504</v>
      </c>
      <c r="D62" s="1062" t="s">
        <v>1505</v>
      </c>
      <c r="E62" s="1133">
        <v>0.5</v>
      </c>
      <c r="F62" s="1148">
        <v>80</v>
      </c>
    </row>
    <row r="63" spans="1:8" s="1099" customFormat="1" ht="36">
      <c r="A63" s="1148">
        <v>3</v>
      </c>
      <c r="B63" s="3449"/>
      <c r="C63" s="1062" t="s">
        <v>1506</v>
      </c>
      <c r="D63" s="1062" t="s">
        <v>1507</v>
      </c>
      <c r="E63" s="1133">
        <v>0.5</v>
      </c>
      <c r="F63" s="1148">
        <v>80</v>
      </c>
    </row>
    <row r="64" spans="1:8" s="1099" customFormat="1" ht="36">
      <c r="A64" s="1148">
        <v>4</v>
      </c>
      <c r="B64" s="3449"/>
      <c r="C64" s="1062" t="s">
        <v>1508</v>
      </c>
      <c r="D64" s="1062" t="s">
        <v>1509</v>
      </c>
      <c r="E64" s="1133">
        <v>0.4</v>
      </c>
      <c r="F64" s="1148">
        <v>60</v>
      </c>
    </row>
    <row r="65" spans="1:6" s="1099" customFormat="1" ht="36">
      <c r="A65" s="1148">
        <v>5</v>
      </c>
      <c r="B65" s="3449"/>
      <c r="C65" s="1062" t="s">
        <v>1510</v>
      </c>
      <c r="D65" s="1062" t="s">
        <v>1511</v>
      </c>
      <c r="E65" s="1133">
        <v>0.2</v>
      </c>
      <c r="F65" s="1148">
        <v>30</v>
      </c>
    </row>
    <row r="66" spans="1:6" s="1099" customFormat="1" ht="36">
      <c r="A66" s="1148">
        <v>6</v>
      </c>
      <c r="B66" s="3449"/>
      <c r="C66" s="1062" t="s">
        <v>1512</v>
      </c>
      <c r="D66" s="1062" t="s">
        <v>1513</v>
      </c>
      <c r="E66" s="1133">
        <v>0.3</v>
      </c>
      <c r="F66" s="1148">
        <v>50</v>
      </c>
    </row>
    <row r="67" spans="1:6" s="1099" customFormat="1" ht="36">
      <c r="A67" s="1148">
        <v>7</v>
      </c>
      <c r="B67" s="3449"/>
      <c r="C67" s="1062" t="s">
        <v>1514</v>
      </c>
      <c r="D67" s="1062" t="s">
        <v>1515</v>
      </c>
      <c r="E67" s="1133">
        <v>0.2</v>
      </c>
      <c r="F67" s="1148">
        <v>30</v>
      </c>
    </row>
    <row r="68" spans="1:6" s="1099" customFormat="1" ht="36">
      <c r="A68" s="1148">
        <v>8</v>
      </c>
      <c r="B68" s="3449"/>
      <c r="C68" s="1062" t="s">
        <v>1516</v>
      </c>
      <c r="D68" s="1062" t="s">
        <v>1517</v>
      </c>
      <c r="E68" s="1133">
        <v>0.2</v>
      </c>
      <c r="F68" s="1148">
        <v>30</v>
      </c>
    </row>
    <row r="69" spans="1:6" s="1099" customFormat="1" ht="36">
      <c r="A69" s="1148">
        <v>9</v>
      </c>
      <c r="B69" s="3449"/>
      <c r="C69" s="1062" t="s">
        <v>1518</v>
      </c>
      <c r="D69" s="1062" t="s">
        <v>1519</v>
      </c>
      <c r="E69" s="1133">
        <v>0.2</v>
      </c>
      <c r="F69" s="1148">
        <v>30</v>
      </c>
    </row>
    <row r="70" spans="1:6" s="1099" customFormat="1" ht="48">
      <c r="A70" s="1148">
        <v>10</v>
      </c>
      <c r="B70" s="3449"/>
      <c r="C70" s="1062" t="s">
        <v>1520</v>
      </c>
      <c r="D70" s="1062" t="s">
        <v>1521</v>
      </c>
      <c r="E70" s="1133">
        <v>0.2</v>
      </c>
      <c r="F70" s="1148">
        <v>30</v>
      </c>
    </row>
    <row r="71" spans="1:6" s="1099" customFormat="1" ht="48">
      <c r="A71" s="1148">
        <v>11</v>
      </c>
      <c r="B71" s="3449"/>
      <c r="C71" s="1062" t="s">
        <v>1522</v>
      </c>
      <c r="D71" s="1062" t="s">
        <v>1523</v>
      </c>
      <c r="E71" s="1133">
        <v>0.2</v>
      </c>
      <c r="F71" s="1148">
        <v>30</v>
      </c>
    </row>
    <row r="72" spans="1:6" s="1099" customFormat="1" ht="36">
      <c r="A72" s="1148">
        <v>12</v>
      </c>
      <c r="B72" s="3449"/>
      <c r="C72" s="1062" t="s">
        <v>1524</v>
      </c>
      <c r="D72" s="1062" t="s">
        <v>1525</v>
      </c>
      <c r="E72" s="1133">
        <v>0.5</v>
      </c>
      <c r="F72" s="1148">
        <v>80</v>
      </c>
    </row>
    <row r="73" spans="1:6" s="1099" customFormat="1" ht="24">
      <c r="A73" s="1148">
        <v>13</v>
      </c>
      <c r="B73" s="3449"/>
      <c r="C73" s="1062" t="s">
        <v>1526</v>
      </c>
      <c r="D73" s="1062" t="s">
        <v>1527</v>
      </c>
      <c r="E73" s="1133">
        <v>0.4</v>
      </c>
      <c r="F73" s="1148">
        <v>60</v>
      </c>
    </row>
    <row r="74" spans="1:6" s="1099" customFormat="1" ht="24">
      <c r="A74" s="1148">
        <v>14</v>
      </c>
      <c r="B74" s="3449"/>
      <c r="C74" s="1062" t="s">
        <v>1528</v>
      </c>
      <c r="D74" s="1062" t="s">
        <v>1529</v>
      </c>
      <c r="E74" s="1133">
        <v>0.2</v>
      </c>
      <c r="F74" s="1148">
        <v>30</v>
      </c>
    </row>
    <row r="75" spans="1:6" s="1099" customFormat="1" ht="24">
      <c r="A75" s="1148">
        <v>15</v>
      </c>
      <c r="B75" s="3449"/>
      <c r="C75" s="1062" t="s">
        <v>1530</v>
      </c>
      <c r="D75" s="1062" t="s">
        <v>1531</v>
      </c>
      <c r="E75" s="1133">
        <v>0.2</v>
      </c>
      <c r="F75" s="1148">
        <v>30</v>
      </c>
    </row>
    <row r="76" spans="1:6" s="1099" customFormat="1" ht="24">
      <c r="A76" s="1148">
        <v>16</v>
      </c>
      <c r="B76" s="3449" t="s">
        <v>1532</v>
      </c>
      <c r="C76" s="1062" t="s">
        <v>1533</v>
      </c>
      <c r="D76" s="1062" t="s">
        <v>1534</v>
      </c>
      <c r="E76" s="1133">
        <v>0.5</v>
      </c>
      <c r="F76" s="1148">
        <v>80</v>
      </c>
    </row>
    <row r="77" spans="1:6" s="1099" customFormat="1" ht="24">
      <c r="A77" s="1148">
        <v>17</v>
      </c>
      <c r="B77" s="3449"/>
      <c r="C77" s="1062" t="s">
        <v>1535</v>
      </c>
      <c r="D77" s="1062" t="s">
        <v>1536</v>
      </c>
      <c r="E77" s="1133">
        <v>0.5</v>
      </c>
      <c r="F77" s="1148">
        <v>80</v>
      </c>
    </row>
    <row r="78" spans="1:6" s="1099" customFormat="1" ht="24">
      <c r="A78" s="1148">
        <v>18</v>
      </c>
      <c r="B78" s="3449"/>
      <c r="C78" s="1062" t="s">
        <v>1537</v>
      </c>
      <c r="D78" s="1062" t="s">
        <v>1538</v>
      </c>
      <c r="E78" s="1133">
        <v>0.2</v>
      </c>
      <c r="F78" s="1148">
        <v>30</v>
      </c>
    </row>
    <row r="79" spans="1:6" s="1099" customFormat="1" ht="24">
      <c r="A79" s="1148">
        <v>19</v>
      </c>
      <c r="B79" s="3449"/>
      <c r="C79" s="1062" t="s">
        <v>1539</v>
      </c>
      <c r="D79" s="1062" t="s">
        <v>1540</v>
      </c>
      <c r="E79" s="1133">
        <v>0.5</v>
      </c>
      <c r="F79" s="1148">
        <v>80</v>
      </c>
    </row>
    <row r="80" spans="1:6" s="1099" customFormat="1" ht="36">
      <c r="A80" s="1148">
        <v>20</v>
      </c>
      <c r="B80" s="3449"/>
      <c r="C80" s="1062" t="s">
        <v>1541</v>
      </c>
      <c r="D80" s="1062" t="s">
        <v>1542</v>
      </c>
      <c r="E80" s="1133">
        <v>0.2</v>
      </c>
      <c r="F80" s="1148">
        <v>30</v>
      </c>
    </row>
    <row r="81" spans="1:6" s="1099" customFormat="1" ht="36">
      <c r="A81" s="1148">
        <v>21</v>
      </c>
      <c r="B81" s="3449"/>
      <c r="C81" s="1062" t="s">
        <v>1543</v>
      </c>
      <c r="D81" s="1062" t="s">
        <v>1544</v>
      </c>
      <c r="E81" s="1133">
        <v>0.2</v>
      </c>
      <c r="F81" s="1148">
        <v>30</v>
      </c>
    </row>
    <row r="82" spans="1:6" s="1099" customFormat="1" ht="48">
      <c r="A82" s="1148">
        <v>22</v>
      </c>
      <c r="B82" s="3449"/>
      <c r="C82" s="1062" t="s">
        <v>1545</v>
      </c>
      <c r="D82" s="1062" t="s">
        <v>1546</v>
      </c>
      <c r="E82" s="1133">
        <v>0.2</v>
      </c>
      <c r="F82" s="1148">
        <v>30</v>
      </c>
    </row>
    <row r="83" spans="1:6" s="1099" customFormat="1" ht="48">
      <c r="A83" s="1148">
        <v>23</v>
      </c>
      <c r="B83" s="3449"/>
      <c r="C83" s="1062" t="s">
        <v>1547</v>
      </c>
      <c r="D83" s="1062" t="s">
        <v>1548</v>
      </c>
      <c r="E83" s="1133">
        <v>0.2</v>
      </c>
      <c r="F83" s="1148">
        <v>30</v>
      </c>
    </row>
    <row r="84" spans="1:6" s="1099" customFormat="1" ht="36">
      <c r="A84" s="1148">
        <v>24</v>
      </c>
      <c r="B84" s="3449"/>
      <c r="C84" s="1062" t="s">
        <v>1549</v>
      </c>
      <c r="D84" s="1062" t="s">
        <v>1550</v>
      </c>
      <c r="E84" s="1133">
        <v>0.2</v>
      </c>
      <c r="F84" s="1148">
        <v>30</v>
      </c>
    </row>
    <row r="85" spans="1:6" s="1099" customFormat="1" ht="36">
      <c r="A85" s="1148">
        <v>25</v>
      </c>
      <c r="B85" s="3449"/>
      <c r="C85" s="1062" t="s">
        <v>1551</v>
      </c>
      <c r="D85" s="1062" t="s">
        <v>1552</v>
      </c>
      <c r="E85" s="1133">
        <v>0.5</v>
      </c>
      <c r="F85" s="1148">
        <v>80</v>
      </c>
    </row>
    <row r="86" spans="1:6" s="1099" customFormat="1" ht="36">
      <c r="A86" s="1148">
        <v>26</v>
      </c>
      <c r="B86" s="3449"/>
      <c r="C86" s="1062" t="s">
        <v>1553</v>
      </c>
      <c r="D86" s="1062" t="s">
        <v>1554</v>
      </c>
      <c r="E86" s="1133">
        <v>0.2</v>
      </c>
      <c r="F86" s="1148">
        <v>30</v>
      </c>
    </row>
    <row r="87" spans="1:6" s="1099" customFormat="1" ht="36">
      <c r="A87" s="1148">
        <v>27</v>
      </c>
      <c r="B87" s="3449"/>
      <c r="C87" s="1062" t="s">
        <v>1555</v>
      </c>
      <c r="D87" s="1062" t="s">
        <v>1556</v>
      </c>
      <c r="E87" s="1133">
        <v>0.2</v>
      </c>
      <c r="F87" s="1148">
        <v>30</v>
      </c>
    </row>
    <row r="88" spans="1:6" s="1099" customFormat="1" ht="36">
      <c r="A88" s="1148">
        <v>28</v>
      </c>
      <c r="B88" s="3449"/>
      <c r="C88" s="1062" t="s">
        <v>1557</v>
      </c>
      <c r="D88" s="1062" t="s">
        <v>1558</v>
      </c>
      <c r="E88" s="1133">
        <v>0.2</v>
      </c>
      <c r="F88" s="1148">
        <v>30</v>
      </c>
    </row>
    <row r="89" spans="1:6" s="1099" customFormat="1" ht="24">
      <c r="A89" s="1148">
        <v>29</v>
      </c>
      <c r="B89" s="3449"/>
      <c r="C89" s="1062" t="s">
        <v>1559</v>
      </c>
      <c r="D89" s="1062" t="s">
        <v>1560</v>
      </c>
      <c r="E89" s="1133">
        <v>0.2</v>
      </c>
      <c r="F89" s="1148">
        <v>30</v>
      </c>
    </row>
    <row r="90" spans="1:6" s="1099" customFormat="1" ht="24">
      <c r="A90" s="1148">
        <v>30</v>
      </c>
      <c r="B90" s="3449"/>
      <c r="C90" s="1062" t="s">
        <v>1561</v>
      </c>
      <c r="D90" s="1062" t="s">
        <v>1562</v>
      </c>
      <c r="E90" s="1133">
        <v>0.2</v>
      </c>
      <c r="F90" s="1148">
        <v>30</v>
      </c>
    </row>
    <row r="91" spans="1:6" s="1099" customFormat="1" ht="36">
      <c r="A91" s="1148">
        <v>31</v>
      </c>
      <c r="B91" s="3449"/>
      <c r="C91" s="1062" t="s">
        <v>1563</v>
      </c>
      <c r="D91" s="1062" t="s">
        <v>1564</v>
      </c>
      <c r="E91" s="1133">
        <v>0.2</v>
      </c>
      <c r="F91" s="1148">
        <v>30</v>
      </c>
    </row>
    <row r="92" spans="1:6" s="1099" customFormat="1" ht="24">
      <c r="A92" s="1148">
        <v>32</v>
      </c>
      <c r="B92" s="3449" t="s">
        <v>1565</v>
      </c>
      <c r="C92" s="1148" t="s">
        <v>1566</v>
      </c>
      <c r="D92" s="1062" t="s">
        <v>1567</v>
      </c>
      <c r="E92" s="1133">
        <v>0.2</v>
      </c>
      <c r="F92" s="1148">
        <v>30</v>
      </c>
    </row>
    <row r="93" spans="1:6" s="1099" customFormat="1" ht="36">
      <c r="A93" s="1148">
        <v>33</v>
      </c>
      <c r="B93" s="3449"/>
      <c r="C93" s="1148" t="s">
        <v>1568</v>
      </c>
      <c r="D93" s="1062" t="s">
        <v>1569</v>
      </c>
      <c r="E93" s="1133">
        <v>0.2</v>
      </c>
      <c r="F93" s="1148">
        <v>30</v>
      </c>
    </row>
    <row r="94" spans="1:6" s="1099" customFormat="1" ht="48">
      <c r="A94" s="1148">
        <v>34</v>
      </c>
      <c r="B94" s="3449"/>
      <c r="C94" s="1148" t="s">
        <v>1570</v>
      </c>
      <c r="D94" s="1062" t="s">
        <v>1571</v>
      </c>
      <c r="E94" s="1133">
        <v>0.2</v>
      </c>
      <c r="F94" s="1148">
        <v>30</v>
      </c>
    </row>
    <row r="95" spans="1:6" s="1099" customFormat="1" ht="36">
      <c r="A95" s="1148">
        <v>35</v>
      </c>
      <c r="B95" s="3449"/>
      <c r="C95" s="1148" t="s">
        <v>1572</v>
      </c>
      <c r="D95" s="1062" t="s">
        <v>1573</v>
      </c>
      <c r="E95" s="1133">
        <v>0.2</v>
      </c>
      <c r="F95" s="1148">
        <v>30</v>
      </c>
    </row>
    <row r="96" spans="1:6" s="1099" customFormat="1" ht="48">
      <c r="A96" s="1148">
        <v>36</v>
      </c>
      <c r="B96" s="3449"/>
      <c r="C96" s="1062" t="s">
        <v>1574</v>
      </c>
      <c r="D96" s="1062" t="s">
        <v>1575</v>
      </c>
      <c r="E96" s="1133">
        <v>0.2</v>
      </c>
      <c r="F96" s="1148">
        <v>30</v>
      </c>
    </row>
    <row r="97" spans="1:6" s="1099" customFormat="1" ht="36">
      <c r="A97" s="1148">
        <v>37</v>
      </c>
      <c r="B97" s="3449"/>
      <c r="C97" s="1148" t="s">
        <v>1576</v>
      </c>
      <c r="D97" s="1062" t="s">
        <v>1577</v>
      </c>
      <c r="E97" s="1133">
        <v>0.2</v>
      </c>
      <c r="F97" s="1148">
        <v>30</v>
      </c>
    </row>
    <row r="98" spans="1:6" s="1099" customFormat="1" ht="36">
      <c r="A98" s="1148">
        <v>38</v>
      </c>
      <c r="B98" s="3449"/>
      <c r="C98" s="1148" t="s">
        <v>1578</v>
      </c>
      <c r="D98" s="1062" t="s">
        <v>1579</v>
      </c>
      <c r="E98" s="1133">
        <v>0.2</v>
      </c>
      <c r="F98" s="1148">
        <v>30</v>
      </c>
    </row>
    <row r="99" spans="1:6" s="1099" customFormat="1" ht="36">
      <c r="A99" s="1148">
        <v>39</v>
      </c>
      <c r="B99" s="3449" t="s">
        <v>1580</v>
      </c>
      <c r="C99" s="1148" t="s">
        <v>1581</v>
      </c>
      <c r="D99" s="1062" t="s">
        <v>1582</v>
      </c>
      <c r="E99" s="1133">
        <v>0.3</v>
      </c>
      <c r="F99" s="1148">
        <v>50</v>
      </c>
    </row>
    <row r="100" spans="1:6" s="1099" customFormat="1" ht="24">
      <c r="A100" s="1148">
        <v>40</v>
      </c>
      <c r="B100" s="3449"/>
      <c r="C100" s="1148" t="s">
        <v>1583</v>
      </c>
      <c r="D100" s="1062" t="s">
        <v>1584</v>
      </c>
      <c r="E100" s="1133">
        <v>0.2</v>
      </c>
      <c r="F100" s="1148">
        <v>30</v>
      </c>
    </row>
    <row r="101" spans="1:6" s="1099" customFormat="1" ht="36">
      <c r="A101" s="1148">
        <v>41</v>
      </c>
      <c r="B101" s="3449"/>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49" t="s">
        <v>1595</v>
      </c>
      <c r="C105" s="1148" t="s">
        <v>1596</v>
      </c>
      <c r="D105" s="1062" t="s">
        <v>1597</v>
      </c>
      <c r="E105" s="1133">
        <v>0.2</v>
      </c>
      <c r="F105" s="1148">
        <v>30</v>
      </c>
    </row>
    <row r="106" spans="1:6" s="1099" customFormat="1" ht="36">
      <c r="A106" s="1148">
        <v>46</v>
      </c>
      <c r="B106" s="3449"/>
      <c r="C106" s="1148" t="s">
        <v>1598</v>
      </c>
      <c r="D106" s="1062" t="s">
        <v>1599</v>
      </c>
      <c r="E106" s="1133">
        <v>0.2</v>
      </c>
      <c r="F106" s="1148">
        <v>30</v>
      </c>
    </row>
    <row r="107" spans="1:6" s="1099" customFormat="1" ht="36">
      <c r="A107" s="1148">
        <v>47</v>
      </c>
      <c r="B107" s="3449" t="s">
        <v>1600</v>
      </c>
      <c r="C107" s="1148" t="s">
        <v>1601</v>
      </c>
      <c r="D107" s="1062" t="s">
        <v>1602</v>
      </c>
      <c r="E107" s="1133">
        <v>0.3</v>
      </c>
      <c r="F107" s="1148">
        <v>50</v>
      </c>
    </row>
    <row r="108" spans="1:6" s="1099" customFormat="1" ht="36">
      <c r="A108" s="1148">
        <v>48</v>
      </c>
      <c r="B108" s="3449"/>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49" t="s">
        <v>1611</v>
      </c>
      <c r="C111" s="1148" t="s">
        <v>1612</v>
      </c>
      <c r="D111" s="1062" t="s">
        <v>1613</v>
      </c>
      <c r="E111" s="1133">
        <v>0.2</v>
      </c>
      <c r="F111" s="1148">
        <v>30</v>
      </c>
    </row>
    <row r="112" spans="1:6" s="1099" customFormat="1" ht="24">
      <c r="A112" s="1148">
        <v>52</v>
      </c>
      <c r="B112" s="3449"/>
      <c r="C112" s="1148" t="s">
        <v>1614</v>
      </c>
      <c r="D112" s="1062" t="s">
        <v>1615</v>
      </c>
      <c r="E112" s="1133">
        <v>0.2</v>
      </c>
      <c r="F112" s="1148">
        <v>30</v>
      </c>
    </row>
    <row r="113" spans="1:14" s="1099" customFormat="1" ht="24">
      <c r="A113" s="1148">
        <v>53</v>
      </c>
      <c r="B113" s="3449"/>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49" t="s">
        <v>1624</v>
      </c>
      <c r="C116" s="1148" t="s">
        <v>1625</v>
      </c>
      <c r="D116" s="1062" t="s">
        <v>1626</v>
      </c>
      <c r="E116" s="1133">
        <v>0.2</v>
      </c>
      <c r="F116" s="1148">
        <v>30</v>
      </c>
    </row>
    <row r="117" spans="1:14" ht="36">
      <c r="A117" s="1148">
        <v>57</v>
      </c>
      <c r="B117" s="3449"/>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48" t="s">
        <v>1633</v>
      </c>
      <c r="B121" s="3448"/>
      <c r="C121" s="3448"/>
      <c r="D121" s="3448"/>
      <c r="E121" s="3448"/>
      <c r="F121" s="3448"/>
      <c r="G121" s="3448"/>
      <c r="H121" s="3448"/>
      <c r="I121" s="3448"/>
      <c r="J121" s="344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3" t="s">
        <v>1039</v>
      </c>
      <c r="B1" s="3453"/>
      <c r="C1" s="3453"/>
      <c r="D1" s="3453"/>
      <c r="E1" s="3453"/>
      <c r="F1" s="3453"/>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54" t="s">
        <v>1052</v>
      </c>
      <c r="B2" s="3454"/>
      <c r="C2" s="3454"/>
      <c r="D2" s="3454"/>
      <c r="E2" s="3454"/>
      <c r="F2" s="3454"/>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55"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56"/>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4160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7" t="s">
        <v>2075</v>
      </c>
      <c r="B1" s="3457"/>
    </row>
    <row r="2" spans="1:6" ht="14.25" thickBot="1">
      <c r="A2" s="1833"/>
      <c r="B2" s="1833"/>
    </row>
    <row r="3" spans="1:6" ht="14.25" thickBot="1">
      <c r="A3" s="1833"/>
      <c r="B3" s="1833"/>
      <c r="C3" s="1834" t="s">
        <v>2076</v>
      </c>
      <c r="D3" s="1834" t="s">
        <v>2077</v>
      </c>
      <c r="E3" s="1834" t="s">
        <v>2078</v>
      </c>
      <c r="F3" s="1834" t="s">
        <v>2079</v>
      </c>
    </row>
    <row r="4" spans="1:6" ht="14.25" thickBot="1">
      <c r="A4" s="1835" t="s">
        <v>2080</v>
      </c>
      <c r="B4" s="1836" t="s">
        <v>2081</v>
      </c>
      <c r="C4" s="1834"/>
      <c r="D4" s="1834"/>
      <c r="E4" s="1834"/>
      <c r="F4" s="1834"/>
    </row>
    <row r="5" spans="1:6" ht="14.25" thickBot="1">
      <c r="A5" s="1837" t="s">
        <v>2082</v>
      </c>
      <c r="B5" s="1838" t="s">
        <v>2083</v>
      </c>
      <c r="C5" s="1839">
        <v>8.8999999999999996E-2</v>
      </c>
      <c r="D5" s="1839">
        <v>7.3999999999999996E-2</v>
      </c>
      <c r="E5" s="1839">
        <v>7.4999999999999997E-2</v>
      </c>
      <c r="F5" s="1840">
        <v>0.1</v>
      </c>
    </row>
    <row r="6" spans="1:6" ht="14.25" thickBot="1">
      <c r="A6" s="1837" t="s">
        <v>1096</v>
      </c>
      <c r="B6" s="1841" t="s">
        <v>2084</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2085</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2086</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2087</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2088</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2089</v>
      </c>
      <c r="C72" s="1851"/>
      <c r="D72" s="1851"/>
      <c r="E72" s="1851"/>
      <c r="F72" s="1843">
        <v>0.05</v>
      </c>
    </row>
    <row r="73" spans="1:6" ht="14.25" thickBot="1">
      <c r="A73" s="1837" t="s">
        <v>925</v>
      </c>
      <c r="B73" s="1841" t="s">
        <v>2090</v>
      </c>
      <c r="C73" s="1851"/>
      <c r="D73" s="1851"/>
      <c r="E73" s="1851"/>
      <c r="F73" s="1843">
        <v>0.05</v>
      </c>
    </row>
    <row r="74" spans="1:6" ht="14.25" thickBot="1">
      <c r="A74" s="1837" t="s">
        <v>925</v>
      </c>
      <c r="B74" s="1841" t="s">
        <v>2091</v>
      </c>
      <c r="C74" s="1851"/>
      <c r="D74" s="1851"/>
      <c r="E74" s="1851"/>
      <c r="F74" s="1843">
        <v>0.05</v>
      </c>
    </row>
    <row r="75" spans="1:6" ht="14.25" thickBot="1">
      <c r="A75" s="1845" t="s">
        <v>925</v>
      </c>
      <c r="B75" s="1852" t="s">
        <v>2092</v>
      </c>
      <c r="C75" s="1848"/>
      <c r="D75" s="1848"/>
      <c r="E75" s="1848"/>
      <c r="F75" s="1853">
        <v>0.05</v>
      </c>
    </row>
    <row r="76" spans="1:6" ht="14.25" thickBot="1">
      <c r="A76" s="1837" t="s">
        <v>1407</v>
      </c>
      <c r="B76" s="1838" t="s">
        <v>2093</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2094</v>
      </c>
      <c r="C102" s="1851"/>
      <c r="D102" s="1851"/>
      <c r="E102" s="1851"/>
      <c r="F102" s="1843">
        <v>0.05</v>
      </c>
    </row>
    <row r="103" spans="1:6" ht="24.75" thickBot="1">
      <c r="A103" s="1837" t="s">
        <v>1407</v>
      </c>
      <c r="B103" s="1841" t="s">
        <v>2095</v>
      </c>
      <c r="C103" s="1851"/>
      <c r="D103" s="1851"/>
      <c r="E103" s="1851"/>
      <c r="F103" s="1843">
        <v>0.05</v>
      </c>
    </row>
    <row r="104" spans="1:6" ht="14.25" thickBot="1">
      <c r="A104" s="1837" t="s">
        <v>1407</v>
      </c>
      <c r="B104" s="1841" t="s">
        <v>2096</v>
      </c>
      <c r="C104" s="1851"/>
      <c r="D104" s="1851"/>
      <c r="E104" s="1851"/>
      <c r="F104" s="1843">
        <v>0.05</v>
      </c>
    </row>
    <row r="105" spans="1:6" ht="14.25" thickBot="1">
      <c r="A105" s="1837" t="s">
        <v>1407</v>
      </c>
      <c r="B105" s="1841" t="s">
        <v>2097</v>
      </c>
      <c r="C105" s="1851"/>
      <c r="D105" s="1851"/>
      <c r="E105" s="1851"/>
      <c r="F105" s="1843">
        <v>0.05</v>
      </c>
    </row>
    <row r="106" spans="1:6" ht="14.25" thickBot="1">
      <c r="A106" s="1837" t="s">
        <v>1407</v>
      </c>
      <c r="B106" s="1841" t="s">
        <v>2098</v>
      </c>
      <c r="C106" s="1851"/>
      <c r="D106" s="1851"/>
      <c r="E106" s="1851"/>
      <c r="F106" s="1843">
        <v>0.05</v>
      </c>
    </row>
    <row r="107" spans="1:6" ht="24.75" thickBot="1">
      <c r="A107" s="1837" t="s">
        <v>1407</v>
      </c>
      <c r="B107" s="1841" t="s">
        <v>2099</v>
      </c>
      <c r="C107" s="1851"/>
      <c r="D107" s="1851"/>
      <c r="E107" s="1851"/>
      <c r="F107" s="1843">
        <v>0.05</v>
      </c>
    </row>
    <row r="108" spans="1:6" ht="24.75" thickBot="1">
      <c r="A108" s="1837" t="s">
        <v>1407</v>
      </c>
      <c r="B108" s="1841" t="s">
        <v>2100</v>
      </c>
      <c r="C108" s="1851"/>
      <c r="D108" s="1851"/>
      <c r="E108" s="1851"/>
      <c r="F108" s="1843">
        <v>0.05</v>
      </c>
    </row>
    <row r="109" spans="1:6" ht="24.75" thickBot="1">
      <c r="A109" s="1845" t="s">
        <v>1407</v>
      </c>
      <c r="B109" s="1852" t="s">
        <v>2101</v>
      </c>
      <c r="C109" s="1848"/>
      <c r="D109" s="1848"/>
      <c r="E109" s="1848"/>
      <c r="F109" s="1853">
        <v>0.05</v>
      </c>
    </row>
    <row r="110" spans="1:6" ht="14.25" thickBot="1">
      <c r="A110" s="1837" t="s">
        <v>1409</v>
      </c>
      <c r="B110" s="1838" t="s">
        <v>2102</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2103</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2104</v>
      </c>
      <c r="C138" s="1842">
        <v>0.105</v>
      </c>
      <c r="D138" s="1842">
        <v>0.125</v>
      </c>
      <c r="E138" s="1842">
        <v>0.112</v>
      </c>
      <c r="F138" s="1850"/>
    </row>
    <row r="139" spans="1:6" ht="14.25" thickBot="1">
      <c r="A139" s="1837" t="s">
        <v>1409</v>
      </c>
      <c r="B139" s="1841" t="s">
        <v>2105</v>
      </c>
      <c r="C139" s="1842">
        <v>0.127</v>
      </c>
      <c r="D139" s="1842">
        <v>0.127</v>
      </c>
      <c r="E139" s="1842">
        <v>0.122</v>
      </c>
      <c r="F139" s="1843">
        <v>0.13</v>
      </c>
    </row>
    <row r="140" spans="1:6" ht="14.25" thickBot="1">
      <c r="A140" s="1837" t="s">
        <v>1409</v>
      </c>
      <c r="B140" s="1841" t="s">
        <v>2106</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2107</v>
      </c>
      <c r="C144" s="1855">
        <v>0.126</v>
      </c>
      <c r="D144" s="1855">
        <v>0.126</v>
      </c>
      <c r="E144" s="1855">
        <v>0.121</v>
      </c>
      <c r="F144" s="1850"/>
    </row>
    <row r="145" spans="1:6" ht="14.25" thickBot="1">
      <c r="A145" s="1845" t="s">
        <v>1409</v>
      </c>
      <c r="B145" s="1856" t="s">
        <v>2108</v>
      </c>
      <c r="C145" s="1857"/>
      <c r="D145" s="1857"/>
      <c r="E145" s="1857"/>
      <c r="F145" s="1858">
        <v>0.05</v>
      </c>
    </row>
    <row r="146" spans="1:6" ht="24.75" thickBot="1">
      <c r="A146" s="1859" t="s">
        <v>1409</v>
      </c>
      <c r="B146" s="1844" t="s">
        <v>2109</v>
      </c>
      <c r="C146" s="1851"/>
      <c r="D146" s="1851"/>
      <c r="E146" s="1851"/>
      <c r="F146" s="1860">
        <v>0.05</v>
      </c>
    </row>
    <row r="147" spans="1:6" ht="24.75" thickBot="1">
      <c r="A147" s="1837" t="s">
        <v>1409</v>
      </c>
      <c r="B147" s="1841" t="s">
        <v>2110</v>
      </c>
      <c r="C147" s="1851"/>
      <c r="D147" s="1851"/>
      <c r="E147" s="1851"/>
      <c r="F147" s="1843">
        <v>0.05</v>
      </c>
    </row>
    <row r="148" spans="1:6" ht="24.75" thickBot="1">
      <c r="A148" s="1837" t="s">
        <v>1409</v>
      </c>
      <c r="B148" s="1841" t="s">
        <v>2111</v>
      </c>
      <c r="C148" s="1851"/>
      <c r="D148" s="1851"/>
      <c r="E148" s="1851"/>
      <c r="F148" s="1843">
        <v>0.05</v>
      </c>
    </row>
    <row r="149" spans="1:6" ht="24.75" thickBot="1">
      <c r="A149" s="1837" t="s">
        <v>1409</v>
      </c>
      <c r="B149" s="1841" t="s">
        <v>2112</v>
      </c>
      <c r="C149" s="1851"/>
      <c r="D149" s="1851"/>
      <c r="E149" s="1851"/>
      <c r="F149" s="1843">
        <v>0.05</v>
      </c>
    </row>
    <row r="150" spans="1:6" ht="24.75" thickBot="1">
      <c r="A150" s="1837" t="s">
        <v>1409</v>
      </c>
      <c r="B150" s="1841" t="s">
        <v>2113</v>
      </c>
      <c r="C150" s="1851"/>
      <c r="D150" s="1851"/>
      <c r="E150" s="1851"/>
      <c r="F150" s="1843">
        <v>0.05</v>
      </c>
    </row>
    <row r="151" spans="1:6" ht="24.75" thickBot="1">
      <c r="A151" s="1837" t="s">
        <v>1409</v>
      </c>
      <c r="B151" s="1841" t="s">
        <v>2114</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2115</v>
      </c>
      <c r="C153" s="1851"/>
      <c r="D153" s="1851"/>
      <c r="E153" s="1851"/>
      <c r="F153" s="1843">
        <v>0.05</v>
      </c>
    </row>
    <row r="154" spans="1:6" ht="14.25" thickBot="1">
      <c r="A154" s="1837" t="s">
        <v>1409</v>
      </c>
      <c r="B154" s="1841" t="s">
        <v>2116</v>
      </c>
      <c r="C154" s="1851"/>
      <c r="D154" s="1851"/>
      <c r="E154" s="1851"/>
      <c r="F154" s="1843">
        <v>0.05</v>
      </c>
    </row>
    <row r="155" spans="1:6" ht="24.75" thickBot="1">
      <c r="A155" s="1837" t="s">
        <v>1409</v>
      </c>
      <c r="B155" s="1841" t="s">
        <v>2117</v>
      </c>
      <c r="C155" s="1851"/>
      <c r="D155" s="1851"/>
      <c r="E155" s="1851"/>
      <c r="F155" s="1843">
        <v>0.05</v>
      </c>
    </row>
    <row r="156" spans="1:6" ht="24.75" thickBot="1">
      <c r="A156" s="1837" t="s">
        <v>1409</v>
      </c>
      <c r="B156" s="1841" t="s">
        <v>2118</v>
      </c>
      <c r="C156" s="1851"/>
      <c r="D156" s="1851"/>
      <c r="E156" s="1851"/>
      <c r="F156" s="1843">
        <v>0.05</v>
      </c>
    </row>
    <row r="157" spans="1:6" ht="14.25" thickBot="1">
      <c r="A157" s="1845" t="s">
        <v>1409</v>
      </c>
      <c r="B157" s="1852" t="s">
        <v>2119</v>
      </c>
      <c r="C157" s="1848"/>
      <c r="D157" s="1848"/>
      <c r="E157" s="1848"/>
      <c r="F157" s="1853">
        <v>0.05</v>
      </c>
    </row>
    <row r="158" spans="1:6" ht="14.25" thickBot="1">
      <c r="A158" s="1837" t="s">
        <v>1411</v>
      </c>
      <c r="B158" s="1838" t="s">
        <v>2120</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2121</v>
      </c>
      <c r="C171" s="1842">
        <v>0.127</v>
      </c>
      <c r="D171" s="1842">
        <v>0.126</v>
      </c>
      <c r="E171" s="1842">
        <v>0.126</v>
      </c>
      <c r="F171" s="1843">
        <v>0.11799999999999999</v>
      </c>
    </row>
    <row r="172" spans="1:6" ht="14.25" thickBot="1">
      <c r="A172" s="1837" t="s">
        <v>1411</v>
      </c>
      <c r="B172" s="1841" t="s">
        <v>2122</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2123</v>
      </c>
      <c r="C174" s="1842">
        <v>0.13</v>
      </c>
      <c r="D174" s="1842">
        <v>0.13</v>
      </c>
      <c r="E174" s="1842">
        <v>0.13</v>
      </c>
      <c r="F174" s="1843">
        <v>0.13</v>
      </c>
    </row>
    <row r="175" spans="1:6" ht="14.25" thickBot="1">
      <c r="A175" s="1837" t="s">
        <v>1411</v>
      </c>
      <c r="B175" s="1841" t="s">
        <v>2124</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2125</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2126</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2127</v>
      </c>
      <c r="C185" s="1842">
        <v>0.127</v>
      </c>
      <c r="D185" s="1842">
        <v>0.127</v>
      </c>
      <c r="E185" s="1842">
        <v>0.128</v>
      </c>
      <c r="F185" s="1843">
        <v>0.13</v>
      </c>
    </row>
    <row r="186" spans="1:6" ht="24.75" thickBot="1">
      <c r="A186" s="1837" t="s">
        <v>1411</v>
      </c>
      <c r="B186" s="1841" t="s">
        <v>2128</v>
      </c>
      <c r="C186" s="1851"/>
      <c r="D186" s="1851"/>
      <c r="E186" s="1851"/>
      <c r="F186" s="1843">
        <v>0.05</v>
      </c>
    </row>
    <row r="187" spans="1:6" ht="14.25" thickBot="1">
      <c r="A187" s="1837" t="s">
        <v>1411</v>
      </c>
      <c r="B187" s="1841" t="s">
        <v>2129</v>
      </c>
      <c r="C187" s="1851"/>
      <c r="D187" s="1851"/>
      <c r="E187" s="1851"/>
      <c r="F187" s="1843">
        <v>0.05</v>
      </c>
    </row>
    <row r="188" spans="1:6" ht="14.25" thickBot="1">
      <c r="A188" s="1837" t="s">
        <v>1411</v>
      </c>
      <c r="B188" s="1841" t="s">
        <v>2130</v>
      </c>
      <c r="C188" s="1851"/>
      <c r="D188" s="1851"/>
      <c r="E188" s="1851"/>
      <c r="F188" s="1843">
        <v>0.05</v>
      </c>
    </row>
    <row r="189" spans="1:6" ht="24.75" thickBot="1">
      <c r="A189" s="1837" t="s">
        <v>1411</v>
      </c>
      <c r="B189" s="1841" t="s">
        <v>2131</v>
      </c>
      <c r="C189" s="1851"/>
      <c r="D189" s="1851"/>
      <c r="E189" s="1851"/>
      <c r="F189" s="1843">
        <v>0.05</v>
      </c>
    </row>
    <row r="190" spans="1:6" ht="24.75" thickBot="1">
      <c r="A190" s="1837" t="s">
        <v>1411</v>
      </c>
      <c r="B190" s="1841" t="s">
        <v>2132</v>
      </c>
      <c r="C190" s="1851"/>
      <c r="D190" s="1851"/>
      <c r="E190" s="1851"/>
      <c r="F190" s="1843">
        <v>0.05</v>
      </c>
    </row>
    <row r="191" spans="1:6" ht="24.75" thickBot="1">
      <c r="A191" s="1837" t="s">
        <v>1411</v>
      </c>
      <c r="B191" s="1841" t="s">
        <v>2133</v>
      </c>
      <c r="C191" s="1851"/>
      <c r="D191" s="1851"/>
      <c r="E191" s="1851"/>
      <c r="F191" s="1843">
        <v>0.05</v>
      </c>
    </row>
    <row r="192" spans="1:6" ht="24.75" thickBot="1">
      <c r="A192" s="1837" t="s">
        <v>1411</v>
      </c>
      <c r="B192" s="1841" t="s">
        <v>2134</v>
      </c>
      <c r="C192" s="1851"/>
      <c r="D192" s="1851"/>
      <c r="E192" s="1851"/>
      <c r="F192" s="1843">
        <v>0.05</v>
      </c>
    </row>
    <row r="193" spans="1:6" ht="24.75" thickBot="1">
      <c r="A193" s="1837" t="s">
        <v>1411</v>
      </c>
      <c r="B193" s="1841" t="s">
        <v>2135</v>
      </c>
      <c r="C193" s="1851"/>
      <c r="D193" s="1851"/>
      <c r="E193" s="1851"/>
      <c r="F193" s="1843">
        <v>0.05</v>
      </c>
    </row>
    <row r="194" spans="1:6" ht="24.75" thickBot="1">
      <c r="A194" s="1837" t="s">
        <v>1411</v>
      </c>
      <c r="B194" s="1841" t="s">
        <v>2136</v>
      </c>
      <c r="C194" s="1851"/>
      <c r="D194" s="1851"/>
      <c r="E194" s="1851"/>
      <c r="F194" s="1843">
        <v>0.05</v>
      </c>
    </row>
    <row r="195" spans="1:6" ht="14.25" thickBot="1">
      <c r="A195" s="1837" t="s">
        <v>1411</v>
      </c>
      <c r="B195" s="1841" t="s">
        <v>2137</v>
      </c>
      <c r="C195" s="1851"/>
      <c r="D195" s="1851"/>
      <c r="E195" s="1851"/>
      <c r="F195" s="1843">
        <v>0.05</v>
      </c>
    </row>
    <row r="196" spans="1:6" ht="24.75" thickBot="1">
      <c r="A196" s="1837" t="s">
        <v>1411</v>
      </c>
      <c r="B196" s="1841" t="s">
        <v>2138</v>
      </c>
      <c r="C196" s="1851"/>
      <c r="D196" s="1851"/>
      <c r="E196" s="1851"/>
      <c r="F196" s="1843">
        <v>0.05</v>
      </c>
    </row>
    <row r="197" spans="1:6" ht="24.75" thickBot="1">
      <c r="A197" s="1837" t="s">
        <v>1411</v>
      </c>
      <c r="B197" s="1841" t="s">
        <v>2139</v>
      </c>
      <c r="C197" s="1851"/>
      <c r="D197" s="1851"/>
      <c r="E197" s="1851"/>
      <c r="F197" s="1843">
        <v>0.05</v>
      </c>
    </row>
    <row r="198" spans="1:6" ht="24.75" thickBot="1">
      <c r="A198" s="1837" t="s">
        <v>1411</v>
      </c>
      <c r="B198" s="1841" t="s">
        <v>2140</v>
      </c>
      <c r="C198" s="1851"/>
      <c r="D198" s="1851"/>
      <c r="E198" s="1851"/>
      <c r="F198" s="1843">
        <v>0.05</v>
      </c>
    </row>
    <row r="199" spans="1:6" ht="24.75" thickBot="1">
      <c r="A199" s="1837" t="s">
        <v>1411</v>
      </c>
      <c r="B199" s="1841" t="s">
        <v>2141</v>
      </c>
      <c r="C199" s="1851"/>
      <c r="D199" s="1851"/>
      <c r="E199" s="1851"/>
      <c r="F199" s="1843">
        <v>0.05</v>
      </c>
    </row>
    <row r="200" spans="1:6" ht="24.75" thickBot="1">
      <c r="A200" s="1837" t="s">
        <v>1411</v>
      </c>
      <c r="B200" s="1841" t="s">
        <v>2142</v>
      </c>
      <c r="C200" s="1851"/>
      <c r="D200" s="1851"/>
      <c r="E200" s="1851"/>
      <c r="F200" s="1843">
        <v>0.05</v>
      </c>
    </row>
    <row r="201" spans="1:6" ht="24.75" thickBot="1">
      <c r="A201" s="1837" t="s">
        <v>1411</v>
      </c>
      <c r="B201" s="1841" t="s">
        <v>2143</v>
      </c>
      <c r="C201" s="1851"/>
      <c r="D201" s="1851"/>
      <c r="E201" s="1851"/>
      <c r="F201" s="1843">
        <v>0.05</v>
      </c>
    </row>
    <row r="202" spans="1:6" ht="24.75" thickBot="1">
      <c r="A202" s="1837" t="s">
        <v>1411</v>
      </c>
      <c r="B202" s="1841" t="s">
        <v>2144</v>
      </c>
      <c r="C202" s="1851"/>
      <c r="D202" s="1851"/>
      <c r="E202" s="1851"/>
      <c r="F202" s="1843">
        <v>0.05</v>
      </c>
    </row>
    <row r="203" spans="1:6" ht="24.75" thickBot="1">
      <c r="A203" s="1837" t="s">
        <v>1411</v>
      </c>
      <c r="B203" s="1841" t="s">
        <v>2145</v>
      </c>
      <c r="C203" s="1851"/>
      <c r="D203" s="1851"/>
      <c r="E203" s="1851"/>
      <c r="F203" s="1843">
        <v>0.05</v>
      </c>
    </row>
    <row r="204" spans="1:6" ht="14.25" thickBot="1">
      <c r="A204" s="1837" t="s">
        <v>1411</v>
      </c>
      <c r="B204" s="1841" t="s">
        <v>2146</v>
      </c>
      <c r="C204" s="1851"/>
      <c r="D204" s="1851"/>
      <c r="E204" s="1851"/>
      <c r="F204" s="1843">
        <v>0.05</v>
      </c>
    </row>
    <row r="205" spans="1:6" ht="14.25" thickBot="1">
      <c r="A205" s="1845" t="s">
        <v>1411</v>
      </c>
      <c r="B205" s="1852" t="s">
        <v>2147</v>
      </c>
      <c r="C205" s="1848"/>
      <c r="D205" s="1848"/>
      <c r="E205" s="1848"/>
      <c r="F205" s="1853">
        <v>0.05</v>
      </c>
    </row>
    <row r="206" spans="1:6" ht="14.25" thickBot="1">
      <c r="A206" s="1837" t="s">
        <v>1413</v>
      </c>
      <c r="B206" s="1838" t="s">
        <v>2148</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2149</v>
      </c>
      <c r="C210" s="1842">
        <v>0.15</v>
      </c>
      <c r="D210" s="1842">
        <v>0.15</v>
      </c>
      <c r="E210" s="1842">
        <v>0.15</v>
      </c>
      <c r="F210" s="1843">
        <v>0.13800000000000001</v>
      </c>
    </row>
    <row r="211" spans="1:6" ht="14.25" thickBot="1">
      <c r="A211" s="1837" t="s">
        <v>1413</v>
      </c>
      <c r="B211" s="1841" t="s">
        <v>2150</v>
      </c>
      <c r="C211" s="1842">
        <v>0.13700000000000001</v>
      </c>
      <c r="D211" s="1842">
        <v>0.13500000000000001</v>
      </c>
      <c r="E211" s="1842">
        <v>0.13600000000000001</v>
      </c>
      <c r="F211" s="1843">
        <v>0.1</v>
      </c>
    </row>
    <row r="212" spans="1:6" ht="14.25" thickBot="1">
      <c r="A212" s="1837" t="s">
        <v>1413</v>
      </c>
      <c r="B212" s="1841" t="s">
        <v>2151</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2152</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2153</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2154</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2155</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2156</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2157</v>
      </c>
      <c r="C231" s="1842">
        <v>0.128</v>
      </c>
      <c r="D231" s="1842">
        <v>0.125</v>
      </c>
      <c r="E231" s="1842">
        <v>0.13200000000000001</v>
      </c>
      <c r="F231" s="1850"/>
    </row>
    <row r="232" spans="1:6" ht="14.25" thickBot="1">
      <c r="A232" s="1837" t="s">
        <v>1413</v>
      </c>
      <c r="B232" s="1841" t="s">
        <v>2158</v>
      </c>
      <c r="C232" s="1842">
        <v>0.14499999999999999</v>
      </c>
      <c r="D232" s="1842">
        <v>0.14399999999999999</v>
      </c>
      <c r="E232" s="1842">
        <v>0.14599999999999999</v>
      </c>
      <c r="F232" s="1843">
        <v>0.13800000000000001</v>
      </c>
    </row>
    <row r="233" spans="1:6" ht="14.25" thickBot="1">
      <c r="A233" s="1837" t="s">
        <v>1413</v>
      </c>
      <c r="B233" s="1841" t="s">
        <v>2159</v>
      </c>
      <c r="C233" s="1842">
        <v>0.14499999999999999</v>
      </c>
      <c r="D233" s="1842">
        <v>0.14299999999999999</v>
      </c>
      <c r="E233" s="1842">
        <v>0.14199999999999999</v>
      </c>
      <c r="F233" s="1850"/>
    </row>
    <row r="234" spans="1:6" ht="14.25" thickBot="1">
      <c r="A234" s="1837" t="s">
        <v>1413</v>
      </c>
      <c r="B234" s="1841" t="s">
        <v>2160</v>
      </c>
      <c r="C234" s="1842">
        <v>0.14000000000000001</v>
      </c>
      <c r="D234" s="1842">
        <v>0.14000000000000001</v>
      </c>
      <c r="E234" s="1842">
        <v>0.14399999999999999</v>
      </c>
      <c r="F234" s="1850"/>
    </row>
    <row r="235" spans="1:6" ht="14.25" thickBot="1">
      <c r="A235" s="1837" t="s">
        <v>1413</v>
      </c>
      <c r="B235" s="1841" t="s">
        <v>2161</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2162</v>
      </c>
      <c r="C237" s="1851"/>
      <c r="D237" s="1851"/>
      <c r="E237" s="1851"/>
      <c r="F237" s="1843">
        <v>0.05</v>
      </c>
    </row>
    <row r="238" spans="1:6" ht="24.75" thickBot="1">
      <c r="A238" s="1837" t="s">
        <v>1413</v>
      </c>
      <c r="B238" s="1841" t="s">
        <v>2163</v>
      </c>
      <c r="C238" s="1851"/>
      <c r="D238" s="1851"/>
      <c r="E238" s="1851"/>
      <c r="F238" s="1843">
        <v>0.05</v>
      </c>
    </row>
    <row r="239" spans="1:6" ht="24.75" thickBot="1">
      <c r="A239" s="1837" t="s">
        <v>1413</v>
      </c>
      <c r="B239" s="1841" t="s">
        <v>2164</v>
      </c>
      <c r="C239" s="1851"/>
      <c r="D239" s="1851"/>
      <c r="E239" s="1851"/>
      <c r="F239" s="1843">
        <v>0.05</v>
      </c>
    </row>
    <row r="240" spans="1:6" ht="24.75" thickBot="1">
      <c r="A240" s="1837" t="s">
        <v>1413</v>
      </c>
      <c r="B240" s="1841" t="s">
        <v>2165</v>
      </c>
      <c r="C240" s="1851"/>
      <c r="D240" s="1851"/>
      <c r="E240" s="1851"/>
      <c r="F240" s="1843">
        <v>0.05</v>
      </c>
    </row>
    <row r="241" spans="1:6" ht="24.75" thickBot="1">
      <c r="A241" s="1837" t="s">
        <v>1413</v>
      </c>
      <c r="B241" s="1841" t="s">
        <v>2166</v>
      </c>
      <c r="C241" s="1851"/>
      <c r="D241" s="1851"/>
      <c r="E241" s="1851"/>
      <c r="F241" s="1843">
        <v>0.05</v>
      </c>
    </row>
    <row r="242" spans="1:6" ht="24.75" thickBot="1">
      <c r="A242" s="1837" t="s">
        <v>1413</v>
      </c>
      <c r="B242" s="1841" t="s">
        <v>2167</v>
      </c>
      <c r="C242" s="1851"/>
      <c r="D242" s="1851"/>
      <c r="E242" s="1851"/>
      <c r="F242" s="1843">
        <v>0.05</v>
      </c>
    </row>
    <row r="243" spans="1:6" ht="24.75" thickBot="1">
      <c r="A243" s="1837" t="s">
        <v>1413</v>
      </c>
      <c r="B243" s="1841" t="s">
        <v>2168</v>
      </c>
      <c r="C243" s="1851"/>
      <c r="D243" s="1851"/>
      <c r="E243" s="1851"/>
      <c r="F243" s="1843">
        <v>0.05</v>
      </c>
    </row>
    <row r="244" spans="1:6" ht="24.75" thickBot="1">
      <c r="A244" s="1845" t="s">
        <v>1413</v>
      </c>
      <c r="B244" s="1852" t="s">
        <v>2169</v>
      </c>
      <c r="C244" s="1848"/>
      <c r="D244" s="1848"/>
      <c r="E244" s="1848"/>
      <c r="F244" s="1853">
        <v>0.05</v>
      </c>
    </row>
    <row r="245" spans="1:6" ht="14.25" thickBot="1">
      <c r="A245" s="1837" t="s">
        <v>1415</v>
      </c>
      <c r="B245" s="1838" t="s">
        <v>2170</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2171</v>
      </c>
      <c r="C247" s="1842">
        <v>0.15</v>
      </c>
      <c r="D247" s="1842">
        <v>0.15</v>
      </c>
      <c r="E247" s="1842">
        <v>0.15</v>
      </c>
      <c r="F247" s="1843">
        <v>0.15</v>
      </c>
    </row>
    <row r="248" spans="1:6" ht="14.25" thickBot="1">
      <c r="A248" s="1837" t="s">
        <v>1415</v>
      </c>
      <c r="B248" s="1841" t="s">
        <v>2172</v>
      </c>
      <c r="C248" s="1842">
        <v>0.15</v>
      </c>
      <c r="D248" s="1842">
        <v>0.15</v>
      </c>
      <c r="E248" s="1842">
        <v>0.15</v>
      </c>
      <c r="F248" s="1843">
        <v>0.14000000000000001</v>
      </c>
    </row>
    <row r="249" spans="1:6" ht="14.25" thickBot="1">
      <c r="A249" s="1837" t="s">
        <v>1415</v>
      </c>
      <c r="B249" s="1841" t="s">
        <v>2173</v>
      </c>
      <c r="C249" s="1842">
        <v>0.15</v>
      </c>
      <c r="D249" s="1842">
        <v>0.14899999999999999</v>
      </c>
      <c r="E249" s="1842">
        <v>0.15</v>
      </c>
      <c r="F249" s="1843">
        <v>0.1</v>
      </c>
    </row>
    <row r="250" spans="1:6" ht="14.25" thickBot="1">
      <c r="A250" s="1837" t="s">
        <v>1415</v>
      </c>
      <c r="B250" s="1841" t="s">
        <v>2174</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2175</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2176</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2177</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2178</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2179</v>
      </c>
      <c r="C273" s="1842">
        <v>0.14199999999999999</v>
      </c>
      <c r="D273" s="1842">
        <v>0.14299999999999999</v>
      </c>
      <c r="E273" s="1842">
        <v>0.15</v>
      </c>
      <c r="F273" s="1843">
        <v>0.1</v>
      </c>
    </row>
    <row r="274" spans="1:6" ht="14.25" thickBot="1">
      <c r="A274" s="1837" t="s">
        <v>1415</v>
      </c>
      <c r="B274" s="1841" t="s">
        <v>2180</v>
      </c>
      <c r="C274" s="1842">
        <v>0.14799999999999999</v>
      </c>
      <c r="D274" s="1842">
        <v>0.14799999999999999</v>
      </c>
      <c r="E274" s="1842">
        <v>0.15</v>
      </c>
      <c r="F274" s="1843">
        <v>6.7000000000000004E-2</v>
      </c>
    </row>
    <row r="275" spans="1:6" ht="14.25" thickBot="1">
      <c r="A275" s="1837" t="s">
        <v>1415</v>
      </c>
      <c r="B275" s="1841" t="s">
        <v>2181</v>
      </c>
      <c r="C275" s="1842">
        <v>0.15</v>
      </c>
      <c r="D275" s="1842">
        <v>0.15</v>
      </c>
      <c r="E275" s="1842">
        <v>0.15</v>
      </c>
      <c r="F275" s="1843">
        <v>0.15</v>
      </c>
    </row>
    <row r="276" spans="1:6" ht="14.25" thickBot="1">
      <c r="A276" s="1837" t="s">
        <v>1415</v>
      </c>
      <c r="B276" s="1841" t="s">
        <v>2182</v>
      </c>
      <c r="C276" s="1842">
        <v>0.14499999999999999</v>
      </c>
      <c r="D276" s="1842">
        <v>0.14299999999999999</v>
      </c>
      <c r="E276" s="1842">
        <v>0.15</v>
      </c>
      <c r="F276" s="1843">
        <v>5.8999999999999997E-2</v>
      </c>
    </row>
    <row r="277" spans="1:6" ht="14.25" thickBot="1">
      <c r="A277" s="1837" t="s">
        <v>1415</v>
      </c>
      <c r="B277" s="1841" t="s">
        <v>2183</v>
      </c>
      <c r="C277" s="1842">
        <v>0.15</v>
      </c>
      <c r="D277" s="1842">
        <v>0.15</v>
      </c>
      <c r="E277" s="1842">
        <v>0.15</v>
      </c>
      <c r="F277" s="1843">
        <v>0.121</v>
      </c>
    </row>
    <row r="278" spans="1:6" ht="14.25" thickBot="1">
      <c r="A278" s="1837" t="s">
        <v>1415</v>
      </c>
      <c r="B278" s="1841" t="s">
        <v>2184</v>
      </c>
      <c r="C278" s="1842">
        <v>0.15</v>
      </c>
      <c r="D278" s="1842">
        <v>0.15</v>
      </c>
      <c r="E278" s="1842">
        <v>0.15</v>
      </c>
      <c r="F278" s="1843">
        <v>0.13800000000000001</v>
      </c>
    </row>
    <row r="279" spans="1:6" ht="24.75" thickBot="1">
      <c r="A279" s="1837" t="s">
        <v>1415</v>
      </c>
      <c r="B279" s="1841" t="s">
        <v>2185</v>
      </c>
      <c r="C279" s="1851"/>
      <c r="D279" s="1851"/>
      <c r="E279" s="1851"/>
      <c r="F279" s="1843">
        <v>0.05</v>
      </c>
    </row>
    <row r="280" spans="1:6" ht="24.75" thickBot="1">
      <c r="A280" s="1837" t="s">
        <v>1415</v>
      </c>
      <c r="B280" s="1841" t="s">
        <v>2186</v>
      </c>
      <c r="C280" s="1851"/>
      <c r="D280" s="1851"/>
      <c r="E280" s="1851"/>
      <c r="F280" s="1843">
        <v>0.05</v>
      </c>
    </row>
    <row r="281" spans="1:6" ht="24.75" thickBot="1">
      <c r="A281" s="1837" t="s">
        <v>1415</v>
      </c>
      <c r="B281" s="1841" t="s">
        <v>2187</v>
      </c>
      <c r="C281" s="1851"/>
      <c r="D281" s="1851"/>
      <c r="E281" s="1851"/>
      <c r="F281" s="1843">
        <v>0.05</v>
      </c>
    </row>
    <row r="282" spans="1:6" ht="24.75" thickBot="1">
      <c r="A282" s="1837" t="s">
        <v>1415</v>
      </c>
      <c r="B282" s="1841" t="s">
        <v>2188</v>
      </c>
      <c r="C282" s="1851"/>
      <c r="D282" s="1851"/>
      <c r="E282" s="1851"/>
      <c r="F282" s="1843">
        <v>0.05</v>
      </c>
    </row>
    <row r="283" spans="1:6" ht="24.75" thickBot="1">
      <c r="A283" s="1837" t="s">
        <v>1415</v>
      </c>
      <c r="B283" s="1841" t="s">
        <v>2189</v>
      </c>
      <c r="C283" s="1851"/>
      <c r="D283" s="1851"/>
      <c r="E283" s="1851"/>
      <c r="F283" s="1843">
        <v>0.05</v>
      </c>
    </row>
    <row r="284" spans="1:6" ht="24.75" thickBot="1">
      <c r="A284" s="1837" t="s">
        <v>1415</v>
      </c>
      <c r="B284" s="1841" t="s">
        <v>2190</v>
      </c>
      <c r="C284" s="1851"/>
      <c r="D284" s="1851"/>
      <c r="E284" s="1851"/>
      <c r="F284" s="1843">
        <v>0.05</v>
      </c>
    </row>
    <row r="285" spans="1:6" ht="24.75" thickBot="1">
      <c r="A285" s="1837" t="s">
        <v>1415</v>
      </c>
      <c r="B285" s="1841" t="s">
        <v>2191</v>
      </c>
      <c r="C285" s="1851"/>
      <c r="D285" s="1851"/>
      <c r="E285" s="1851"/>
      <c r="F285" s="1843">
        <v>0.05</v>
      </c>
    </row>
    <row r="286" spans="1:6" ht="24.75" thickBot="1">
      <c r="A286" s="1837" t="s">
        <v>1415</v>
      </c>
      <c r="B286" s="1841" t="s">
        <v>2192</v>
      </c>
      <c r="C286" s="1851"/>
      <c r="D286" s="1851"/>
      <c r="E286" s="1851"/>
      <c r="F286" s="1843">
        <v>0.05</v>
      </c>
    </row>
    <row r="287" spans="1:6" ht="24.75" thickBot="1">
      <c r="A287" s="1837" t="s">
        <v>1415</v>
      </c>
      <c r="B287" s="1841" t="s">
        <v>2193</v>
      </c>
      <c r="C287" s="1851"/>
      <c r="D287" s="1851"/>
      <c r="E287" s="1851"/>
      <c r="F287" s="1843">
        <v>0.05</v>
      </c>
    </row>
    <row r="288" spans="1:6" ht="24.75" thickBot="1">
      <c r="A288" s="1837" t="s">
        <v>1415</v>
      </c>
      <c r="B288" s="1841" t="s">
        <v>2194</v>
      </c>
      <c r="C288" s="1851"/>
      <c r="D288" s="1851"/>
      <c r="E288" s="1851"/>
      <c r="F288" s="1843">
        <v>0.05</v>
      </c>
    </row>
    <row r="289" spans="1:6" ht="24.75" thickBot="1">
      <c r="A289" s="1845" t="s">
        <v>1415</v>
      </c>
      <c r="B289" s="1852" t="s">
        <v>2195</v>
      </c>
      <c r="C289" s="1848"/>
      <c r="D289" s="1848"/>
      <c r="E289" s="1848"/>
      <c r="F289" s="1853">
        <v>0.05</v>
      </c>
    </row>
    <row r="290" spans="1:6" ht="14.25" thickBot="1">
      <c r="A290" s="1837" t="s">
        <v>1419</v>
      </c>
      <c r="B290" s="1838" t="s">
        <v>2196</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2197</v>
      </c>
      <c r="C292" s="1842">
        <v>0.15</v>
      </c>
      <c r="D292" s="1842">
        <v>0.15</v>
      </c>
      <c r="E292" s="1842">
        <v>0.15</v>
      </c>
      <c r="F292" s="1843">
        <v>0.14699999999999999</v>
      </c>
    </row>
    <row r="293" spans="1:6" ht="14.25" thickBot="1">
      <c r="A293" s="1837" t="s">
        <v>1419</v>
      </c>
      <c r="B293" s="1841" t="s">
        <v>2198</v>
      </c>
      <c r="C293" s="1851"/>
      <c r="D293" s="1851"/>
      <c r="E293" s="1851"/>
      <c r="F293" s="1843">
        <v>0.1</v>
      </c>
    </row>
    <row r="294" spans="1:6" ht="14.25" thickBot="1">
      <c r="A294" s="1837" t="s">
        <v>1419</v>
      </c>
      <c r="B294" s="1841" t="s">
        <v>2199</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2200</v>
      </c>
      <c r="C296" s="1842">
        <v>0.15</v>
      </c>
      <c r="D296" s="1842">
        <v>0.15</v>
      </c>
      <c r="E296" s="1842">
        <v>0.15</v>
      </c>
      <c r="F296" s="1843">
        <v>0.15</v>
      </c>
    </row>
    <row r="297" spans="1:6" ht="14.25" thickBot="1">
      <c r="A297" s="1837" t="s">
        <v>1419</v>
      </c>
      <c r="B297" s="1841" t="s">
        <v>2201</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2202</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2203</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2204</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2205</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2206</v>
      </c>
      <c r="C310" s="1842">
        <v>0.15</v>
      </c>
      <c r="D310" s="1842">
        <v>0.15</v>
      </c>
      <c r="E310" s="1842">
        <v>0.15</v>
      </c>
      <c r="F310" s="1843">
        <v>0.13700000000000001</v>
      </c>
    </row>
    <row r="311" spans="1:6" ht="14.25" thickBot="1">
      <c r="A311" s="1837" t="s">
        <v>1419</v>
      </c>
      <c r="B311" s="1841" t="s">
        <v>2207</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2208</v>
      </c>
      <c r="C313" s="1842">
        <v>0.15</v>
      </c>
      <c r="D313" s="1842">
        <v>0.15</v>
      </c>
      <c r="E313" s="1842">
        <v>0.15</v>
      </c>
      <c r="F313" s="1843">
        <v>0.15</v>
      </c>
    </row>
    <row r="314" spans="1:6" ht="24.75" thickBot="1">
      <c r="A314" s="1837" t="s">
        <v>1419</v>
      </c>
      <c r="B314" s="1841" t="s">
        <v>2209</v>
      </c>
      <c r="C314" s="1851"/>
      <c r="D314" s="1851"/>
      <c r="E314" s="1851"/>
      <c r="F314" s="1843">
        <v>0.05</v>
      </c>
    </row>
    <row r="315" spans="1:6" ht="24.75" thickBot="1">
      <c r="A315" s="1837" t="s">
        <v>1419</v>
      </c>
      <c r="B315" s="1841" t="s">
        <v>2210</v>
      </c>
      <c r="C315" s="1851"/>
      <c r="D315" s="1851"/>
      <c r="E315" s="1851"/>
      <c r="F315" s="1843">
        <v>0.05</v>
      </c>
    </row>
    <row r="316" spans="1:6" ht="24.75" thickBot="1">
      <c r="A316" s="1845" t="s">
        <v>1419</v>
      </c>
      <c r="B316" s="1852" t="s">
        <v>2211</v>
      </c>
      <c r="C316" s="1848"/>
      <c r="D316" s="1848"/>
      <c r="E316" s="1848"/>
      <c r="F316" s="1853">
        <v>0.05</v>
      </c>
    </row>
    <row r="317" spans="1:6" ht="14.25" thickBot="1">
      <c r="A317" s="1837" t="s">
        <v>2212</v>
      </c>
      <c r="B317" s="1838" t="s">
        <v>2213</v>
      </c>
      <c r="C317" s="1839">
        <v>0.15</v>
      </c>
      <c r="D317" s="1839">
        <v>0.15</v>
      </c>
      <c r="E317" s="1839">
        <v>0.15</v>
      </c>
      <c r="F317" s="1840">
        <v>0.15</v>
      </c>
    </row>
    <row r="318" spans="1:6" ht="14.25" thickBot="1">
      <c r="A318" s="1837" t="s">
        <v>2212</v>
      </c>
      <c r="B318" s="1841" t="s">
        <v>2214</v>
      </c>
      <c r="C318" s="1842">
        <v>0.107</v>
      </c>
      <c r="D318" s="1842">
        <v>0.11</v>
      </c>
      <c r="E318" s="1842">
        <v>0.112</v>
      </c>
      <c r="F318" s="1850"/>
    </row>
    <row r="319" spans="1:6" ht="14.25" thickBot="1">
      <c r="A319" s="1837" t="s">
        <v>2212</v>
      </c>
      <c r="B319" s="1841" t="s">
        <v>2215</v>
      </c>
      <c r="C319" s="1842">
        <v>0.15</v>
      </c>
      <c r="D319" s="1842">
        <v>0.15</v>
      </c>
      <c r="E319" s="1842">
        <v>0.15</v>
      </c>
      <c r="F319" s="1843">
        <v>0.15</v>
      </c>
    </row>
    <row r="320" spans="1:6" ht="14.25" thickBot="1">
      <c r="A320" s="1837" t="s">
        <v>2212</v>
      </c>
      <c r="B320" s="1841" t="s">
        <v>1107</v>
      </c>
      <c r="C320" s="1842">
        <v>0.15</v>
      </c>
      <c r="D320" s="1842">
        <v>0.15</v>
      </c>
      <c r="E320" s="1842">
        <v>0.15</v>
      </c>
      <c r="F320" s="1850"/>
    </row>
    <row r="321" spans="1:6" ht="14.25" thickBot="1">
      <c r="A321" s="1837" t="s">
        <v>2212</v>
      </c>
      <c r="B321" s="1841" t="s">
        <v>2216</v>
      </c>
      <c r="C321" s="1842">
        <v>0.15</v>
      </c>
      <c r="D321" s="1842">
        <v>0.15</v>
      </c>
      <c r="E321" s="1842">
        <v>0.15</v>
      </c>
      <c r="F321" s="1850"/>
    </row>
    <row r="322" spans="1:6" ht="14.25" thickBot="1">
      <c r="A322" s="1837" t="s">
        <v>2212</v>
      </c>
      <c r="B322" s="1841" t="s">
        <v>2217</v>
      </c>
      <c r="C322" s="1842">
        <v>0.15</v>
      </c>
      <c r="D322" s="1842">
        <v>0.15</v>
      </c>
      <c r="E322" s="1842">
        <v>0.15</v>
      </c>
      <c r="F322" s="1843">
        <v>0.15</v>
      </c>
    </row>
    <row r="323" spans="1:6" ht="14.25" thickBot="1">
      <c r="A323" s="1837" t="s">
        <v>2212</v>
      </c>
      <c r="B323" s="1841" t="s">
        <v>2218</v>
      </c>
      <c r="C323" s="1842">
        <v>0.15</v>
      </c>
      <c r="D323" s="1842">
        <v>0.15</v>
      </c>
      <c r="E323" s="1842">
        <v>0.15</v>
      </c>
      <c r="F323" s="1850"/>
    </row>
    <row r="324" spans="1:6" ht="14.25" thickBot="1">
      <c r="A324" s="1837" t="s">
        <v>2212</v>
      </c>
      <c r="B324" s="1841" t="s">
        <v>2219</v>
      </c>
      <c r="C324" s="1842">
        <v>0.15</v>
      </c>
      <c r="D324" s="1842">
        <v>0.15</v>
      </c>
      <c r="E324" s="1842">
        <v>0.15</v>
      </c>
      <c r="F324" s="1850"/>
    </row>
    <row r="325" spans="1:6" ht="14.25" thickBot="1">
      <c r="A325" s="1837" t="s">
        <v>2212</v>
      </c>
      <c r="B325" s="1841" t="s">
        <v>2220</v>
      </c>
      <c r="C325" s="1842">
        <v>0.15</v>
      </c>
      <c r="D325" s="1842">
        <v>0.15</v>
      </c>
      <c r="E325" s="1842">
        <v>0.15</v>
      </c>
      <c r="F325" s="1843">
        <v>0.14699999999999999</v>
      </c>
    </row>
    <row r="326" spans="1:6" ht="14.25" thickBot="1">
      <c r="A326" s="1837" t="s">
        <v>2212</v>
      </c>
      <c r="B326" s="1841" t="s">
        <v>1176</v>
      </c>
      <c r="C326" s="1842">
        <v>0.15</v>
      </c>
      <c r="D326" s="1842">
        <v>0.15</v>
      </c>
      <c r="E326" s="1842">
        <v>0.15</v>
      </c>
      <c r="F326" s="1850"/>
    </row>
    <row r="327" spans="1:6" ht="14.25" thickBot="1">
      <c r="A327" s="1837" t="s">
        <v>2212</v>
      </c>
      <c r="B327" s="1841" t="s">
        <v>2221</v>
      </c>
      <c r="C327" s="1842">
        <v>0.15</v>
      </c>
      <c r="D327" s="1842">
        <v>0.15</v>
      </c>
      <c r="E327" s="1842">
        <v>0.15</v>
      </c>
      <c r="F327" s="1843">
        <v>0.15</v>
      </c>
    </row>
    <row r="328" spans="1:6" ht="14.25" thickBot="1">
      <c r="A328" s="1837" t="s">
        <v>2212</v>
      </c>
      <c r="B328" s="1841" t="s">
        <v>1196</v>
      </c>
      <c r="C328" s="1842">
        <v>0.15</v>
      </c>
      <c r="D328" s="1842">
        <v>0.15</v>
      </c>
      <c r="E328" s="1842">
        <v>0.15</v>
      </c>
      <c r="F328" s="1843">
        <v>0.14099999999999999</v>
      </c>
    </row>
    <row r="329" spans="1:6" ht="14.25" thickBot="1">
      <c r="A329" s="1837" t="s">
        <v>2212</v>
      </c>
      <c r="B329" s="1841" t="s">
        <v>1206</v>
      </c>
      <c r="C329" s="1842">
        <v>0.15</v>
      </c>
      <c r="D329" s="1842">
        <v>0.15</v>
      </c>
      <c r="E329" s="1842">
        <v>0.15</v>
      </c>
      <c r="F329" s="1843">
        <v>0.15</v>
      </c>
    </row>
    <row r="330" spans="1:6" ht="14.25" thickBot="1">
      <c r="A330" s="1837" t="s">
        <v>2212</v>
      </c>
      <c r="B330" s="1841" t="s">
        <v>1216</v>
      </c>
      <c r="C330" s="1842">
        <v>0.15</v>
      </c>
      <c r="D330" s="1842">
        <v>0.15</v>
      </c>
      <c r="E330" s="1842">
        <v>0.15</v>
      </c>
      <c r="F330" s="1850"/>
    </row>
    <row r="331" spans="1:6" ht="14.25" thickBot="1">
      <c r="A331" s="1837" t="s">
        <v>2212</v>
      </c>
      <c r="B331" s="1841" t="s">
        <v>2222</v>
      </c>
      <c r="C331" s="1842">
        <v>0.15</v>
      </c>
      <c r="D331" s="1842">
        <v>0.15</v>
      </c>
      <c r="E331" s="1842">
        <v>0.15</v>
      </c>
      <c r="F331" s="1843">
        <v>0.15</v>
      </c>
    </row>
    <row r="332" spans="1:6" ht="14.25" thickBot="1">
      <c r="A332" s="1837" t="s">
        <v>2212</v>
      </c>
      <c r="B332" s="1841" t="s">
        <v>1236</v>
      </c>
      <c r="C332" s="1842">
        <v>0.15</v>
      </c>
      <c r="D332" s="1842">
        <v>0.15</v>
      </c>
      <c r="E332" s="1842">
        <v>0.15</v>
      </c>
      <c r="F332" s="1843">
        <v>0.15</v>
      </c>
    </row>
    <row r="333" spans="1:6" ht="14.25" thickBot="1">
      <c r="A333" s="1837" t="s">
        <v>2212</v>
      </c>
      <c r="B333" s="1841" t="s">
        <v>2223</v>
      </c>
      <c r="C333" s="1842">
        <v>0.15</v>
      </c>
      <c r="D333" s="1842">
        <v>0.15</v>
      </c>
      <c r="E333" s="1842">
        <v>0.15</v>
      </c>
      <c r="F333" s="1843">
        <v>0.14099999999999999</v>
      </c>
    </row>
    <row r="334" spans="1:6" ht="14.25" thickBot="1">
      <c r="A334" s="1837" t="s">
        <v>2212</v>
      </c>
      <c r="B334" s="1841" t="s">
        <v>1256</v>
      </c>
      <c r="C334" s="1842">
        <v>0.15</v>
      </c>
      <c r="D334" s="1842">
        <v>0.15</v>
      </c>
      <c r="E334" s="1842">
        <v>0.15</v>
      </c>
      <c r="F334" s="1843">
        <v>0.15</v>
      </c>
    </row>
    <row r="335" spans="1:6" ht="14.25" thickBot="1">
      <c r="A335" s="1837" t="s">
        <v>2212</v>
      </c>
      <c r="B335" s="1841" t="s">
        <v>1266</v>
      </c>
      <c r="C335" s="1842">
        <v>0.15</v>
      </c>
      <c r="D335" s="1842">
        <v>0.15</v>
      </c>
      <c r="E335" s="1842">
        <v>0.15</v>
      </c>
      <c r="F335" s="1850"/>
    </row>
    <row r="336" spans="1:6" ht="14.25" thickBot="1">
      <c r="A336" s="1837" t="s">
        <v>2212</v>
      </c>
      <c r="B336" s="1841" t="s">
        <v>2224</v>
      </c>
      <c r="C336" s="1842">
        <v>0.15</v>
      </c>
      <c r="D336" s="1842">
        <v>0.15</v>
      </c>
      <c r="E336" s="1842">
        <v>0.15</v>
      </c>
      <c r="F336" s="1843">
        <v>0.11799999999999999</v>
      </c>
    </row>
    <row r="337" spans="1:6" ht="14.25" thickBot="1">
      <c r="A337" s="1845" t="s">
        <v>2212</v>
      </c>
      <c r="B337" s="1852" t="s">
        <v>1284</v>
      </c>
      <c r="C337" s="1848"/>
      <c r="D337" s="1848"/>
      <c r="E337" s="1848"/>
      <c r="F337" s="1853">
        <v>0.14299999999999999</v>
      </c>
    </row>
    <row r="338" spans="1:6" ht="14.25" thickBot="1">
      <c r="A338" s="1837" t="s">
        <v>2225</v>
      </c>
      <c r="B338" s="1838" t="s">
        <v>2226</v>
      </c>
      <c r="C338" s="1839">
        <v>0.15</v>
      </c>
      <c r="D338" s="1839">
        <v>0.15</v>
      </c>
      <c r="E338" s="1839">
        <v>0.15</v>
      </c>
      <c r="F338" s="1861"/>
    </row>
    <row r="339" spans="1:6" ht="14.25" thickBot="1">
      <c r="A339" s="1837" t="s">
        <v>2225</v>
      </c>
      <c r="B339" s="1841" t="s">
        <v>2227</v>
      </c>
      <c r="C339" s="1842">
        <v>0.15</v>
      </c>
      <c r="D339" s="1842">
        <v>0.15</v>
      </c>
      <c r="E339" s="1842">
        <v>0.15</v>
      </c>
      <c r="F339" s="1850"/>
    </row>
    <row r="340" spans="1:6" ht="14.25" thickBot="1">
      <c r="A340" s="1837" t="s">
        <v>2225</v>
      </c>
      <c r="B340" s="1841" t="s">
        <v>2228</v>
      </c>
      <c r="C340" s="1842">
        <v>0.15</v>
      </c>
      <c r="D340" s="1842">
        <v>0.15</v>
      </c>
      <c r="E340" s="1842">
        <v>0.15</v>
      </c>
      <c r="F340" s="1850"/>
    </row>
    <row r="341" spans="1:6" ht="14.25" thickBot="1">
      <c r="A341" s="1837" t="s">
        <v>2229</v>
      </c>
      <c r="B341" s="1841" t="s">
        <v>2230</v>
      </c>
      <c r="C341" s="1842">
        <v>0.15</v>
      </c>
      <c r="D341" s="1842">
        <v>0.15</v>
      </c>
      <c r="E341" s="1842">
        <v>0.15</v>
      </c>
      <c r="F341" s="1843">
        <v>0.15</v>
      </c>
    </row>
    <row r="342" spans="1:6" ht="14.25" thickBot="1">
      <c r="A342" s="1837" t="s">
        <v>2225</v>
      </c>
      <c r="B342" s="1841" t="s">
        <v>2231</v>
      </c>
      <c r="C342" s="1842">
        <v>0.15</v>
      </c>
      <c r="D342" s="1842">
        <v>0.15</v>
      </c>
      <c r="E342" s="1842">
        <v>0.15</v>
      </c>
      <c r="F342" s="1843">
        <v>0.15</v>
      </c>
    </row>
    <row r="343" spans="1:6" ht="14.25" thickBot="1">
      <c r="A343" s="1837" t="s">
        <v>2225</v>
      </c>
      <c r="B343" s="1841" t="s">
        <v>2232</v>
      </c>
      <c r="C343" s="1842">
        <v>0.15</v>
      </c>
      <c r="D343" s="1842">
        <v>0.15</v>
      </c>
      <c r="E343" s="1842">
        <v>0.15</v>
      </c>
      <c r="F343" s="1843">
        <v>0.15</v>
      </c>
    </row>
    <row r="344" spans="1:6" ht="14.25" thickBot="1">
      <c r="A344" s="1845" t="s">
        <v>2225</v>
      </c>
      <c r="B344" s="1852" t="s">
        <v>2233</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5" t="s">
        <v>2571</v>
      </c>
      <c r="C1" s="3465"/>
      <c r="D1" s="3465"/>
      <c r="E1" s="3465"/>
      <c r="F1" s="3465"/>
      <c r="G1" s="3464" t="s">
        <v>2572</v>
      </c>
      <c r="H1" s="3464"/>
      <c r="I1" s="3464"/>
      <c r="J1" s="3464"/>
      <c r="K1" s="3464"/>
      <c r="L1" s="3464"/>
      <c r="N1" s="3464" t="s">
        <v>2573</v>
      </c>
      <c r="O1" s="3464"/>
      <c r="P1" s="3464"/>
      <c r="Q1" s="3464"/>
      <c r="R1" s="2615"/>
      <c r="S1" s="3464" t="s">
        <v>2574</v>
      </c>
      <c r="T1" s="3464"/>
      <c r="U1" s="3464"/>
      <c r="V1" s="3464"/>
      <c r="X1" s="3463" t="s">
        <v>2634</v>
      </c>
      <c r="Y1" s="3464"/>
      <c r="Z1" s="3464"/>
      <c r="AA1" s="3464"/>
      <c r="AB1" s="3464"/>
      <c r="AD1" s="3463" t="s">
        <v>2638</v>
      </c>
      <c r="AE1" s="3464"/>
      <c r="AF1" s="3464"/>
      <c r="AG1" s="3464"/>
      <c r="AH1" s="3464"/>
    </row>
    <row r="2" spans="1:34" s="2716" customFormat="1" ht="14.25" thickBot="1">
      <c r="B2" s="2724" t="s">
        <v>2575</v>
      </c>
      <c r="C2" s="2724" t="s">
        <v>2636</v>
      </c>
      <c r="D2" s="2717" t="s">
        <v>1644</v>
      </c>
      <c r="E2" s="2717" t="s">
        <v>1947</v>
      </c>
      <c r="F2" s="2724" t="s">
        <v>2637</v>
      </c>
      <c r="G2" s="2720"/>
      <c r="H2" s="2719"/>
      <c r="I2" s="2724" t="s">
        <v>2943</v>
      </c>
      <c r="J2" s="2717" t="s">
        <v>2945</v>
      </c>
      <c r="K2" s="2717" t="s">
        <v>2946</v>
      </c>
      <c r="L2" s="2724" t="s">
        <v>2947</v>
      </c>
      <c r="N2" s="2724" t="s">
        <v>2575</v>
      </c>
      <c r="O2" s="2717" t="s">
        <v>2944</v>
      </c>
      <c r="P2" s="2717" t="s">
        <v>1947</v>
      </c>
      <c r="Q2" s="2724" t="s">
        <v>2637</v>
      </c>
      <c r="R2" s="2718"/>
      <c r="S2" s="2724" t="s">
        <v>2575</v>
      </c>
      <c r="T2" s="2717" t="s">
        <v>2944</v>
      </c>
      <c r="U2" s="2717" t="s">
        <v>1947</v>
      </c>
      <c r="V2" s="2724" t="s">
        <v>2637</v>
      </c>
      <c r="X2" s="2724" t="s">
        <v>2575</v>
      </c>
      <c r="Y2" s="2724" t="s">
        <v>2636</v>
      </c>
      <c r="Z2" s="2717" t="s">
        <v>1644</v>
      </c>
      <c r="AA2" s="2717" t="s">
        <v>1947</v>
      </c>
      <c r="AB2" s="2724" t="s">
        <v>2637</v>
      </c>
      <c r="AD2" s="2724" t="s">
        <v>2575</v>
      </c>
      <c r="AE2" s="2724" t="s">
        <v>2636</v>
      </c>
      <c r="AF2" s="2717" t="s">
        <v>1644</v>
      </c>
      <c r="AG2" s="2717" t="s">
        <v>1947</v>
      </c>
      <c r="AH2" s="2724" t="s">
        <v>2637</v>
      </c>
    </row>
    <row r="3" spans="1:34" s="3077" customFormat="1" ht="14.25">
      <c r="A3" s="3089" t="s">
        <v>2956</v>
      </c>
      <c r="B3" s="3078"/>
      <c r="C3" s="3078"/>
      <c r="D3" s="3079"/>
      <c r="E3" s="3079"/>
      <c r="F3" s="3078"/>
      <c r="G3" s="3080"/>
      <c r="H3" s="3081"/>
      <c r="I3" s="3088">
        <f>ROUND(AVERAGE($I4:$I29),2)</f>
        <v>1.9</v>
      </c>
      <c r="J3" s="3088">
        <f>ROUND(AVERAGE($J4:$J29),2)</f>
        <v>1.35</v>
      </c>
      <c r="K3" s="3088">
        <f>ROUND(AVERAGE($K4:$K29),2)</f>
        <v>2.08</v>
      </c>
      <c r="L3" s="3088">
        <f>ROUND(AVERAGE($L4:$L29),2)</f>
        <v>1.33</v>
      </c>
      <c r="N3" s="3080"/>
      <c r="O3" s="3082"/>
      <c r="P3" s="3082"/>
      <c r="Q3" s="3082"/>
      <c r="R3" s="3082"/>
      <c r="S3" s="3080"/>
      <c r="T3" s="3082"/>
      <c r="U3" s="3082"/>
      <c r="V3" s="3082"/>
      <c r="W3" s="3085"/>
      <c r="X3" s="3083">
        <f>ROUND(SUMPRODUCT(PRODUCT(1+N3:N$28)),4)</f>
        <v>1.5516000000000001</v>
      </c>
      <c r="Y3" s="3083">
        <f>ROUND(SUMPRODUCT(PRODUCT(1+O3:O$28)),4)</f>
        <v>1.3649</v>
      </c>
      <c r="Z3" s="3083">
        <f t="shared" ref="Z3:Z26" si="0">Y3</f>
        <v>1.3649</v>
      </c>
      <c r="AA3" s="3083">
        <f>ROUND(SUMPRODUCT(PRODUCT(1+P3:P$28)),4)</f>
        <v>1.6133999999999999</v>
      </c>
      <c r="AB3" s="3083">
        <f>ROUND(SUMPRODUCT(PRODUCT(1+Q3:Q$28)),4)</f>
        <v>1.3713</v>
      </c>
      <c r="AD3" s="3084">
        <f>ROUND(AVERAGE(I3:I$29)/100,4)</f>
        <v>1.9E-2</v>
      </c>
      <c r="AE3" s="3084">
        <f>ROUND(AVERAGE(J3:J$29)/100,4)</f>
        <v>1.35E-2</v>
      </c>
      <c r="AF3" s="3084">
        <f t="shared" ref="AF3:AF27" si="1">AE3</f>
        <v>1.35E-2</v>
      </c>
      <c r="AG3" s="3084">
        <f>ROUND(AVERAGE(K3:K$29)/100,4)</f>
        <v>2.0799999999999999E-2</v>
      </c>
      <c r="AH3" s="3084">
        <f>ROUND(AVERAGE(L3:L$29)/100,4)</f>
        <v>1.3299999999999999E-2</v>
      </c>
    </row>
    <row r="4" spans="1:34" s="2709" customFormat="1" ht="14.25">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c r="A5" s="3059"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60">
        <v>1</v>
      </c>
      <c r="I5" s="3074">
        <v>0</v>
      </c>
      <c r="J5" s="3074">
        <v>0</v>
      </c>
      <c r="K5" s="3074">
        <v>0</v>
      </c>
      <c r="L5" s="3074">
        <v>0</v>
      </c>
      <c r="N5" s="2722">
        <f t="shared" ref="N5" si="7">I5/100</f>
        <v>0</v>
      </c>
      <c r="O5" s="2722">
        <f t="shared" ref="O5" si="8">J5/100</f>
        <v>0</v>
      </c>
      <c r="P5" s="2722">
        <f t="shared" ref="P5" si="9">K5/100</f>
        <v>0</v>
      </c>
      <c r="Q5" s="2722">
        <f t="shared" ref="Q5" si="10">L5/100</f>
        <v>0</v>
      </c>
      <c r="R5" s="3062"/>
      <c r="S5" s="3063"/>
      <c r="T5" s="3062"/>
      <c r="U5" s="3062"/>
      <c r="V5" s="3062"/>
      <c r="W5" s="3087" t="s">
        <v>2957</v>
      </c>
      <c r="X5" s="3064">
        <f>ROUND(IF(项目基本情况!B8="出让",SUMPRODUCT(PRODUCT(1+N5:N$29)),SUMPRODUCT(PRODUCT(1+N5:N$28))),4)</f>
        <v>1.5516000000000001</v>
      </c>
      <c r="Y5" s="3064">
        <f>ROUND(IF(项目基本情况!B8="出让",SUMPRODUCT(PRODUCT(1+O5:O$29)),SUMPRODUCT(PRODUCT(1+O5:O$28))),4)</f>
        <v>1.3649</v>
      </c>
      <c r="Z5" s="3064">
        <f t="shared" ref="Z5" si="11">Y5</f>
        <v>1.3649</v>
      </c>
      <c r="AA5" s="3064">
        <f>ROUND(IF(项目基本情况!B8="出让",SUMPRODUCT(PRODUCT(1+P5:P$29)),SUMPRODUCT(PRODUCT(1+P5:P$28))),4)</f>
        <v>1.6133999999999999</v>
      </c>
      <c r="AB5" s="3064">
        <f>ROUND(IF(项目基本情况!B8="出让",SUMPRODUCT(PRODUCT(1+Q5:Q$29)),SUMPRODUCT(PRODUCT(1+Q5:Q$28))),4)</f>
        <v>1.3713</v>
      </c>
      <c r="AD5" s="3065">
        <f>ROUND(AVERAGE(I5:I$29)/100,4)</f>
        <v>1.9E-2</v>
      </c>
      <c r="AE5" s="3065">
        <f>ROUND(AVERAGE(J5:J$29)/100,4)</f>
        <v>1.35E-2</v>
      </c>
      <c r="AF5" s="3065">
        <f t="shared" ref="AF5" si="12">AE5</f>
        <v>1.35E-2</v>
      </c>
      <c r="AG5" s="3065">
        <f>ROUND(AVERAGE(K5:K$29)/100,4)</f>
        <v>2.0799999999999999E-2</v>
      </c>
      <c r="AH5" s="3065">
        <f>ROUND(AVERAGE(L5:L$29)/100,4)</f>
        <v>1.3299999999999999E-2</v>
      </c>
    </row>
    <row r="6" spans="1:34" s="2721" customFormat="1">
      <c r="A6" s="2616" t="s">
        <v>2981</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2980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2977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2976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2973</v>
      </c>
      <c r="B10" s="3173">
        <f t="shared" si="35"/>
        <v>464.37293017158942</v>
      </c>
      <c r="C10" s="3173">
        <f t="shared" ref="C10" si="56">C11*(1+O10)</f>
        <v>344.73679941385956</v>
      </c>
      <c r="D10" s="3173">
        <f t="shared" ref="D10" si="57">C10</f>
        <v>344.73679941385956</v>
      </c>
      <c r="E10" s="3173">
        <f t="shared" ref="E10" si="58">E11*(1+P10)</f>
        <v>663.2377795103107</v>
      </c>
      <c r="F10" s="3174">
        <f t="shared" ref="F10" si="59">F11*(1+Q10)</f>
        <v>304.75936311478398</v>
      </c>
      <c r="G10" s="3459">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2966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59"/>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2967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59"/>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2963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60"/>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2954</v>
      </c>
      <c r="B14" s="3091">
        <v>439</v>
      </c>
      <c r="C14" s="3091">
        <v>327</v>
      </c>
      <c r="D14" s="3091">
        <f t="shared" si="87"/>
        <v>327</v>
      </c>
      <c r="E14" s="3091">
        <v>627</v>
      </c>
      <c r="F14" s="3092">
        <v>283</v>
      </c>
      <c r="G14" s="3458">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2958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59"/>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2576</v>
      </c>
      <c r="B16" s="2629">
        <f t="shared" si="99"/>
        <v>419.31181600000002</v>
      </c>
      <c r="C16" s="2629">
        <f t="shared" si="99"/>
        <v>313.95436800000004</v>
      </c>
      <c r="D16" s="2629">
        <f t="shared" si="87"/>
        <v>313.95436800000004</v>
      </c>
      <c r="E16" s="2629">
        <f t="shared" si="100"/>
        <v>596.63028431999999</v>
      </c>
      <c r="F16" s="2629">
        <f t="shared" si="100"/>
        <v>274.74220703999998</v>
      </c>
      <c r="G16" s="3459"/>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2577</v>
      </c>
      <c r="B17" s="2629">
        <f t="shared" si="99"/>
        <v>405.524</v>
      </c>
      <c r="C17" s="2629">
        <f t="shared" si="99"/>
        <v>307.79840000000002</v>
      </c>
      <c r="D17" s="2629">
        <f t="shared" si="87"/>
        <v>307.79840000000002</v>
      </c>
      <c r="E17" s="2629">
        <f t="shared" si="100"/>
        <v>574.67759999999998</v>
      </c>
      <c r="F17" s="2629">
        <f t="shared" si="100"/>
        <v>270.20280000000002</v>
      </c>
      <c r="G17" s="3460"/>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8">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59"/>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59"/>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62"/>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61">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59"/>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59"/>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62"/>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61">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59"/>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59"/>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62"/>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2635</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2578</v>
      </c>
      <c r="B30" s="2621">
        <v>299</v>
      </c>
      <c r="C30" s="2621">
        <v>252</v>
      </c>
      <c r="D30" s="2621">
        <f t="shared" si="109"/>
        <v>252</v>
      </c>
      <c r="E30" s="2621">
        <v>409</v>
      </c>
      <c r="F30" s="2622">
        <v>227</v>
      </c>
      <c r="G30" s="3466">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2579</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67"/>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2580</v>
      </c>
      <c r="B32" s="2629">
        <f t="shared" si="118"/>
        <v>288.2649053828776</v>
      </c>
      <c r="C32" s="2629">
        <f t="shared" si="118"/>
        <v>243.64564425013293</v>
      </c>
      <c r="D32" s="2629">
        <f t="shared" si="109"/>
        <v>243.64564425013293</v>
      </c>
      <c r="E32" s="2629">
        <f t="shared" si="119"/>
        <v>393.31080825986544</v>
      </c>
      <c r="F32" s="2629">
        <f t="shared" si="119"/>
        <v>223.07903790551154</v>
      </c>
      <c r="G32" s="3467"/>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2581</v>
      </c>
      <c r="B33" s="2629">
        <f t="shared" si="118"/>
        <v>282.50186729015837</v>
      </c>
      <c r="C33" s="2629">
        <f t="shared" si="118"/>
        <v>238.09796174155468</v>
      </c>
      <c r="D33" s="2629">
        <f t="shared" si="109"/>
        <v>238.09796174155468</v>
      </c>
      <c r="E33" s="2629">
        <f t="shared" si="119"/>
        <v>385.33438646014054</v>
      </c>
      <c r="F33" s="2629">
        <f t="shared" si="119"/>
        <v>221.55034055567739</v>
      </c>
      <c r="G33" s="3468"/>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2582</v>
      </c>
      <c r="B34" s="2659">
        <v>278</v>
      </c>
      <c r="C34" s="2659">
        <v>234</v>
      </c>
      <c r="D34" s="2659">
        <f t="shared" si="109"/>
        <v>234</v>
      </c>
      <c r="E34" s="2659">
        <v>379</v>
      </c>
      <c r="F34" s="2660">
        <v>220</v>
      </c>
      <c r="G34" s="3461">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2583</v>
      </c>
      <c r="B35" s="2629">
        <f>B34/(1+N34)</f>
        <v>275.49301357645425</v>
      </c>
      <c r="C35" s="2629">
        <f>C34/(1+O34)</f>
        <v>232.41954707985698</v>
      </c>
      <c r="D35" s="2629">
        <f t="shared" si="109"/>
        <v>232.41954707985698</v>
      </c>
      <c r="E35" s="2629">
        <f t="shared" ref="E35:F37" si="120">E34/(1+P34)</f>
        <v>375.32184591008121</v>
      </c>
      <c r="F35" s="2629">
        <f t="shared" si="120"/>
        <v>218.03766105054513</v>
      </c>
      <c r="G35" s="3459"/>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2584</v>
      </c>
      <c r="B36" s="2629">
        <f>B35/(1+N35)</f>
        <v>275.24529281292263</v>
      </c>
      <c r="C36" s="2629">
        <f>C35/(1+O35)</f>
        <v>231.74747938962707</v>
      </c>
      <c r="D36" s="2629">
        <f t="shared" si="109"/>
        <v>231.74747938962707</v>
      </c>
      <c r="E36" s="2629">
        <f t="shared" si="120"/>
        <v>375.35938184826603</v>
      </c>
      <c r="F36" s="2629">
        <f t="shared" si="120"/>
        <v>216.78033510692495</v>
      </c>
      <c r="G36" s="3459"/>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2585</v>
      </c>
      <c r="B37" s="2629">
        <f>B36/(1+N36)</f>
        <v>275.19025476197027</v>
      </c>
      <c r="C37" s="2661">
        <v>232</v>
      </c>
      <c r="D37" s="2661">
        <f t="shared" si="109"/>
        <v>232</v>
      </c>
      <c r="E37" s="2629">
        <f t="shared" si="120"/>
        <v>375.65990977608692</v>
      </c>
      <c r="F37" s="2629">
        <f t="shared" si="120"/>
        <v>214.12518283971252</v>
      </c>
      <c r="G37" s="3462"/>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2586</v>
      </c>
      <c r="B38" s="2621">
        <v>275</v>
      </c>
      <c r="C38" s="2621">
        <v>232</v>
      </c>
      <c r="D38" s="2621">
        <f t="shared" si="109"/>
        <v>232</v>
      </c>
      <c r="E38" s="2621">
        <v>376</v>
      </c>
      <c r="F38" s="2622">
        <v>213</v>
      </c>
      <c r="G38" s="3461">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2587</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59">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2588</v>
      </c>
      <c r="B40" s="2629">
        <f t="shared" si="121"/>
        <v>275.19335084830601</v>
      </c>
      <c r="C40" s="2629">
        <f t="shared" si="121"/>
        <v>230.18088050139744</v>
      </c>
      <c r="D40" s="2629">
        <f t="shared" si="109"/>
        <v>230.18088050139744</v>
      </c>
      <c r="E40" s="2629">
        <f t="shared" si="122"/>
        <v>377.58482925212331</v>
      </c>
      <c r="F40" s="2629">
        <f t="shared" si="122"/>
        <v>210.90687997847917</v>
      </c>
      <c r="G40" s="3459">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2589</v>
      </c>
      <c r="B41" s="2629">
        <f t="shared" si="121"/>
        <v>276.29854502841971</v>
      </c>
      <c r="C41" s="2629">
        <f t="shared" si="121"/>
        <v>229.79023709833027</v>
      </c>
      <c r="D41" s="2629">
        <f t="shared" si="109"/>
        <v>229.79023709833027</v>
      </c>
      <c r="E41" s="2629">
        <f t="shared" si="122"/>
        <v>379.78759731655936</v>
      </c>
      <c r="F41" s="2629">
        <f t="shared" si="122"/>
        <v>211.32953905659235</v>
      </c>
      <c r="G41" s="3462">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2590</v>
      </c>
      <c r="B42" s="2621">
        <v>269</v>
      </c>
      <c r="C42" s="2621">
        <v>221</v>
      </c>
      <c r="D42" s="2621">
        <f t="shared" si="109"/>
        <v>221</v>
      </c>
      <c r="E42" s="2621">
        <v>373</v>
      </c>
      <c r="F42" s="2622">
        <v>196</v>
      </c>
      <c r="G42" s="3461">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2591</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59">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2592</v>
      </c>
      <c r="B44" s="2629">
        <f t="shared" si="123"/>
        <v>242.95398227588385</v>
      </c>
      <c r="C44" s="2629">
        <f t="shared" si="123"/>
        <v>199.59137053614126</v>
      </c>
      <c r="D44" s="2629">
        <f t="shared" si="109"/>
        <v>199.59137053614126</v>
      </c>
      <c r="E44" s="2629">
        <f t="shared" si="124"/>
        <v>335.92189522342125</v>
      </c>
      <c r="F44" s="2629">
        <f t="shared" si="124"/>
        <v>183.10139991109489</v>
      </c>
      <c r="G44" s="3459">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2593</v>
      </c>
      <c r="B45" s="2629">
        <f t="shared" si="123"/>
        <v>232.06990378821649</v>
      </c>
      <c r="C45" s="2629">
        <f t="shared" si="123"/>
        <v>192.74878854286936</v>
      </c>
      <c r="D45" s="2629">
        <f t="shared" si="109"/>
        <v>192.74878854286936</v>
      </c>
      <c r="E45" s="2629">
        <f t="shared" si="124"/>
        <v>319.71247284992984</v>
      </c>
      <c r="F45" s="2629">
        <f t="shared" si="124"/>
        <v>175.67053622862409</v>
      </c>
      <c r="G45" s="3462">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2594</v>
      </c>
      <c r="B46" s="2621">
        <v>220</v>
      </c>
      <c r="C46" s="2621">
        <v>187</v>
      </c>
      <c r="D46" s="2621">
        <f t="shared" si="109"/>
        <v>187</v>
      </c>
      <c r="E46" s="2621">
        <v>301</v>
      </c>
      <c r="F46" s="2622">
        <v>168</v>
      </c>
      <c r="G46" s="3461">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2595</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59">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2596</v>
      </c>
      <c r="B48" s="2629">
        <f t="shared" si="125"/>
        <v>210.630522469011</v>
      </c>
      <c r="C48" s="2629">
        <f t="shared" si="125"/>
        <v>181.69567812247232</v>
      </c>
      <c r="D48" s="2629">
        <f t="shared" si="109"/>
        <v>181.69567812247232</v>
      </c>
      <c r="E48" s="2629">
        <f t="shared" si="126"/>
        <v>286.13517466736738</v>
      </c>
      <c r="F48" s="2629">
        <f t="shared" si="126"/>
        <v>165.47535084591149</v>
      </c>
      <c r="G48" s="3459">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2597</v>
      </c>
      <c r="B49" s="2629">
        <f t="shared" si="125"/>
        <v>208.83454537875372</v>
      </c>
      <c r="C49" s="2629">
        <f t="shared" si="125"/>
        <v>183.77230517090351</v>
      </c>
      <c r="D49" s="2629">
        <f t="shared" si="109"/>
        <v>183.77230517090351</v>
      </c>
      <c r="E49" s="2629">
        <f t="shared" si="126"/>
        <v>281.10342338870947</v>
      </c>
      <c r="F49" s="2629">
        <f t="shared" si="126"/>
        <v>168.97309388942256</v>
      </c>
      <c r="G49" s="3462">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2598</v>
      </c>
      <c r="B50" s="2659">
        <v>214</v>
      </c>
      <c r="C50" s="2659">
        <v>188</v>
      </c>
      <c r="D50" s="2659">
        <f t="shared" si="109"/>
        <v>188</v>
      </c>
      <c r="E50" s="2659">
        <v>289</v>
      </c>
      <c r="F50" s="2660">
        <v>166</v>
      </c>
      <c r="G50" s="3461">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2599</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59">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2600</v>
      </c>
      <c r="B52" s="2629">
        <f t="shared" si="127"/>
        <v>206.31694671589116</v>
      </c>
      <c r="C52" s="2629">
        <f t="shared" si="127"/>
        <v>183.61041121036101</v>
      </c>
      <c r="D52" s="2629">
        <f t="shared" si="109"/>
        <v>183.61041121036101</v>
      </c>
      <c r="E52" s="2629">
        <f t="shared" si="128"/>
        <v>276.66850301795557</v>
      </c>
      <c r="F52" s="2629">
        <f t="shared" si="128"/>
        <v>165.1360938278614</v>
      </c>
      <c r="G52" s="3459">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2601</v>
      </c>
      <c r="B53" s="2662">
        <f t="shared" si="127"/>
        <v>196.62341248059772</v>
      </c>
      <c r="C53" s="2662">
        <f t="shared" si="127"/>
        <v>170.99125648199012</v>
      </c>
      <c r="D53" s="2662">
        <f t="shared" si="109"/>
        <v>170.99125648199012</v>
      </c>
      <c r="E53" s="2662">
        <f t="shared" si="128"/>
        <v>266.07857570490052</v>
      </c>
      <c r="F53" s="2662">
        <f t="shared" si="128"/>
        <v>154.53499328828505</v>
      </c>
      <c r="G53" s="3462">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2602</v>
      </c>
      <c r="B54" s="2621">
        <v>188</v>
      </c>
      <c r="C54" s="2621">
        <v>165</v>
      </c>
      <c r="D54" s="2621">
        <f t="shared" si="109"/>
        <v>165</v>
      </c>
      <c r="E54" s="2621">
        <v>254</v>
      </c>
      <c r="F54" s="2622">
        <v>148</v>
      </c>
      <c r="G54" s="3461">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2603</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59">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2604</v>
      </c>
      <c r="B56" s="2629">
        <f t="shared" si="131"/>
        <v>168.82017748715555</v>
      </c>
      <c r="C56" s="2629">
        <f t="shared" si="131"/>
        <v>148.06267029972753</v>
      </c>
      <c r="D56" s="2629">
        <f t="shared" si="109"/>
        <v>148.06267029972753</v>
      </c>
      <c r="E56" s="2629">
        <f t="shared" si="132"/>
        <v>216.46288379323747</v>
      </c>
      <c r="F56" s="2629">
        <f t="shared" si="132"/>
        <v>134.23529411764704</v>
      </c>
      <c r="G56" s="3459">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2605</v>
      </c>
      <c r="B57" s="2629">
        <f t="shared" si="131"/>
        <v>163.84913591779542</v>
      </c>
      <c r="C57" s="2629">
        <f t="shared" si="131"/>
        <v>145.0283378746594</v>
      </c>
      <c r="D57" s="2629">
        <f t="shared" si="109"/>
        <v>145.0283378746594</v>
      </c>
      <c r="E57" s="2629">
        <f t="shared" si="132"/>
        <v>204.95180722891567</v>
      </c>
      <c r="F57" s="2629">
        <f t="shared" si="132"/>
        <v>125.95920303605313</v>
      </c>
      <c r="G57" s="3462">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2606</v>
      </c>
      <c r="B58" s="2643">
        <v>159</v>
      </c>
      <c r="C58" s="2643">
        <v>141</v>
      </c>
      <c r="D58" s="2643">
        <f t="shared" si="109"/>
        <v>141</v>
      </c>
      <c r="E58" s="2643">
        <v>195</v>
      </c>
      <c r="F58" s="2644">
        <v>122</v>
      </c>
      <c r="G58" s="3461">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2607</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59">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2608</v>
      </c>
      <c r="B60" s="2629">
        <f t="shared" si="135"/>
        <v>146.57412060301507</v>
      </c>
      <c r="C60" s="2629">
        <f t="shared" si="135"/>
        <v>136.46831955922866</v>
      </c>
      <c r="D60" s="2629">
        <f t="shared" si="109"/>
        <v>136.46831955922866</v>
      </c>
      <c r="E60" s="2629">
        <f t="shared" si="136"/>
        <v>166.73864894795128</v>
      </c>
      <c r="F60" s="2629">
        <f t="shared" si="136"/>
        <v>115.05882352941177</v>
      </c>
      <c r="G60" s="3459">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2609</v>
      </c>
      <c r="B61" s="2629">
        <f t="shared" si="135"/>
        <v>144.04145728643215</v>
      </c>
      <c r="C61" s="2629">
        <f t="shared" si="135"/>
        <v>136.12396694214877</v>
      </c>
      <c r="D61" s="2629">
        <f t="shared" si="109"/>
        <v>136.12396694214877</v>
      </c>
      <c r="E61" s="2629">
        <f t="shared" si="136"/>
        <v>158.32225913621264</v>
      </c>
      <c r="F61" s="2629">
        <f t="shared" si="136"/>
        <v>114.04278074866311</v>
      </c>
      <c r="G61" s="3462">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2610</v>
      </c>
      <c r="B62" s="2643">
        <v>138</v>
      </c>
      <c r="C62" s="2643">
        <v>131</v>
      </c>
      <c r="D62" s="2643">
        <f t="shared" si="109"/>
        <v>131</v>
      </c>
      <c r="E62" s="2643">
        <v>155</v>
      </c>
      <c r="F62" s="2644">
        <v>114</v>
      </c>
      <c r="G62" s="3461">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2611</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59">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2612</v>
      </c>
      <c r="B64" s="2629">
        <f t="shared" si="139"/>
        <v>124.29032258064517</v>
      </c>
      <c r="C64" s="2629">
        <f t="shared" si="139"/>
        <v>123.8968609865471</v>
      </c>
      <c r="D64" s="2629">
        <f t="shared" si="109"/>
        <v>123.8968609865471</v>
      </c>
      <c r="E64" s="2629">
        <f t="shared" si="140"/>
        <v>138.00507614213197</v>
      </c>
      <c r="F64" s="2629">
        <f t="shared" si="140"/>
        <v>107.96106557377048</v>
      </c>
      <c r="G64" s="3459">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2613</v>
      </c>
      <c r="B65" s="2629">
        <f t="shared" si="139"/>
        <v>122.57204301075269</v>
      </c>
      <c r="C65" s="2629">
        <f t="shared" si="139"/>
        <v>123.4932735426009</v>
      </c>
      <c r="D65" s="2629">
        <f t="shared" si="109"/>
        <v>123.4932735426009</v>
      </c>
      <c r="E65" s="2629">
        <f t="shared" si="140"/>
        <v>129.82233502538071</v>
      </c>
      <c r="F65" s="2629">
        <f t="shared" si="140"/>
        <v>107.39446721311475</v>
      </c>
      <c r="G65" s="3462">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2614</v>
      </c>
      <c r="B66" s="2659">
        <v>121</v>
      </c>
      <c r="C66" s="2659">
        <v>122</v>
      </c>
      <c r="D66" s="2659">
        <f t="shared" si="109"/>
        <v>122</v>
      </c>
      <c r="E66" s="2659">
        <v>124</v>
      </c>
      <c r="F66" s="2660">
        <v>107</v>
      </c>
      <c r="G66" s="3461">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2615</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59">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2616</v>
      </c>
      <c r="B68" s="2629">
        <f t="shared" si="143"/>
        <v>116.99099099099099</v>
      </c>
      <c r="C68" s="2629">
        <f t="shared" si="143"/>
        <v>118.84848484848486</v>
      </c>
      <c r="D68" s="2629">
        <f t="shared" si="109"/>
        <v>118.84848484848486</v>
      </c>
      <c r="E68" s="2629">
        <f t="shared" si="144"/>
        <v>117.60960960960961</v>
      </c>
      <c r="F68" s="2629">
        <f t="shared" si="144"/>
        <v>104</v>
      </c>
      <c r="G68" s="3459">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2617</v>
      </c>
      <c r="B69" s="2662">
        <f t="shared" si="143"/>
        <v>112.48648648648648</v>
      </c>
      <c r="C69" s="2662">
        <f t="shared" si="143"/>
        <v>115.21212121212122</v>
      </c>
      <c r="D69" s="2662">
        <f t="shared" si="109"/>
        <v>115.21212121212122</v>
      </c>
      <c r="E69" s="2662">
        <f t="shared" si="144"/>
        <v>110.4024024024024</v>
      </c>
      <c r="F69" s="2662">
        <f t="shared" si="144"/>
        <v>104</v>
      </c>
      <c r="G69" s="3462">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2618</v>
      </c>
      <c r="B70" s="2680">
        <v>111</v>
      </c>
      <c r="C70" s="2680">
        <v>114</v>
      </c>
      <c r="D70" s="2680">
        <f t="shared" si="109"/>
        <v>114</v>
      </c>
      <c r="E70" s="2680">
        <v>108</v>
      </c>
      <c r="F70" s="2681">
        <v>104</v>
      </c>
      <c r="G70" s="3461">
        <v>2003</v>
      </c>
      <c r="H70" s="2670">
        <v>4</v>
      </c>
      <c r="I70" s="2682"/>
      <c r="J70" s="2682"/>
      <c r="K70" s="2682"/>
      <c r="L70" s="2682"/>
      <c r="N70" s="2683"/>
      <c r="O70" s="2682"/>
      <c r="P70" s="2682"/>
      <c r="Q70" s="2682"/>
      <c r="S70" s="2683"/>
      <c r="T70" s="2682"/>
      <c r="U70" s="2682"/>
      <c r="V70" s="2682"/>
      <c r="X70" s="2674"/>
      <c r="Y70" s="2674"/>
      <c r="Z70" s="2674"/>
    </row>
    <row r="71" spans="1:26">
      <c r="A71" s="2616" t="s">
        <v>2619</v>
      </c>
      <c r="B71" s="2684">
        <f t="shared" ref="B71:C73" si="145">B72+(B$70-B$74)/4</f>
        <v>109.75</v>
      </c>
      <c r="C71" s="2684">
        <f t="shared" si="145"/>
        <v>112.25</v>
      </c>
      <c r="D71" s="2684">
        <f t="shared" si="109"/>
        <v>112.25</v>
      </c>
      <c r="E71" s="2684">
        <f t="shared" ref="E71:F73" si="146">E72+(E$70-E$74)/4</f>
        <v>107.25</v>
      </c>
      <c r="F71" s="2684">
        <f t="shared" si="146"/>
        <v>103.5</v>
      </c>
      <c r="G71" s="3459">
        <v>2003</v>
      </c>
      <c r="H71" s="2640">
        <v>3</v>
      </c>
      <c r="I71" s="2682"/>
      <c r="J71" s="2682"/>
      <c r="K71" s="2682"/>
      <c r="L71" s="2682"/>
      <c r="X71" s="2674"/>
      <c r="Y71" s="2674"/>
      <c r="Z71" s="2674"/>
    </row>
    <row r="72" spans="1:26">
      <c r="A72" s="2616" t="s">
        <v>2620</v>
      </c>
      <c r="B72" s="2684">
        <f t="shared" si="145"/>
        <v>108.5</v>
      </c>
      <c r="C72" s="2684">
        <f t="shared" si="145"/>
        <v>110.5</v>
      </c>
      <c r="D72" s="2684">
        <f t="shared" si="109"/>
        <v>110.5</v>
      </c>
      <c r="E72" s="2684">
        <f t="shared" si="146"/>
        <v>106.5</v>
      </c>
      <c r="F72" s="2684">
        <f t="shared" si="146"/>
        <v>103</v>
      </c>
      <c r="G72" s="3459">
        <v>2003</v>
      </c>
      <c r="H72" s="2620">
        <v>2</v>
      </c>
      <c r="I72" s="2682"/>
      <c r="J72" s="2682"/>
      <c r="K72" s="2682"/>
      <c r="L72" s="2682"/>
      <c r="X72" s="2674"/>
      <c r="Y72" s="2674"/>
      <c r="Z72" s="2674"/>
    </row>
    <row r="73" spans="1:26" ht="13.5" thickBot="1">
      <c r="A73" s="2616" t="s">
        <v>2621</v>
      </c>
      <c r="B73" s="2684">
        <f t="shared" si="145"/>
        <v>107.25</v>
      </c>
      <c r="C73" s="2684">
        <f t="shared" si="145"/>
        <v>108.75</v>
      </c>
      <c r="D73" s="2684">
        <f t="shared" si="109"/>
        <v>108.75</v>
      </c>
      <c r="E73" s="2684">
        <f t="shared" si="146"/>
        <v>105.75</v>
      </c>
      <c r="F73" s="2684">
        <f t="shared" si="146"/>
        <v>102.5</v>
      </c>
      <c r="G73" s="3462">
        <v>2003</v>
      </c>
      <c r="H73" s="2685">
        <v>1</v>
      </c>
      <c r="I73" s="2682"/>
      <c r="J73" s="2682"/>
      <c r="K73" s="2682"/>
      <c r="L73" s="2682"/>
      <c r="S73" s="2624"/>
      <c r="T73" s="2625"/>
      <c r="U73" s="2625"/>
      <c r="X73" s="2674"/>
      <c r="Y73" s="2674"/>
      <c r="Z73" s="2674"/>
    </row>
    <row r="74" spans="1:26" ht="13.5" thickBot="1">
      <c r="A74" s="2616" t="s">
        <v>2622</v>
      </c>
      <c r="B74" s="2686">
        <v>106</v>
      </c>
      <c r="C74" s="2686">
        <v>107</v>
      </c>
      <c r="D74" s="2686">
        <f t="shared" si="109"/>
        <v>107</v>
      </c>
      <c r="E74" s="2686">
        <v>105</v>
      </c>
      <c r="F74" s="2687">
        <v>102</v>
      </c>
      <c r="G74" s="3461">
        <v>2002</v>
      </c>
      <c r="H74" s="2635">
        <v>4</v>
      </c>
      <c r="I74" s="2682"/>
      <c r="J74" s="2682"/>
      <c r="K74" s="2682"/>
      <c r="L74" s="2682"/>
      <c r="N74" s="2683"/>
      <c r="O74" s="2682"/>
      <c r="P74" s="2682"/>
      <c r="Q74" s="2682"/>
      <c r="S74" s="2683"/>
      <c r="T74" s="2682"/>
      <c r="U74" s="2682"/>
      <c r="V74" s="2682"/>
      <c r="X74" s="2674"/>
      <c r="Y74" s="2674"/>
      <c r="Z74" s="2674"/>
    </row>
    <row r="75" spans="1:26">
      <c r="A75" s="2616" t="s">
        <v>2623</v>
      </c>
      <c r="B75" s="2684">
        <f t="shared" ref="B75:C77" si="147">B76+(B$74-B$78)/4</f>
        <v>105</v>
      </c>
      <c r="C75" s="2684">
        <f t="shared" si="147"/>
        <v>106</v>
      </c>
      <c r="D75" s="2684">
        <f t="shared" si="109"/>
        <v>106</v>
      </c>
      <c r="E75" s="2684">
        <f t="shared" ref="E75:F77" si="148">E76+(E$74-E$78)/4</f>
        <v>104.5</v>
      </c>
      <c r="F75" s="2684">
        <f t="shared" si="148"/>
        <v>101.5</v>
      </c>
      <c r="G75" s="3459">
        <v>2002</v>
      </c>
      <c r="H75" s="2640">
        <v>3</v>
      </c>
      <c r="I75" s="2682"/>
      <c r="J75" s="2682"/>
      <c r="K75" s="2682"/>
      <c r="L75" s="2682"/>
      <c r="X75" s="2674"/>
      <c r="Y75" s="2674"/>
      <c r="Z75" s="2674"/>
    </row>
    <row r="76" spans="1:26">
      <c r="A76" s="2616" t="s">
        <v>2624</v>
      </c>
      <c r="B76" s="2684">
        <f t="shared" si="147"/>
        <v>104</v>
      </c>
      <c r="C76" s="2684">
        <f t="shared" si="147"/>
        <v>105</v>
      </c>
      <c r="D76" s="2684">
        <f t="shared" si="109"/>
        <v>105</v>
      </c>
      <c r="E76" s="2684">
        <f t="shared" si="148"/>
        <v>104</v>
      </c>
      <c r="F76" s="2684">
        <f t="shared" si="148"/>
        <v>101</v>
      </c>
      <c r="G76" s="3459">
        <v>2002</v>
      </c>
      <c r="H76" s="2620">
        <v>2</v>
      </c>
      <c r="I76" s="2682"/>
      <c r="J76" s="2682"/>
      <c r="K76" s="2682"/>
      <c r="L76" s="2682"/>
      <c r="X76" s="2674"/>
      <c r="Y76" s="2674"/>
      <c r="Z76" s="2674"/>
    </row>
    <row r="77" spans="1:26" s="2651" customFormat="1" ht="13.5" thickBot="1">
      <c r="A77" s="2647" t="s">
        <v>2625</v>
      </c>
      <c r="B77" s="2688">
        <f t="shared" si="147"/>
        <v>103</v>
      </c>
      <c r="C77" s="2688">
        <f t="shared" si="147"/>
        <v>104</v>
      </c>
      <c r="D77" s="2688">
        <f t="shared" si="109"/>
        <v>104</v>
      </c>
      <c r="E77" s="2688">
        <f t="shared" si="148"/>
        <v>103.5</v>
      </c>
      <c r="F77" s="2688">
        <f t="shared" si="148"/>
        <v>100.5</v>
      </c>
      <c r="G77" s="3462">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2626</v>
      </c>
      <c r="G80" s="2698"/>
      <c r="N80" s="2698"/>
      <c r="S80" s="2698"/>
    </row>
    <row r="81" spans="1:22" s="2697" customFormat="1">
      <c r="A81" s="2697" t="s">
        <v>2627</v>
      </c>
      <c r="G81" s="2698"/>
      <c r="N81" s="2698"/>
      <c r="S81" s="2698"/>
    </row>
    <row r="82" spans="1:22" s="2697" customFormat="1">
      <c r="A82" s="2697" t="s">
        <v>2628</v>
      </c>
      <c r="G82" s="2698"/>
      <c r="I82" s="2699"/>
      <c r="J82" s="2699"/>
      <c r="K82" s="2699"/>
      <c r="L82" s="2699"/>
      <c r="N82" s="2700"/>
      <c r="O82" s="2699"/>
      <c r="P82" s="2699"/>
      <c r="Q82" s="2699"/>
      <c r="S82" s="2700"/>
      <c r="T82" s="2699"/>
      <c r="U82" s="2699"/>
      <c r="V82" s="2699"/>
    </row>
    <row r="83" spans="1:22" s="2697" customFormat="1">
      <c r="A83" s="2697" t="s">
        <v>2629</v>
      </c>
      <c r="G83" s="2698"/>
      <c r="N83" s="2698"/>
      <c r="S83" s="2698"/>
    </row>
    <row r="90" spans="1:22" ht="13.5" thickBot="1"/>
    <row r="91" spans="1:22">
      <c r="G91" s="2623"/>
      <c r="S91" s="2701" t="s">
        <v>2630</v>
      </c>
      <c r="T91" s="2702" t="s">
        <v>2631</v>
      </c>
      <c r="U91" s="2702" t="s">
        <v>2632</v>
      </c>
      <c r="V91" s="2702" t="s">
        <v>2633</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2936</v>
      </c>
      <c r="B1" s="3051"/>
      <c r="C1" s="3051"/>
      <c r="D1" s="3051"/>
      <c r="E1" s="3051"/>
      <c r="F1" s="3051"/>
    </row>
    <row r="2" spans="1:6" ht="14.25">
      <c r="A2" s="3052" t="s">
        <v>2931</v>
      </c>
      <c r="B2" s="3053">
        <f ca="1">SUMIF(B7:B14,"&lt;&gt;#ref!",B7:B14)</f>
        <v>0</v>
      </c>
      <c r="C2" s="3052" t="s">
        <v>2932</v>
      </c>
      <c r="D2" s="3051"/>
      <c r="E2" s="3051"/>
      <c r="F2" s="3051"/>
    </row>
    <row r="3" spans="1:6" ht="14.25">
      <c r="A3" s="3052" t="s">
        <v>2964</v>
      </c>
      <c r="B3" s="3053">
        <f ca="1">ROUND(B2*10000/E3,0)</f>
        <v>0</v>
      </c>
      <c r="C3" s="3052" t="s">
        <v>2074</v>
      </c>
      <c r="D3" s="3052" t="s">
        <v>2933</v>
      </c>
      <c r="E3" s="3053">
        <f ca="1">SUMIF(E7:E14,"&lt;&gt;#ref!",E7:E14)</f>
        <v>138941.47999999998</v>
      </c>
      <c r="F3" s="3051"/>
    </row>
    <row r="4" spans="1:6" ht="14.25">
      <c r="A4" s="3052" t="s">
        <v>2940</v>
      </c>
      <c r="B4" s="3053" t="e">
        <f ca="1">ROUND(B2*10000/E4,0)</f>
        <v>#DIV/0!</v>
      </c>
      <c r="C4" s="3052" t="s">
        <v>2074</v>
      </c>
      <c r="D4" s="3052" t="s">
        <v>2941</v>
      </c>
      <c r="E4" s="3053">
        <f ca="1">SUMIF(F7:F14,"&lt;&gt;#ref!",F7:F14)</f>
        <v>0</v>
      </c>
      <c r="F4" s="3051"/>
    </row>
    <row r="5" spans="1:6" ht="14.25">
      <c r="A5" s="3054"/>
      <c r="B5" s="1863"/>
      <c r="C5" s="1863"/>
      <c r="D5" s="1863"/>
      <c r="E5" s="1863"/>
      <c r="F5" s="3051"/>
    </row>
    <row r="6" spans="1:6" ht="28.5">
      <c r="A6" s="3055" t="s">
        <v>2937</v>
      </c>
      <c r="B6" s="3052" t="s">
        <v>2934</v>
      </c>
      <c r="C6" s="3053"/>
      <c r="D6" s="1863"/>
      <c r="E6" s="3052" t="s">
        <v>2935</v>
      </c>
      <c r="F6" s="3052" t="s">
        <v>2939</v>
      </c>
    </row>
    <row r="7" spans="1:6" ht="14.25">
      <c r="A7" s="259" t="s">
        <v>2938</v>
      </c>
      <c r="B7" s="3056">
        <f ca="1">SUMIF(INDIRECT("'"&amp;A7&amp;"'"&amp;"!A:A"),"总价",INDIRECT("'"&amp;A7&amp;"'"&amp;"!B:B"))</f>
        <v>0</v>
      </c>
      <c r="C7" s="3052" t="s">
        <v>2932</v>
      </c>
      <c r="D7" s="1863"/>
      <c r="E7" s="3057">
        <f ca="1">SUMIF(INDIRECT("'"&amp;A7&amp;"'"&amp;"!C:C"),"建筑面积",INDIRECT("'"&amp;A7&amp;"'"&amp;"!D:D"))</f>
        <v>138941.47999999998</v>
      </c>
      <c r="F7" s="3057">
        <f ca="1">SUMIF(INDIRECT("'"&amp;A7&amp;"'"&amp;"!E:E"),"土地面积",INDIRECT("'"&amp;A7&amp;"'"&amp;"!F:F"))</f>
        <v>0</v>
      </c>
    </row>
    <row r="8" spans="1:6" ht="14.25">
      <c r="A8" s="259"/>
      <c r="B8" s="3056" t="e">
        <f t="shared" ref="B8:B14" ca="1" si="0">SUMIF(INDIRECT("'"&amp;A8&amp;"'"&amp;"!A:A"),"总价",INDIRECT("'"&amp;A8&amp;"'"&amp;"!B:B"))</f>
        <v>#REF!</v>
      </c>
      <c r="C8" s="3052" t="s">
        <v>2932</v>
      </c>
      <c r="D8" s="1863"/>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2932</v>
      </c>
      <c r="D9" s="1863"/>
      <c r="E9" s="3057" t="e">
        <f t="shared" ca="1" si="1"/>
        <v>#REF!</v>
      </c>
      <c r="F9" s="3057" t="e">
        <f t="shared" ca="1" si="2"/>
        <v>#REF!</v>
      </c>
    </row>
    <row r="10" spans="1:6" ht="14.25">
      <c r="A10" s="259"/>
      <c r="B10" s="3056" t="e">
        <f t="shared" ca="1" si="0"/>
        <v>#REF!</v>
      </c>
      <c r="C10" s="3052" t="s">
        <v>2932</v>
      </c>
      <c r="D10" s="1863"/>
      <c r="E10" s="3057" t="e">
        <f t="shared" ca="1" si="1"/>
        <v>#REF!</v>
      </c>
      <c r="F10" s="3057" t="e">
        <f t="shared" ca="1" si="2"/>
        <v>#REF!</v>
      </c>
    </row>
    <row r="11" spans="1:6" ht="14.25">
      <c r="A11" s="259"/>
      <c r="B11" s="3056" t="e">
        <f t="shared" ca="1" si="0"/>
        <v>#REF!</v>
      </c>
      <c r="C11" s="3052" t="s">
        <v>2932</v>
      </c>
      <c r="D11" s="1863"/>
      <c r="E11" s="3057" t="e">
        <f t="shared" ca="1" si="1"/>
        <v>#REF!</v>
      </c>
      <c r="F11" s="3057" t="e">
        <f t="shared" ca="1" si="2"/>
        <v>#REF!</v>
      </c>
    </row>
    <row r="12" spans="1:6" ht="14.25">
      <c r="A12" s="259"/>
      <c r="B12" s="3056" t="e">
        <f t="shared" ca="1" si="0"/>
        <v>#REF!</v>
      </c>
      <c r="C12" s="3052" t="s">
        <v>2932</v>
      </c>
      <c r="D12" s="1863"/>
      <c r="E12" s="3057" t="e">
        <f t="shared" ca="1" si="1"/>
        <v>#REF!</v>
      </c>
      <c r="F12" s="3057" t="e">
        <f t="shared" ca="1" si="2"/>
        <v>#REF!</v>
      </c>
    </row>
    <row r="13" spans="1:6" ht="14.25">
      <c r="A13" s="259"/>
      <c r="B13" s="3056" t="e">
        <f t="shared" ca="1" si="0"/>
        <v>#REF!</v>
      </c>
      <c r="C13" s="3052" t="s">
        <v>2932</v>
      </c>
      <c r="D13" s="1863"/>
      <c r="E13" s="3057" t="e">
        <f t="shared" ca="1" si="1"/>
        <v>#REF!</v>
      </c>
      <c r="F13" s="3057" t="e">
        <f t="shared" ca="1" si="2"/>
        <v>#REF!</v>
      </c>
    </row>
    <row r="14" spans="1:6" ht="14.25">
      <c r="A14" s="3050"/>
      <c r="B14" s="3056" t="e">
        <f t="shared" ca="1" si="0"/>
        <v>#REF!</v>
      </c>
      <c r="C14" s="3052" t="s">
        <v>2932</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北京京投兴海房地产有限公司：</v>
      </c>
    </row>
    <row r="4" spans="1:4" ht="75">
      <c r="A4" s="1773"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spans="1:4" ht="18.75">
      <c r="A5" s="1776" t="s">
        <v>1905</v>
      </c>
    </row>
    <row r="6" spans="1:4" ht="150">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7" spans="1:4" ht="56.25">
      <c r="A7" s="1777" t="s">
        <v>2742</v>
      </c>
    </row>
    <row r="8" spans="1:4" ht="18.75">
      <c r="A8" s="1776" t="s">
        <v>1906</v>
      </c>
    </row>
    <row r="9" spans="1:4" ht="75">
      <c r="A9" s="1778"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2022</v>
      </c>
    </row>
    <row r="11" spans="1:4" ht="18.75">
      <c r="A11" s="1762" t="str">
        <f>TEXT(项目基本情况!D3,"yyyy年m月d日;;")&amp;IF(项目基本情况!B3=项目基本情况!D3,"（评估专业人员勘察现场之日）","")</f>
        <v>2020年1月3日（评估专业人员勘察现场之日）</v>
      </c>
    </row>
    <row r="12" spans="1:4" ht="18.75">
      <c r="A12" s="1779" t="s">
        <v>2021</v>
      </c>
    </row>
    <row r="13" spans="1:4" ht="18.75">
      <c r="A13" s="1773" t="s">
        <v>2929</v>
      </c>
    </row>
    <row r="14" spans="1:4" ht="56.25">
      <c r="A14" s="1773" t="str">
        <f>"根据"&amp;项目基本情况!F12&amp;"，本次评估估价对象证载（地类）用途为"&amp;项目基本情况!B12&amp;"。"</f>
        <v>根据《国有土地使用证》[京（2019）海不动产权第0034866、0034867、0034868号]，本次评估估价对象证载（地类）用途为住宅、商业、办公、地下车库。</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63"/>
      <c r="D15" s="1764"/>
    </row>
    <row r="16" spans="1:4" ht="18.75">
      <c r="A16" s="1773" t="s">
        <v>2068</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2069</v>
      </c>
    </row>
    <row r="20" spans="1:1" ht="9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21" spans="1:1" ht="18.75">
      <c r="A21" s="1773" t="s">
        <v>2070</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2019）海不动产权第0034866、0034867、0034868号]证载土地终止日期为住宅2089年3月11日、商业2059年3月11日、办公2069年3月11日、车库2069年3月11日、仓储2069年3月11日。截至估价期日，出让国有建设用地使用权剩余土地使用年限为住宅69.2年、商业39.2年、办公、地下车库49.2年。</v>
      </c>
    </row>
    <row r="23" spans="1:1" ht="37.5">
      <c r="A23" s="1773" t="str">
        <f>IF(项目基本情况!B16="出让","本次评估设定估价对象剩余土地使用年限为"&amp;项目基本情况!D20&amp;"。","")</f>
        <v>本次评估设定估价对象剩余土地使用年限为住宅69.2年、商业39.2年、办公、地下车库49.2年。</v>
      </c>
    </row>
    <row r="24" spans="1:1" ht="18.75">
      <c r="A24" s="1773" t="s">
        <v>2071</v>
      </c>
    </row>
    <row r="25" spans="1:1" ht="112.5">
      <c r="A25" s="1773"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spans="1:1" ht="18.75">
      <c r="A26" s="1773" t="str">
        <f>IF(项目基本情况!B9="市场价格","——",IF(项目基本情况!E8="抵押价格",定义!C54,IF(项目基本情况!E8="已注销",定义!C55,定义!C56)))</f>
        <v>——</v>
      </c>
    </row>
    <row r="27" spans="1:1" ht="18.7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3" t="str">
        <f>IF(项目基本情况!B9="市场价格","——",IF(项目基本情况!E9="——","",定义!C57))</f>
        <v>——</v>
      </c>
    </row>
    <row r="29" spans="1:1" ht="18.75">
      <c r="A29" s="1779" t="s">
        <v>2023</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J54" sqref="J54"/>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2370</v>
      </c>
      <c r="F1" s="2349">
        <f ca="1">J54</f>
        <v>-3</v>
      </c>
      <c r="G1" s="772">
        <f>MATCH(C1,'数据-取费表'!A6:A16,0)+5</f>
        <v>7</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1686</v>
      </c>
      <c r="B3" s="1385">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2">
        <f ca="1">C8+C12+C14</f>
        <v>1135</v>
      </c>
      <c r="D7" s="2457" t="s">
        <v>2457</v>
      </c>
      <c r="E7" s="2451"/>
      <c r="F7" s="2452"/>
      <c r="G7" s="1575"/>
      <c r="H7" s="779">
        <v>1</v>
      </c>
      <c r="I7" s="780" t="s">
        <v>2454</v>
      </c>
      <c r="J7" s="52">
        <f ca="1">J8+J12+J14</f>
        <v>0</v>
      </c>
      <c r="K7" s="2457" t="s">
        <v>2457</v>
      </c>
      <c r="L7" s="2451"/>
      <c r="M7" s="2452"/>
    </row>
    <row r="8" spans="1:25" ht="18" customHeight="1">
      <c r="A8" s="1812" t="s">
        <v>1824</v>
      </c>
      <c r="B8" s="3470" t="s">
        <v>2459</v>
      </c>
      <c r="C8" s="1807">
        <f ca="1">ROUND(F8*F10*F9*(1-F11)/10000,0)</f>
        <v>1135</v>
      </c>
      <c r="D8" s="1804" t="s">
        <v>2530</v>
      </c>
      <c r="E8" s="60" t="s">
        <v>637</v>
      </c>
      <c r="F8" s="783">
        <f ca="1">INDIRECT("'数据-取费表'!u"&amp;$G$1)</f>
        <v>600</v>
      </c>
      <c r="G8" s="1575"/>
      <c r="H8" s="2465" t="s">
        <v>1824</v>
      </c>
      <c r="I8" s="3470" t="s">
        <v>2459</v>
      </c>
      <c r="J8" s="781">
        <f ca="1">ROUND(M8*M10*M9*(1-M11)/10000,0)</f>
        <v>0</v>
      </c>
      <c r="K8" s="339" t="s">
        <v>2530</v>
      </c>
      <c r="L8" s="782" t="s">
        <v>1738</v>
      </c>
      <c r="M8" s="783">
        <f ca="1">INDIRECT("'数据-取费表'!z"&amp;$G$1)</f>
        <v>0</v>
      </c>
    </row>
    <row r="9" spans="1:25" ht="18" customHeight="1">
      <c r="A9" s="2461"/>
      <c r="B9" s="3471"/>
      <c r="C9" s="1808"/>
      <c r="D9" s="1805"/>
      <c r="E9" s="60" t="s">
        <v>638</v>
      </c>
      <c r="F9" s="783">
        <f ca="1">IF(INDIRECT("'数据-取费表'!ah"&amp;$G$1)="",INDIRECT("'数据-取费表'!k"&amp;$G$1),INDIRECT("'数据-取费表'!ah"&amp;$G$1))</f>
        <v>1660</v>
      </c>
      <c r="G9" s="1575"/>
      <c r="H9" s="2450"/>
      <c r="I9" s="3471"/>
      <c r="J9" s="786"/>
      <c r="K9" s="787"/>
      <c r="L9" s="782" t="s">
        <v>1739</v>
      </c>
      <c r="M9" s="783">
        <f ca="1">F9</f>
        <v>1660</v>
      </c>
    </row>
    <row r="10" spans="1:25" ht="18" customHeight="1">
      <c r="A10" s="2454"/>
      <c r="B10" s="3472"/>
      <c r="C10" s="1808"/>
      <c r="D10" s="1805"/>
      <c r="E10" s="60" t="s">
        <v>639</v>
      </c>
      <c r="F10" s="783">
        <f ca="1">INDIRECT("'数据-取费表'!ai"&amp;$G$1)</f>
        <v>12</v>
      </c>
      <c r="G10" s="1575"/>
      <c r="H10" s="2450"/>
      <c r="I10" s="3472"/>
      <c r="J10" s="786"/>
      <c r="K10" s="787"/>
      <c r="L10" s="782" t="s">
        <v>1740</v>
      </c>
      <c r="M10" s="783">
        <f ca="1">INDIRECT("'数据-取费表'!ai"&amp;$G$1)</f>
        <v>12</v>
      </c>
    </row>
    <row r="11" spans="1:25" ht="18" customHeight="1">
      <c r="A11" s="784"/>
      <c r="B11" s="3473"/>
      <c r="C11" s="1808"/>
      <c r="D11" s="1805"/>
      <c r="E11" s="60" t="s">
        <v>640</v>
      </c>
      <c r="F11" s="792">
        <f ca="1">INDIRECT("'数据-取费表'!w"&amp;$G$1)</f>
        <v>0.05</v>
      </c>
      <c r="G11" s="1575"/>
      <c r="H11" s="2466"/>
      <c r="I11" s="3472"/>
      <c r="J11" s="786"/>
      <c r="K11" s="787"/>
      <c r="L11" s="793" t="s">
        <v>1741</v>
      </c>
      <c r="M11" s="794">
        <f ca="1">INDIRECT("'数据-取费表'!ab"&amp;$G$1)</f>
        <v>0</v>
      </c>
    </row>
    <row r="12" spans="1:25" ht="18" customHeight="1">
      <c r="A12" s="1812" t="s">
        <v>1825</v>
      </c>
      <c r="B12" s="2455" t="s">
        <v>2455</v>
      </c>
      <c r="C12" s="797">
        <f ca="1">ROUND(IF(F12="押一",C8/12*F13,IF(F12="押二",C8/12*2*F13,IF(F12="押三",C8/12*3*F13,C13*F13))),0)</f>
        <v>0</v>
      </c>
      <c r="D12" s="2462" t="s">
        <v>2961</v>
      </c>
      <c r="E12" s="2459" t="s">
        <v>2460</v>
      </c>
      <c r="F12" s="2582"/>
      <c r="G12" s="1575"/>
      <c r="H12" s="2522" t="s">
        <v>1825</v>
      </c>
      <c r="I12" s="2527" t="s">
        <v>2455</v>
      </c>
      <c r="J12" s="781">
        <f ca="1">ROUND(IF(M12="押一",J8/12*M13,IF(M12="押二",J8/12*2*M13,IF(M12="押三",J8/12*3*M13,J13*M13))),0)</f>
        <v>0</v>
      </c>
      <c r="K12" s="2462" t="s">
        <v>2961</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1</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2065</v>
      </c>
      <c r="I16" s="2213" t="s">
        <v>2819</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0.05</v>
      </c>
      <c r="G17" s="1576"/>
      <c r="H17" s="801" t="s">
        <v>2066</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2065</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60"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0.03</v>
      </c>
      <c r="G22" s="1576"/>
      <c r="H22" s="1814" t="s">
        <v>1850</v>
      </c>
      <c r="I22" s="1804" t="s">
        <v>668</v>
      </c>
      <c r="J22" s="53">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0.03</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2066</v>
      </c>
      <c r="I24" s="782" t="s">
        <v>676</v>
      </c>
      <c r="J24" s="52">
        <f ca="1">ROUND(J16*M24,0)</f>
        <v>0</v>
      </c>
      <c r="K24" s="1959" t="s">
        <v>677</v>
      </c>
      <c r="L24" s="782" t="s">
        <v>649</v>
      </c>
      <c r="M24" s="815">
        <f ca="1">INDIRECT("'数据-取费表'!Ak"&amp;$G$1)</f>
        <v>0.02</v>
      </c>
    </row>
    <row r="25" spans="1:25" s="2046" customFormat="1" ht="18" customHeight="1">
      <c r="A25" s="801" t="s">
        <v>1875</v>
      </c>
      <c r="B25" s="782" t="s">
        <v>2433</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1878</v>
      </c>
      <c r="I25" s="782" t="s">
        <v>679</v>
      </c>
      <c r="J25" s="52">
        <f ca="1">ROUND(J15*M25,0)</f>
        <v>0</v>
      </c>
      <c r="K25" s="1959" t="s">
        <v>680</v>
      </c>
      <c r="L25" s="782" t="s">
        <v>649</v>
      </c>
      <c r="M25" s="816">
        <f ca="1">INDIRECT("'数据-取费表'!Al"&amp;$G$1)</f>
        <v>1.5E-3</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2.2000000000000001E-3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0.01</v>
      </c>
      <c r="N26" s="2045"/>
      <c r="O26" s="2045"/>
      <c r="P26" s="2045"/>
      <c r="Q26" s="2045"/>
      <c r="R26" s="2045"/>
      <c r="S26" s="2045"/>
      <c r="T26" s="2045"/>
      <c r="U26" s="2045"/>
      <c r="V26" s="2045"/>
      <c r="W26" s="2045"/>
      <c r="X26" s="2045"/>
      <c r="Y26" s="2045"/>
    </row>
    <row r="27" spans="1:25" ht="18" customHeight="1">
      <c r="A27" s="801" t="s">
        <v>1881</v>
      </c>
      <c r="B27" s="782" t="s">
        <v>684</v>
      </c>
      <c r="C27" s="52"/>
      <c r="D27" s="260" t="s">
        <v>685</v>
      </c>
      <c r="E27" s="1964"/>
      <c r="F27" s="55"/>
      <c r="G27" s="1575"/>
      <c r="H27" s="795" t="s">
        <v>1828</v>
      </c>
      <c r="I27" s="2960" t="s">
        <v>2816</v>
      </c>
      <c r="J27" s="797">
        <f ca="1">J7-J18</f>
        <v>0</v>
      </c>
      <c r="K27" s="1961" t="s">
        <v>700</v>
      </c>
      <c r="L27" s="1963"/>
      <c r="M27" s="818"/>
    </row>
    <row r="28" spans="1:25" ht="18" customHeight="1">
      <c r="A28" s="801" t="s">
        <v>1875</v>
      </c>
      <c r="B28" s="782" t="s">
        <v>2434</v>
      </c>
      <c r="C28" s="52">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2817</v>
      </c>
      <c r="C31" s="2505">
        <f ca="1">ROUND((C21+C22+C25+C28)/(1-F23-C26-C29-C30),0)</f>
        <v>0</v>
      </c>
      <c r="D31" s="2506"/>
      <c r="E31" s="2507"/>
      <c r="F31" s="2508"/>
      <c r="G31" s="1576"/>
      <c r="H31" s="821" t="s">
        <v>1872</v>
      </c>
      <c r="I31" s="2961" t="s">
        <v>2818</v>
      </c>
      <c r="J31" s="823" t="e">
        <f ca="1">ROUND(J28/(1+F45)^F46,0)</f>
        <v>#N/A</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72</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60.5</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60.5</v>
      </c>
      <c r="D34" s="1959" t="s">
        <v>661</v>
      </c>
      <c r="E34" s="782" t="s">
        <v>649</v>
      </c>
      <c r="F34" s="807">
        <f>'数据-取费表'!B41</f>
        <v>5.6000000000000001E-2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1.5</v>
      </c>
      <c r="G36" s="2044"/>
      <c r="H36" s="2047"/>
      <c r="I36" s="3469"/>
      <c r="J36" s="2061"/>
      <c r="K36" s="2062"/>
      <c r="L36" s="2061"/>
      <c r="M36" s="2061"/>
    </row>
    <row r="37" spans="1:18" ht="18" customHeight="1">
      <c r="A37" s="813"/>
      <c r="B37" s="791"/>
      <c r="C37" s="68"/>
      <c r="D37" s="814"/>
      <c r="E37" s="782" t="s">
        <v>674</v>
      </c>
      <c r="F37" s="783">
        <f ca="1">INDIRECT("'数据-取费表'!r"&amp;$G$1)</f>
        <v>0</v>
      </c>
      <c r="G37" s="2044"/>
      <c r="H37" s="2047"/>
      <c r="I37" s="3469"/>
      <c r="J37" s="2059"/>
      <c r="K37" s="2060"/>
      <c r="L37" s="2059"/>
      <c r="M37" s="2059"/>
    </row>
    <row r="38" spans="1:18" ht="18" customHeight="1">
      <c r="A38" s="801" t="s">
        <v>1877</v>
      </c>
      <c r="B38" s="782" t="s">
        <v>676</v>
      </c>
      <c r="C38" s="52">
        <f ca="1">ROUND(C31*F38,1)</f>
        <v>0</v>
      </c>
      <c r="D38" s="1959" t="s">
        <v>691</v>
      </c>
      <c r="E38" s="782" t="s">
        <v>649</v>
      </c>
      <c r="F38" s="815">
        <f ca="1">INDIRECT("'数据-取费表'!Ak"&amp;$G$1)</f>
        <v>0.02</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1.5E-3</v>
      </c>
      <c r="G39" s="2044"/>
      <c r="H39" s="2059"/>
      <c r="I39" s="2063"/>
      <c r="J39" s="1970"/>
      <c r="K39" s="2064"/>
      <c r="L39" s="2059"/>
      <c r="M39" s="2059"/>
    </row>
    <row r="40" spans="1:18" ht="18" customHeight="1" thickBot="1">
      <c r="A40" s="2521" t="s">
        <v>1879</v>
      </c>
      <c r="B40" s="2507" t="s">
        <v>666</v>
      </c>
      <c r="C40" s="2505">
        <f ca="1">ROUND(C7*F40,1)</f>
        <v>11.4</v>
      </c>
      <c r="D40" s="2506" t="s">
        <v>683</v>
      </c>
      <c r="E40" s="2507" t="s">
        <v>649</v>
      </c>
      <c r="F40" s="2503">
        <f ca="1">INDIRECT("'数据-取费表'!Am"&amp;$G$1)</f>
        <v>0.01</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1876</v>
      </c>
      <c r="B42" s="833" t="s">
        <v>693</v>
      </c>
      <c r="C42" s="827">
        <f ca="1">C7-C32</f>
        <v>1063</v>
      </c>
      <c r="D42" s="1961" t="s">
        <v>694</v>
      </c>
      <c r="E42" s="1963"/>
      <c r="F42" s="818"/>
      <c r="G42" s="2044"/>
      <c r="H42" s="2044"/>
      <c r="I42" s="2044"/>
      <c r="J42" s="2044"/>
      <c r="K42" s="2065"/>
      <c r="L42" s="2044"/>
      <c r="M42" s="2044"/>
    </row>
    <row r="43" spans="1:18" ht="18" customHeight="1">
      <c r="A43" s="801" t="s">
        <v>1877</v>
      </c>
      <c r="B43" s="833" t="s">
        <v>711</v>
      </c>
      <c r="C43" s="834">
        <f ca="1">ROUND(C15*F43,0)</f>
        <v>0</v>
      </c>
      <c r="D43" s="1350" t="s">
        <v>712</v>
      </c>
      <c r="E43" s="3068" t="s">
        <v>2949</v>
      </c>
      <c r="F43" s="3069">
        <f ca="1">INDIRECT("'数据-取费表'!j"&amp;$G$1)</f>
        <v>0</v>
      </c>
      <c r="G43" s="2044"/>
      <c r="H43" s="2044"/>
      <c r="I43" s="2044"/>
      <c r="J43" s="2044"/>
      <c r="K43" s="2065"/>
      <c r="L43" s="2044"/>
      <c r="M43" s="2044"/>
    </row>
    <row r="44" spans="1:18" ht="18" customHeight="1">
      <c r="A44" s="801" t="s">
        <v>1878</v>
      </c>
      <c r="B44" s="833" t="s">
        <v>713</v>
      </c>
      <c r="C44" s="1351">
        <f ca="1">C42-C43</f>
        <v>1063</v>
      </c>
      <c r="D44" s="461" t="s">
        <v>714</v>
      </c>
      <c r="E44" s="462"/>
      <c r="F44" s="463"/>
      <c r="G44" s="2044"/>
      <c r="H44" s="2044"/>
      <c r="I44" s="2044"/>
      <c r="J44" s="2044"/>
      <c r="K44" s="2065"/>
      <c r="L44" s="2044"/>
      <c r="M44" s="2044"/>
    </row>
    <row r="45" spans="1:18" ht="18" customHeight="1">
      <c r="A45" s="801" t="s">
        <v>1879</v>
      </c>
      <c r="B45" s="1350" t="s">
        <v>715</v>
      </c>
      <c r="C45" s="2986" t="e">
        <f ca="1">ROUND(-PV(F45,F46,C44,0),0)</f>
        <v>#N/A</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0" t="s">
        <v>2952</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2339</v>
      </c>
      <c r="J47" s="2340"/>
      <c r="K47" s="2341"/>
      <c r="L47" s="3102" t="str">
        <f ca="1">IF(M48="住宅",0,IF(L49&gt;J52,L61,J61))</f>
        <v>0</v>
      </c>
      <c r="O47" s="2355" t="s">
        <v>2406</v>
      </c>
      <c r="P47" s="1575"/>
      <c r="Q47" s="1586"/>
      <c r="R47" s="1575"/>
    </row>
    <row r="48" spans="1:18" s="2041" customFormat="1" ht="18" customHeight="1" thickBot="1">
      <c r="A48" s="2066"/>
      <c r="C48" s="2069"/>
      <c r="D48" s="2070"/>
      <c r="E48" s="2070"/>
      <c r="F48" s="2071"/>
      <c r="G48" s="2072"/>
      <c r="I48" s="3093" t="s">
        <v>2340</v>
      </c>
      <c r="J48" s="2342"/>
      <c r="K48" s="3099" t="s">
        <v>2345</v>
      </c>
      <c r="L48" s="3103">
        <f ca="1">INDIRECT("'数据-取费表'!d"&amp;$G$1)</f>
        <v>0</v>
      </c>
      <c r="M48" s="3067"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2" t="s">
        <v>2341</v>
      </c>
      <c r="J49" s="2343"/>
      <c r="K49" s="3100" t="s">
        <v>2347</v>
      </c>
      <c r="L49" s="1890">
        <f ca="1">INDIRECT("'数据-取费表'!f"&amp;$G$1)</f>
        <v>0</v>
      </c>
      <c r="O49" s="2359" t="s">
        <v>2375</v>
      </c>
      <c r="P49" s="2360" t="s">
        <v>2401</v>
      </c>
      <c r="Q49" s="2361" t="e">
        <f ca="1">C41+J31</f>
        <v>#N/A</v>
      </c>
      <c r="R49" s="2360" t="s">
        <v>2376</v>
      </c>
    </row>
    <row r="50" spans="1:18" s="2041" customFormat="1" ht="18" customHeight="1" thickBot="1">
      <c r="A50" s="2066"/>
      <c r="D50" s="2076"/>
      <c r="E50" s="2076"/>
      <c r="F50" s="2070"/>
      <c r="G50" s="2077"/>
      <c r="H50" s="2075"/>
      <c r="I50" s="3072" t="s">
        <v>2342</v>
      </c>
      <c r="J50" s="2344"/>
      <c r="K50" s="3101"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2" t="s">
        <v>2343</v>
      </c>
      <c r="J51" s="3097">
        <f>SUMPRODUCT((I64:I66=J48)*(J63:L63=J49)*(J64:L66))</f>
        <v>0</v>
      </c>
      <c r="K51" s="3101" t="s">
        <v>2349</v>
      </c>
      <c r="L51" s="2345"/>
      <c r="O51" s="2362" t="s">
        <v>2379</v>
      </c>
      <c r="P51" s="2360" t="s">
        <v>2403</v>
      </c>
      <c r="Q51" s="2361">
        <f ca="1">C31</f>
        <v>0</v>
      </c>
      <c r="R51" s="2360" t="s">
        <v>2376</v>
      </c>
    </row>
    <row r="52" spans="1:18" s="2041" customFormat="1" ht="18" customHeight="1" thickBot="1">
      <c r="A52" s="2078"/>
      <c r="F52" s="2067"/>
      <c r="I52" s="3094" t="s">
        <v>2344</v>
      </c>
      <c r="J52" s="3098">
        <f>IF(J50="",J51,J50+J51-YEAR('数据-取费表'!B3))</f>
        <v>0</v>
      </c>
      <c r="K52" s="3072" t="s">
        <v>2350</v>
      </c>
      <c r="L52" s="3104">
        <f ca="1">ROUND(-PV(INDIRECT("'数据-取费表'!h"&amp;$G$1),L49,(C40-C14*J36),0),0)</f>
        <v>0</v>
      </c>
      <c r="O52" s="2362" t="s">
        <v>2380</v>
      </c>
      <c r="P52" s="2360" t="s">
        <v>2381</v>
      </c>
      <c r="Q52" s="2363" t="e">
        <f ca="1">J59</f>
        <v>#VALUE!</v>
      </c>
      <c r="R52" s="2364"/>
    </row>
    <row r="53" spans="1:18" s="2041" customFormat="1" ht="18" customHeight="1" thickBot="1">
      <c r="A53" s="2078"/>
      <c r="F53" s="2067"/>
      <c r="I53" s="3095" t="s">
        <v>2417</v>
      </c>
      <c r="J53" s="2346"/>
      <c r="K53" s="3095" t="s">
        <v>2416</v>
      </c>
      <c r="L53" s="2346"/>
      <c r="O53" s="2362" t="s">
        <v>2382</v>
      </c>
      <c r="P53" s="2360" t="s">
        <v>2383</v>
      </c>
      <c r="Q53" s="2363">
        <f>J53</f>
        <v>0</v>
      </c>
      <c r="R53" s="2364"/>
    </row>
    <row r="54" spans="1:18" s="2041" customFormat="1" ht="29.25" thickBot="1">
      <c r="A54" s="2078"/>
      <c r="I54" s="3096" t="s">
        <v>2965</v>
      </c>
      <c r="J54" s="3175">
        <f ca="1">IF(M48="住宅",MAX(J52,L49-'数据-取费表'!B20),MIN(J52,L49-'数据-取费表'!B20))</f>
        <v>-3</v>
      </c>
      <c r="K54" s="3474"/>
      <c r="L54" s="3475"/>
      <c r="O54" s="2362" t="s">
        <v>2384</v>
      </c>
      <c r="P54" s="2360" t="s">
        <v>2385</v>
      </c>
      <c r="Q54" s="2361">
        <f ca="1">J54</f>
        <v>-3</v>
      </c>
      <c r="R54" s="2360" t="s">
        <v>2386</v>
      </c>
    </row>
    <row r="55" spans="1:18" s="2041" customFormat="1" ht="18" customHeight="1" thickBot="1">
      <c r="A55" s="2078"/>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9" t="s">
        <v>2387</v>
      </c>
      <c r="P55" s="2360" t="s">
        <v>2404</v>
      </c>
      <c r="Q55" s="2361" t="e">
        <f ca="1">Q49+Q50</f>
        <v>#N/A</v>
      </c>
      <c r="R55" s="2364" t="s">
        <v>2388</v>
      </c>
    </row>
    <row r="56" spans="1:18" s="2041" customFormat="1" ht="16.5" thickBot="1">
      <c r="A56" s="2078"/>
      <c r="B56" s="2079"/>
      <c r="C56" s="2079"/>
      <c r="I56" s="3107" t="s">
        <v>2351</v>
      </c>
      <c r="J56" s="3047" t="e">
        <f ca="1">ROUND(IF(J48="钢混",J58/J51,1-(1-2%)*(J51-J58)/J51),3)</f>
        <v>#VALUE!</v>
      </c>
      <c r="K56" s="3108" t="s">
        <v>2352</v>
      </c>
      <c r="L56" s="2347"/>
      <c r="O56" s="2365" t="s">
        <v>2407</v>
      </c>
      <c r="P56" s="1575"/>
      <c r="Q56" s="1586"/>
      <c r="R56" s="1575"/>
    </row>
    <row r="57" spans="1:18" s="2041" customFormat="1" ht="43.5" thickBot="1">
      <c r="A57" s="2078"/>
      <c r="B57" s="2079"/>
      <c r="C57" s="2079"/>
      <c r="I57" s="3109" t="s">
        <v>2353</v>
      </c>
      <c r="J57" s="3119" t="s">
        <v>1678</v>
      </c>
      <c r="K57" s="3072" t="s">
        <v>2358</v>
      </c>
      <c r="L57" s="1890">
        <f ca="1">IF(L49&lt;J52,"——",L49-J52)</f>
        <v>0</v>
      </c>
      <c r="O57" s="2356" t="s">
        <v>2371</v>
      </c>
      <c r="P57" s="2357" t="s">
        <v>2372</v>
      </c>
      <c r="Q57" s="2358" t="s">
        <v>2373</v>
      </c>
      <c r="R57" s="2357" t="s">
        <v>2374</v>
      </c>
    </row>
    <row r="58" spans="1:18" s="2041" customFormat="1" ht="29.25" thickBot="1">
      <c r="A58" s="2078"/>
      <c r="B58" s="2079"/>
      <c r="C58" s="2079"/>
      <c r="I58" s="3110" t="s">
        <v>2354</v>
      </c>
      <c r="J58" s="3111" t="str">
        <f ca="1">IF(OR(M48="住宅",J52&lt;L49,J57="是"),"——",J52-L49)</f>
        <v>——</v>
      </c>
      <c r="K58" s="3072" t="s">
        <v>2359</v>
      </c>
      <c r="L58" s="1890">
        <f ca="1">IF(L49&lt;J52,"——",IF(L56="比较法",L50,IF(L56="基准地价",L51,L52)))</f>
        <v>0</v>
      </c>
      <c r="O58" s="2359" t="s">
        <v>2375</v>
      </c>
      <c r="P58" s="2360" t="s">
        <v>2401</v>
      </c>
      <c r="Q58" s="2361" t="e">
        <f ca="1">C41+J31</f>
        <v>#N/A</v>
      </c>
      <c r="R58" s="2360" t="s">
        <v>2376</v>
      </c>
    </row>
    <row r="59" spans="1:18" s="2041" customFormat="1" ht="29.25" thickBot="1">
      <c r="A59" s="2078"/>
      <c r="B59" s="2079"/>
      <c r="C59" s="2079"/>
      <c r="I59" s="3110" t="s">
        <v>2355</v>
      </c>
      <c r="J59" s="3048" t="e">
        <f ca="1">IF(J56&lt;0.4,0.4,J56)</f>
        <v>#VALUE!</v>
      </c>
      <c r="K59" s="3072"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10" t="s">
        <v>2356</v>
      </c>
      <c r="J60" s="3111" t="str">
        <f ca="1">IF(OR(M48="住宅",J52&lt;L49,J57="是"),"——",ROUND(C30*J59,0))</f>
        <v>——</v>
      </c>
      <c r="K60" s="3072"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12" t="s">
        <v>2357</v>
      </c>
      <c r="J61" s="3113" t="str">
        <f ca="1">IF(OR(M48="住宅",J52&lt;L49,J57="是"),"0",ROUND(J60/(1+J53)^J54,0))</f>
        <v>0</v>
      </c>
      <c r="K61" s="3114" t="s">
        <v>2362</v>
      </c>
      <c r="L61" s="3113"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5" t="s">
        <v>2363</v>
      </c>
      <c r="J63" s="3116" t="s">
        <v>2364</v>
      </c>
      <c r="K63" s="3116" t="s">
        <v>2365</v>
      </c>
      <c r="L63" s="3116" t="s">
        <v>2346</v>
      </c>
      <c r="M63" s="3117" t="s">
        <v>2930</v>
      </c>
      <c r="O63" s="2362" t="s">
        <v>2384</v>
      </c>
      <c r="P63" s="2360" t="s">
        <v>2392</v>
      </c>
      <c r="Q63" s="2361">
        <f ca="1">L60</f>
        <v>0</v>
      </c>
      <c r="R63" s="2364" t="s">
        <v>2393</v>
      </c>
    </row>
    <row r="64" spans="1:18" s="2041" customFormat="1" ht="15.75" thickBot="1">
      <c r="A64" s="2078"/>
      <c r="B64" s="2079"/>
      <c r="C64" s="2079"/>
      <c r="I64" s="3115" t="s">
        <v>2366</v>
      </c>
      <c r="J64" s="3116">
        <v>70</v>
      </c>
      <c r="K64" s="3116">
        <v>50</v>
      </c>
      <c r="L64" s="3116">
        <v>80</v>
      </c>
      <c r="M64" s="3118">
        <v>0.02</v>
      </c>
      <c r="O64" s="2359" t="s">
        <v>2387</v>
      </c>
      <c r="P64" s="2360" t="s">
        <v>2404</v>
      </c>
      <c r="Q64" s="2361" t="e">
        <f ca="1">Q58+Q59</f>
        <v>#N/A</v>
      </c>
      <c r="R64" s="2364" t="s">
        <v>2388</v>
      </c>
    </row>
    <row r="65" spans="1:18" s="2041" customFormat="1" ht="16.5" thickBot="1">
      <c r="A65" s="2078"/>
      <c r="B65" s="2079"/>
      <c r="C65" s="2079"/>
      <c r="I65" s="3115" t="s">
        <v>2367</v>
      </c>
      <c r="J65" s="3116">
        <v>50</v>
      </c>
      <c r="K65" s="3116">
        <v>35</v>
      </c>
      <c r="L65" s="3116">
        <v>60</v>
      </c>
      <c r="M65" s="844">
        <v>0</v>
      </c>
      <c r="O65" s="2365" t="s">
        <v>2411</v>
      </c>
      <c r="P65" s="1575"/>
      <c r="Q65" s="1586"/>
      <c r="R65" s="1575"/>
    </row>
    <row r="66" spans="1:18" s="2041" customFormat="1" ht="15.75" thickBot="1">
      <c r="A66" s="2078"/>
      <c r="B66" s="2079"/>
      <c r="C66" s="2079"/>
      <c r="I66" s="3115" t="s">
        <v>2368</v>
      </c>
      <c r="J66" s="3116">
        <v>40</v>
      </c>
      <c r="K66" s="3116">
        <v>30</v>
      </c>
      <c r="L66" s="3116">
        <v>50</v>
      </c>
      <c r="M66" s="3118">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t="e">
        <f ca="1">C41+J31</f>
        <v>#N/A</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1063</v>
      </c>
      <c r="R70" s="2364"/>
    </row>
    <row r="71" spans="1:18" s="2041" customFormat="1" ht="15.75" thickBot="1">
      <c r="A71" s="2078"/>
      <c r="B71" s="2079"/>
      <c r="C71" s="2079"/>
      <c r="K71" s="2068"/>
      <c r="O71" s="2362" t="s">
        <v>2395</v>
      </c>
      <c r="P71" s="2368" t="s">
        <v>2396</v>
      </c>
      <c r="Q71" s="2361">
        <f ca="1">C42</f>
        <v>1063</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#N/A</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7" sqref="D17"/>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3004</v>
      </c>
      <c r="D1" s="3071" t="s">
        <v>3664</v>
      </c>
      <c r="E1" s="2348" t="s">
        <v>2370</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t="e">
        <f ca="1">C40+J29+L46</f>
        <v>#N/A</v>
      </c>
      <c r="C2" s="2039"/>
      <c r="D2" s="2037"/>
      <c r="E2" s="2038"/>
      <c r="F2" s="2038"/>
      <c r="G2" s="1573"/>
      <c r="H2" s="2039"/>
      <c r="I2" s="2039"/>
      <c r="J2" s="2039"/>
      <c r="K2" s="2040"/>
      <c r="L2" s="2039"/>
      <c r="M2" s="2039"/>
    </row>
    <row r="3" spans="1:33" ht="18" customHeight="1" thickBot="1">
      <c r="A3" s="831" t="s">
        <v>1727</v>
      </c>
      <c r="B3" s="832">
        <f ca="1">IF(ISERROR(B2*10000/F43),0,ROUND(B2*10000/F43,0))</f>
        <v>0</v>
      </c>
      <c r="C3" s="2039"/>
      <c r="D3" s="2037"/>
      <c r="E3" s="2038"/>
      <c r="F3" s="2038"/>
      <c r="G3" s="1573"/>
      <c r="H3" s="774" t="s">
        <v>695</v>
      </c>
      <c r="I3" s="1357"/>
      <c r="J3" s="1357"/>
      <c r="K3" s="1574"/>
      <c r="L3" s="1357"/>
      <c r="M3" s="1357"/>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2454</v>
      </c>
      <c r="C5" s="54" t="e">
        <f ca="1">C6+C10+C12</f>
        <v>#N/A</v>
      </c>
      <c r="D5" s="2457" t="s">
        <v>2457</v>
      </c>
      <c r="E5" s="2451"/>
      <c r="F5" s="2452"/>
      <c r="G5" s="1575"/>
      <c r="H5" s="779">
        <v>1</v>
      </c>
      <c r="I5" s="780" t="s">
        <v>2454</v>
      </c>
      <c r="J5" s="54" t="e">
        <f ca="1">J6+J10+J12</f>
        <v>#N/A</v>
      </c>
      <c r="K5" s="2457" t="s">
        <v>2457</v>
      </c>
      <c r="L5" s="2451"/>
      <c r="M5" s="2452"/>
    </row>
    <row r="6" spans="1:33" ht="18" customHeight="1">
      <c r="A6" s="1812" t="s">
        <v>1824</v>
      </c>
      <c r="B6" s="3470" t="s">
        <v>2459</v>
      </c>
      <c r="C6" s="781" t="e">
        <f ca="1">ROUND(F6*F8*F7*(1-F9)/10000,0)</f>
        <v>#N/A</v>
      </c>
      <c r="D6" s="2458" t="s">
        <v>2458</v>
      </c>
      <c r="E6" s="782" t="s">
        <v>1738</v>
      </c>
      <c r="F6" s="783" t="e">
        <f ca="1">INDIRECT("'数据-取费表'!u"&amp;$G$1)</f>
        <v>#N/A</v>
      </c>
      <c r="G6" s="1575"/>
      <c r="H6" s="2465" t="s">
        <v>2464</v>
      </c>
      <c r="I6" s="3470" t="s">
        <v>2459</v>
      </c>
      <c r="J6" s="781" t="e">
        <f ca="1">ROUND(M6*M8*M7*(1-M9)/10000,0)</f>
        <v>#N/A</v>
      </c>
      <c r="K6" s="339" t="s">
        <v>1737</v>
      </c>
      <c r="L6" s="782" t="s">
        <v>1738</v>
      </c>
      <c r="M6" s="783" t="e">
        <f ca="1">INDIRECT("'数据-取费表'!z"&amp;$G$1)</f>
        <v>#N/A</v>
      </c>
    </row>
    <row r="7" spans="1:33" ht="18" customHeight="1">
      <c r="A7" s="2461"/>
      <c r="B7" s="3471"/>
      <c r="C7" s="786"/>
      <c r="D7" s="787"/>
      <c r="E7" s="782" t="s">
        <v>1739</v>
      </c>
      <c r="F7" s="783" t="e">
        <f ca="1">IF(INDIRECT("'数据-取费表'!ah"&amp;$G$1)="",INDIRECT("'数据-取费表'!k"&amp;$G$1),INDIRECT("'数据-取费表'!ah"&amp;$G$1))</f>
        <v>#N/A</v>
      </c>
      <c r="G7" s="1575"/>
      <c r="H7" s="2450"/>
      <c r="I7" s="3471"/>
      <c r="J7" s="786"/>
      <c r="K7" s="787"/>
      <c r="L7" s="782" t="s">
        <v>1739</v>
      </c>
      <c r="M7" s="783" t="e">
        <f ca="1">F7</f>
        <v>#N/A</v>
      </c>
    </row>
    <row r="8" spans="1:33" ht="18" customHeight="1">
      <c r="A8" s="2454"/>
      <c r="B8" s="3472"/>
      <c r="C8" s="786"/>
      <c r="D8" s="787"/>
      <c r="E8" s="782" t="s">
        <v>1740</v>
      </c>
      <c r="F8" s="783" t="e">
        <f ca="1">INDIRECT("'数据-取费表'!ai"&amp;$G$1)</f>
        <v>#N/A</v>
      </c>
      <c r="G8" s="1575"/>
      <c r="H8" s="2450"/>
      <c r="I8" s="3472"/>
      <c r="J8" s="786"/>
      <c r="K8" s="787"/>
      <c r="L8" s="782" t="s">
        <v>1740</v>
      </c>
      <c r="M8" s="783" t="e">
        <f ca="1">INDIRECT("'数据-取费表'!ai"&amp;$G$1)</f>
        <v>#N/A</v>
      </c>
    </row>
    <row r="9" spans="1:33" ht="18" customHeight="1">
      <c r="A9" s="784"/>
      <c r="B9" s="3473"/>
      <c r="C9" s="786"/>
      <c r="D9" s="787"/>
      <c r="E9" s="782" t="s">
        <v>1741</v>
      </c>
      <c r="F9" s="792" t="e">
        <f ca="1">INDIRECT("'数据-取费表'!w"&amp;$G$1)</f>
        <v>#N/A</v>
      </c>
      <c r="G9" s="1575"/>
      <c r="H9" s="2466"/>
      <c r="I9" s="3472"/>
      <c r="J9" s="786"/>
      <c r="K9" s="787"/>
      <c r="L9" s="793" t="s">
        <v>1741</v>
      </c>
      <c r="M9" s="794" t="e">
        <f ca="1">INDIRECT("'数据-取费表'!ab"&amp;$G$1)</f>
        <v>#N/A</v>
      </c>
    </row>
    <row r="10" spans="1:33" ht="18" customHeight="1">
      <c r="A10" s="1812" t="s">
        <v>2462</v>
      </c>
      <c r="B10" s="2455" t="s">
        <v>2455</v>
      </c>
      <c r="C10" s="797">
        <f ca="1">ROUND(IF(F10="押一",C6/12*F11,IF(F10="押二",C6/12*2*F11,IF(F10="押三",C6/12*3*F11,C11*F11))),0)</f>
        <v>0</v>
      </c>
      <c r="D10" s="2462" t="s">
        <v>2961</v>
      </c>
      <c r="E10" s="2459" t="s">
        <v>2460</v>
      </c>
      <c r="F10" s="2582" t="s">
        <v>3665</v>
      </c>
      <c r="G10" s="1575"/>
      <c r="H10" s="2522" t="s">
        <v>2465</v>
      </c>
      <c r="I10" s="2527" t="s">
        <v>2455</v>
      </c>
      <c r="J10" s="781">
        <f ca="1">ROUND(IF(M10="押一",J6/12*M11,IF(M10="押二",J6/12*2*M11,IF(M10="押三",J6/12*3*M11,J11*M11))),0)</f>
        <v>0</v>
      </c>
      <c r="K10" s="2462" t="s">
        <v>2961</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1742</v>
      </c>
      <c r="C13" s="790" t="e">
        <f ca="1">ROUND(C29*F13,0)</f>
        <v>#N/A</v>
      </c>
      <c r="D13" s="1816" t="s">
        <v>2293</v>
      </c>
      <c r="E13" s="1816" t="s">
        <v>1744</v>
      </c>
      <c r="F13" s="2497" t="e">
        <f ca="1">INDIRECT("'数据-取费表'!y"&amp;$G$1)</f>
        <v>#N/A</v>
      </c>
      <c r="G13" s="1575"/>
      <c r="H13" s="1811">
        <v>2</v>
      </c>
      <c r="I13" s="1809" t="s">
        <v>1742</v>
      </c>
      <c r="J13" s="1801" t="e">
        <f ca="1">ROUND(J14*J15,0)</f>
        <v>#N/A</v>
      </c>
      <c r="K13" s="1803" t="s">
        <v>1743</v>
      </c>
      <c r="L13" s="2513"/>
      <c r="M13" s="2514"/>
    </row>
    <row r="14" spans="1:33" ht="18" customHeight="1">
      <c r="A14" s="1630" t="s">
        <v>1884</v>
      </c>
      <c r="B14" s="782" t="s">
        <v>645</v>
      </c>
      <c r="C14" s="802" t="e">
        <f ca="1">INDIRECT("'数据-取费表'!m"&amp;$G$1)+INDIRECT("'数据-取费表'!t"&amp;$G$1)</f>
        <v>#N/A</v>
      </c>
      <c r="D14" s="1961" t="s">
        <v>1745</v>
      </c>
      <c r="E14" s="1962"/>
      <c r="F14" s="803"/>
      <c r="G14" s="1575"/>
      <c r="H14" s="1631" t="s">
        <v>1830</v>
      </c>
      <c r="I14" s="2213" t="s">
        <v>2820</v>
      </c>
      <c r="J14" s="52" t="e">
        <f ca="1">C29</f>
        <v>#N/A</v>
      </c>
      <c r="K14" s="25"/>
      <c r="L14" s="799"/>
      <c r="M14" s="800"/>
    </row>
    <row r="15" spans="1:33" s="2046" customFormat="1" ht="18" customHeight="1" thickBot="1">
      <c r="A15" s="1630" t="s">
        <v>1885</v>
      </c>
      <c r="B15" s="782" t="s">
        <v>647</v>
      </c>
      <c r="C15" s="52" t="e">
        <f ca="1">ROUND(C14*F15,0)</f>
        <v>#N/A</v>
      </c>
      <c r="D15" s="804" t="s">
        <v>1746</v>
      </c>
      <c r="E15" s="804" t="s">
        <v>1747</v>
      </c>
      <c r="F15" s="805">
        <f>'数据-取费表'!B33</f>
        <v>0.05</v>
      </c>
      <c r="G15" s="1576"/>
      <c r="H15" s="2512" t="s">
        <v>1889</v>
      </c>
      <c r="I15" s="2507" t="s">
        <v>1744</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t="e">
        <f ca="1">ROUND(INDIRECT("'数据-取费表'!m"&amp;$G$1)*F16,0)</f>
        <v>#N/A</v>
      </c>
      <c r="D16" s="782" t="s">
        <v>1746</v>
      </c>
      <c r="E16" s="782" t="s">
        <v>1747</v>
      </c>
      <c r="F16" s="807" t="e">
        <f ca="1">IF(INDIRECT("'数据-取费表'!c"&amp;$G$1)="住宅",'数据-取费表'!B34,0)</f>
        <v>#N/A</v>
      </c>
      <c r="G16" s="1575"/>
      <c r="H16" s="1811" t="s">
        <v>1748</v>
      </c>
      <c r="I16" s="1809" t="s">
        <v>1749</v>
      </c>
      <c r="J16" s="790" t="e">
        <f ca="1">ROUND(J17+J22+J23+J24,0)</f>
        <v>#N/A</v>
      </c>
      <c r="K16" s="1803" t="s">
        <v>1750</v>
      </c>
      <c r="L16" s="2447"/>
      <c r="M16" s="2452"/>
    </row>
    <row r="17" spans="1:33" s="2046" customFormat="1" ht="18" customHeight="1">
      <c r="A17" s="1630" t="s">
        <v>1887</v>
      </c>
      <c r="B17" s="782" t="s">
        <v>653</v>
      </c>
      <c r="C17" s="52" t="e">
        <f ca="1">ROUND(F17*(F43+INDIRECT("'数据-取费表'!S"&amp;$G$1))/10000,0)</f>
        <v>#N/A</v>
      </c>
      <c r="D17" s="782" t="s">
        <v>1751</v>
      </c>
      <c r="E17" s="782" t="s">
        <v>1752</v>
      </c>
      <c r="F17" s="55">
        <f>'数据-取费表'!B35</f>
        <v>200</v>
      </c>
      <c r="G17" s="1576"/>
      <c r="H17" s="1631" t="s">
        <v>1830</v>
      </c>
      <c r="I17" s="782" t="s">
        <v>656</v>
      </c>
      <c r="J17" s="52" t="e">
        <f ca="1">ROUND(IF(项目基本情况!B11="自然人",J6*M17/(1+'数据-取费表'!C42),J18+J19+J20),0)</f>
        <v>#N/A</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t="e">
        <f ca="1">ROUND(C14*F18,0)</f>
        <v>#N/A</v>
      </c>
      <c r="D18" s="782" t="s">
        <v>1746</v>
      </c>
      <c r="E18" s="782" t="s">
        <v>1747</v>
      </c>
      <c r="F18" s="807">
        <f>'数据-取费表'!B36</f>
        <v>1.4999999999999999E-2</v>
      </c>
      <c r="G18" s="1576"/>
      <c r="H18" s="1630" t="s">
        <v>1884</v>
      </c>
      <c r="I18" s="782" t="s">
        <v>1755</v>
      </c>
      <c r="J18" s="52" t="e">
        <f ca="1">ROUND(J6*M18/(1+'数据-取费表'!C42),1)</f>
        <v>#N/A</v>
      </c>
      <c r="K18" s="2445" t="s">
        <v>1756</v>
      </c>
      <c r="L18" s="782" t="s">
        <v>1747</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t="e">
        <f ca="1">SUM(C14:C18)</f>
        <v>#N/A</v>
      </c>
      <c r="D19" s="260" t="s">
        <v>1757</v>
      </c>
      <c r="E19" s="1964"/>
      <c r="F19" s="55"/>
      <c r="G19" s="1575"/>
      <c r="H19" s="1630" t="s">
        <v>1885</v>
      </c>
      <c r="I19" s="782" t="s">
        <v>1758</v>
      </c>
      <c r="J19" s="52" t="e">
        <f ca="1">IF(K19="按租金收入计税",ROUND(J6*M19/(1+'数据-取费表'!C42),1),ROUND(C29*F33*0.7,1))</f>
        <v>#N/A</v>
      </c>
      <c r="K19" s="809" t="s">
        <v>665</v>
      </c>
      <c r="L19" s="782" t="s">
        <v>1747</v>
      </c>
      <c r="M19" s="807">
        <f>IF(K19="按租金收入计税",'数据-取费表'!B51,'数据-取费表'!B50)</f>
        <v>1.2E-2</v>
      </c>
    </row>
    <row r="20" spans="1:33" s="2046" customFormat="1" ht="18" customHeight="1">
      <c r="A20" s="1631" t="s">
        <v>1889</v>
      </c>
      <c r="B20" s="782" t="s">
        <v>666</v>
      </c>
      <c r="C20" s="52" t="e">
        <f ca="1">ROUND(C19*F20,0)</f>
        <v>#N/A</v>
      </c>
      <c r="D20" s="810" t="s">
        <v>1759</v>
      </c>
      <c r="E20" s="782" t="s">
        <v>1747</v>
      </c>
      <c r="F20" s="807">
        <f>'数据-取费表'!B37</f>
        <v>0.03</v>
      </c>
      <c r="G20" s="1576"/>
      <c r="H20" s="1633" t="s">
        <v>1880</v>
      </c>
      <c r="I20" s="339" t="s">
        <v>1760</v>
      </c>
      <c r="J20" s="53" t="e">
        <f ca="1">ROUND(M20*M21/10000,0)</f>
        <v>#N/A</v>
      </c>
      <c r="K20" s="812" t="s">
        <v>1761</v>
      </c>
      <c r="L20" s="782" t="s">
        <v>1762</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2294</v>
      </c>
      <c r="E21" s="782" t="s">
        <v>1765</v>
      </c>
      <c r="F21" s="807">
        <f>'数据-取费表'!B38</f>
        <v>0.03</v>
      </c>
      <c r="G21" s="1576"/>
      <c r="H21" s="2467"/>
      <c r="I21" s="791"/>
      <c r="J21" s="68"/>
      <c r="K21" s="814"/>
      <c r="L21" s="782" t="s">
        <v>1766</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t="e">
        <f ca="1">ROUND(J14*M22,0)</f>
        <v>#N/A</v>
      </c>
      <c r="K22" s="2445" t="s">
        <v>1769</v>
      </c>
      <c r="L22" s="782" t="s">
        <v>1747</v>
      </c>
      <c r="M22" s="815" t="e">
        <f ca="1">INDIRECT("'数据-取费表'!Ak"&amp;$G$1)</f>
        <v>#N/A</v>
      </c>
    </row>
    <row r="23" spans="1:33" s="2046" customFormat="1" ht="18" customHeight="1">
      <c r="A23" s="1630" t="s">
        <v>1831</v>
      </c>
      <c r="B23" s="782" t="s">
        <v>2531</v>
      </c>
      <c r="C23" s="52" t="e">
        <f ca="1">ROUND(IF('数据-取费表'!B22&lt;=1,(C19+C20)*F24*F23/2,(C19+C20)*(POWER((1+F24),F23/2)-1)),0)</f>
        <v>#N/A</v>
      </c>
      <c r="D23" s="2532" t="str">
        <f>IF(F23&lt;=1,"(建造成本+管理费用)×利率×(建设周期÷2)","(建造成本+管理费用)×((1+利率)^(建设周期÷2)-1)")</f>
        <v>(建造成本+管理费用)×((1+利率)^(建设周期÷2)-1)</v>
      </c>
      <c r="E23" s="782" t="s">
        <v>1770</v>
      </c>
      <c r="F23" s="638">
        <f>'数据-取费表'!B20</f>
        <v>3</v>
      </c>
      <c r="G23" s="1576"/>
      <c r="H23" s="1631" t="s">
        <v>1890</v>
      </c>
      <c r="I23" s="782" t="s">
        <v>679</v>
      </c>
      <c r="J23" s="52" t="e">
        <f ca="1">ROUND(J13*M23,0)</f>
        <v>#N/A</v>
      </c>
      <c r="K23" s="2445" t="s">
        <v>1771</v>
      </c>
      <c r="L23" s="782" t="s">
        <v>1747</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2.2000000000000001E-3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t="e">
        <f ca="1">ROUND(J5*M24,0)</f>
        <v>#N/A</v>
      </c>
      <c r="K24" s="2506" t="s">
        <v>1774</v>
      </c>
      <c r="L24" s="2507" t="s">
        <v>1747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60" t="s">
        <v>1775</v>
      </c>
      <c r="E25" s="1964"/>
      <c r="F25" s="55"/>
      <c r="G25" s="1575"/>
      <c r="H25" s="1811" t="s">
        <v>1776</v>
      </c>
      <c r="I25" s="2959" t="s">
        <v>2816</v>
      </c>
      <c r="J25" s="790" t="e">
        <f ca="1">J5-J16</f>
        <v>#N/A</v>
      </c>
      <c r="K25" s="2509" t="s">
        <v>1777</v>
      </c>
      <c r="L25" s="2510"/>
      <c r="M25" s="2511"/>
    </row>
    <row r="26" spans="1:33" ht="18" customHeight="1">
      <c r="A26" s="1630" t="s">
        <v>1831</v>
      </c>
      <c r="B26" s="782" t="s">
        <v>2434</v>
      </c>
      <c r="C26" s="52" t="e">
        <f ca="1">ROUND((C19+C20)*F26,0)</f>
        <v>#N/A</v>
      </c>
      <c r="D26" s="810" t="s">
        <v>1778</v>
      </c>
      <c r="E26" s="793" t="s">
        <v>1779</v>
      </c>
      <c r="F26" s="792" t="e">
        <f ca="1">INDIRECT("'数据-取费表'!q"&amp;$G$1)</f>
        <v>#N/A</v>
      </c>
      <c r="G26" s="1575"/>
      <c r="H26" s="2463" t="s">
        <v>1780</v>
      </c>
      <c r="I26" s="2214" t="s">
        <v>2821</v>
      </c>
      <c r="J26" s="781" t="e">
        <f ca="1">IF(J5&lt;&gt;0,ROUND(J25*(1-((1+M28)/(1+M26))^M27)/(M26-M28),0),0)</f>
        <v>#N/A</v>
      </c>
      <c r="K26" s="812" t="s">
        <v>1781</v>
      </c>
      <c r="L26" s="782" t="s">
        <v>2415</v>
      </c>
      <c r="M26" s="792" t="e">
        <f ca="1">INDIRECT("'数据-取费表'!I"&amp;$G$1)</f>
        <v>#N/A</v>
      </c>
    </row>
    <row r="27" spans="1:33" ht="18" customHeight="1">
      <c r="A27" s="1630" t="s">
        <v>1832</v>
      </c>
      <c r="B27" s="782" t="s">
        <v>686</v>
      </c>
      <c r="C27" s="52" t="e">
        <f ca="1">ROUND(F21*F26,4)</f>
        <v>#N/A</v>
      </c>
      <c r="D27" s="810" t="s">
        <v>1782</v>
      </c>
      <c r="E27" s="804"/>
      <c r="F27" s="805"/>
      <c r="G27" s="1575"/>
      <c r="H27" s="2464"/>
      <c r="I27" s="785"/>
      <c r="J27" s="786"/>
      <c r="K27" s="819" t="s">
        <v>1783</v>
      </c>
      <c r="L27" s="782" t="s">
        <v>1784</v>
      </c>
      <c r="M27" s="820" t="e">
        <f ca="1">INDIRECT("'数据-取费表'!ag"&amp;$G$1)</f>
        <v>#N/A</v>
      </c>
    </row>
    <row r="28" spans="1:33" s="2046" customFormat="1" ht="18" customHeight="1">
      <c r="A28" s="1632" t="s">
        <v>1841</v>
      </c>
      <c r="B28" s="782" t="s">
        <v>687</v>
      </c>
      <c r="C28" s="52">
        <f>ROUND(F28/(1+'数据-取费表'!C42),4)</f>
        <v>5.33E-2</v>
      </c>
      <c r="D28" s="810" t="s">
        <v>2295</v>
      </c>
      <c r="E28" s="782" t="s">
        <v>1785</v>
      </c>
      <c r="F28" s="807">
        <f>'数据-取费表'!B41</f>
        <v>5.6000000000000001E-2</v>
      </c>
      <c r="G28" s="1576"/>
      <c r="H28" s="1811"/>
      <c r="I28" s="789"/>
      <c r="J28" s="790"/>
      <c r="K28" s="814"/>
      <c r="L28" s="782" t="s">
        <v>1786</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2296</v>
      </c>
      <c r="C29" s="2505" t="e">
        <f ca="1">ROUND((C19+C20+C23+C26)/(1-F21-C24-C27-C28),0)</f>
        <v>#N/A</v>
      </c>
      <c r="D29" s="2506"/>
      <c r="E29" s="2507"/>
      <c r="F29" s="2508"/>
      <c r="G29" s="1576"/>
      <c r="H29" s="821" t="s">
        <v>1787</v>
      </c>
      <c r="I29" s="822" t="s">
        <v>1788</v>
      </c>
      <c r="J29" s="823" t="e">
        <f ca="1">ROUND(J26/(1+F40)^F41,0)</f>
        <v>#N/A</v>
      </c>
      <c r="K29" s="824" t="s">
        <v>1789</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t="e">
        <f ca="1">ROUND(C31+C36+C37+C38,0)</f>
        <v>#N/A</v>
      </c>
      <c r="D30" s="1803" t="s">
        <v>1791</v>
      </c>
      <c r="E30" s="2447"/>
      <c r="F30" s="2452"/>
      <c r="G30" s="2044"/>
      <c r="H30" s="2047"/>
      <c r="I30" s="2048"/>
      <c r="J30" s="2049"/>
      <c r="K30" s="2050"/>
      <c r="L30" s="2051"/>
      <c r="M30" s="2052"/>
    </row>
    <row r="31" spans="1:33" ht="18" customHeight="1">
      <c r="A31" s="1631" t="s">
        <v>1830</v>
      </c>
      <c r="B31" s="782" t="s">
        <v>656</v>
      </c>
      <c r="C31" s="52" t="e">
        <f ca="1">ROUND(IF(项目基本情况!B11="自然人",C6*F31/(1+'数据-取费表'!C42),C32+C33+C34),1)</f>
        <v>#N/A</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t="e">
        <f ca="1">ROUND(C6*F32/(1+'数据-取费表'!C42),1)</f>
        <v>#N/A</v>
      </c>
      <c r="D32" s="1959" t="s">
        <v>1795</v>
      </c>
      <c r="E32" s="782" t="s">
        <v>1796</v>
      </c>
      <c r="F32" s="807">
        <f>'数据-取费表'!B41</f>
        <v>5.6000000000000001E-2</v>
      </c>
      <c r="G32" s="2044"/>
      <c r="H32" s="2053"/>
      <c r="I32" s="2054"/>
      <c r="J32" s="2055"/>
      <c r="K32" s="2056"/>
      <c r="L32" s="2057"/>
      <c r="M32" s="2058"/>
    </row>
    <row r="33" spans="1:18" ht="18" customHeight="1">
      <c r="A33" s="1630" t="s">
        <v>1832</v>
      </c>
      <c r="B33" s="782" t="s">
        <v>1797</v>
      </c>
      <c r="C33" s="52" t="e">
        <f ca="1">IF(D33="按租金收入计税",ROUND(C6*F33/(1+'数据-取费表'!C42),1),IF(D33="按房产原值计税",ROUND(C29*F33*0.7,1),INDIRECT("'数据-取费表'!Aj"&amp;$G$1)))</f>
        <v>#N/A</v>
      </c>
      <c r="D33" s="809" t="s">
        <v>3666</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53" t="e">
        <f ca="1">ROUND(F34*F35/10000,1)</f>
        <v>#N/A</v>
      </c>
      <c r="D34" s="812" t="s">
        <v>1799</v>
      </c>
      <c r="E34" s="782" t="s">
        <v>1800</v>
      </c>
      <c r="F34" s="638">
        <f>'数据-取费表'!B52</f>
        <v>1.5</v>
      </c>
      <c r="G34" s="2044"/>
      <c r="H34" s="2047"/>
      <c r="I34" s="833" t="s">
        <v>1813</v>
      </c>
      <c r="J34" s="834"/>
      <c r="K34" s="2062"/>
      <c r="L34" s="2061"/>
      <c r="M34" s="2061"/>
    </row>
    <row r="35" spans="1:18" ht="18" customHeight="1">
      <c r="A35" s="813"/>
      <c r="B35" s="791"/>
      <c r="C35" s="68"/>
      <c r="D35" s="814"/>
      <c r="E35" s="782" t="s">
        <v>1801</v>
      </c>
      <c r="F35" s="783" t="e">
        <f ca="1">INDIRECT("'数据-取费表'!r"&amp;$G$1)</f>
        <v>#N/A</v>
      </c>
      <c r="G35" s="2044"/>
      <c r="H35" s="2047"/>
      <c r="I35" s="835" t="s">
        <v>1814</v>
      </c>
      <c r="J35" s="836" t="e">
        <f ca="1">ROUND(C13*J36,0)</f>
        <v>#N/A</v>
      </c>
      <c r="K35" s="2060"/>
      <c r="L35" s="2059"/>
      <c r="M35" s="2059"/>
    </row>
    <row r="36" spans="1:18" ht="18" customHeight="1">
      <c r="A36" s="1631" t="s">
        <v>1889</v>
      </c>
      <c r="B36" s="782" t="s">
        <v>1802</v>
      </c>
      <c r="C36" s="52" t="e">
        <f ca="1">ROUND(C29*F36,1)</f>
        <v>#N/A</v>
      </c>
      <c r="D36" s="1959" t="s">
        <v>1803</v>
      </c>
      <c r="E36" s="782" t="s">
        <v>1796</v>
      </c>
      <c r="F36" s="815" t="e">
        <f ca="1">INDIRECT("'数据-取费表'!Ak"&amp;$G$1)</f>
        <v>#N/A</v>
      </c>
      <c r="G36" s="2044"/>
      <c r="H36" s="2059"/>
      <c r="I36" s="837" t="s">
        <v>1815</v>
      </c>
      <c r="J36" s="838" t="e">
        <f ca="1">INDIRECT("'数据-取费表'!j"&amp;$G$1)</f>
        <v>#N/A</v>
      </c>
      <c r="K36" s="2064"/>
      <c r="L36" s="2059"/>
      <c r="M36" s="2059"/>
    </row>
    <row r="37" spans="1:18" ht="18" customHeight="1">
      <c r="A37" s="1631" t="s">
        <v>1890</v>
      </c>
      <c r="B37" s="782" t="s">
        <v>679</v>
      </c>
      <c r="C37" s="52" t="e">
        <f ca="1">ROUND(C13*F37,1)</f>
        <v>#N/A</v>
      </c>
      <c r="D37" s="1959" t="s">
        <v>1804</v>
      </c>
      <c r="E37" s="782" t="s">
        <v>1796</v>
      </c>
      <c r="F37" s="816" t="e">
        <f ca="1">INDIRECT("'数据-取费表'!Al"&amp;$G$1)</f>
        <v>#N/A</v>
      </c>
      <c r="G37" s="2044"/>
      <c r="H37" s="2059"/>
      <c r="I37" s="839" t="s">
        <v>1816</v>
      </c>
      <c r="J37" s="840"/>
      <c r="K37" s="2064"/>
      <c r="L37" s="2059"/>
      <c r="M37" s="2059"/>
    </row>
    <row r="38" spans="1:18" ht="18" customHeight="1" thickBot="1">
      <c r="A38" s="2512" t="s">
        <v>1891</v>
      </c>
      <c r="B38" s="2507" t="s">
        <v>666</v>
      </c>
      <c r="C38" s="2505" t="e">
        <f ca="1">ROUND(C5*F38,1)</f>
        <v>#N/A</v>
      </c>
      <c r="D38" s="2506" t="s">
        <v>1805</v>
      </c>
      <c r="E38" s="2507" t="s">
        <v>1796</v>
      </c>
      <c r="F38" s="2503" t="e">
        <f ca="1">INDIRECT("'数据-取费表'!Am"&amp;$G$1)</f>
        <v>#N/A</v>
      </c>
      <c r="G38" s="2044"/>
      <c r="H38" s="2059"/>
      <c r="I38" s="841" t="s">
        <v>1817</v>
      </c>
      <c r="J38" s="842"/>
      <c r="K38" s="2065"/>
      <c r="L38" s="2059"/>
      <c r="M38" s="2059"/>
    </row>
    <row r="39" spans="1:18" ht="24.6" customHeight="1" thickTop="1">
      <c r="A39" s="1811" t="s">
        <v>1894</v>
      </c>
      <c r="B39" s="2959" t="s">
        <v>2816</v>
      </c>
      <c r="C39" s="790" t="e">
        <f ca="1">C5-C30</f>
        <v>#N/A</v>
      </c>
      <c r="D39" s="2509" t="s">
        <v>1806</v>
      </c>
      <c r="E39" s="2510"/>
      <c r="F39" s="2511"/>
      <c r="G39" s="2044"/>
      <c r="H39" s="2059"/>
      <c r="I39" s="835" t="s">
        <v>1818</v>
      </c>
      <c r="J39" s="843" t="e">
        <f ca="1">ROUND(J35/C39,3)</f>
        <v>#N/A</v>
      </c>
      <c r="K39" s="2065"/>
      <c r="L39" s="2059"/>
      <c r="M39" s="2059"/>
    </row>
    <row r="40" spans="1:18" ht="18" customHeight="1">
      <c r="A40" s="779" t="s">
        <v>1895</v>
      </c>
      <c r="B40" s="2214" t="s">
        <v>2297</v>
      </c>
      <c r="C40" s="781" t="e">
        <f ca="1">ROUND(C39*(1-((1+F42)/(1+F40))^F41)/(F40-F42),0)</f>
        <v>#N/A</v>
      </c>
      <c r="D40" s="812" t="s">
        <v>1807</v>
      </c>
      <c r="E40" s="782" t="s">
        <v>2415</v>
      </c>
      <c r="F40" s="792" t="e">
        <f ca="1">INDIRECT("'数据-取费表'!I"&amp;$G$1)</f>
        <v>#N/A</v>
      </c>
      <c r="G40" s="2044"/>
      <c r="H40" s="2044"/>
      <c r="I40" s="835" t="s">
        <v>1819</v>
      </c>
      <c r="J40" s="843" t="e">
        <f ca="1">1-J39</f>
        <v>#N/A</v>
      </c>
      <c r="K40" s="2065"/>
      <c r="L40" s="2044"/>
      <c r="M40" s="2044"/>
    </row>
    <row r="41" spans="1:18" ht="18" customHeight="1">
      <c r="A41" s="784"/>
      <c r="B41" s="785"/>
      <c r="C41" s="786"/>
      <c r="D41" s="819" t="s">
        <v>1808</v>
      </c>
      <c r="E41" s="782" t="s">
        <v>2951</v>
      </c>
      <c r="F41" s="820" t="e">
        <f ca="1">IF(INDIRECT("'数据-取费表'!af"&amp;$G$1)=0,INDIRECT("'数据-取费表'!ae"&amp;$G$1),INDIRECT("'数据-取费表'!af"&amp;$G$1))</f>
        <v>#N/A</v>
      </c>
      <c r="G41" s="2044"/>
      <c r="H41" s="1970"/>
      <c r="I41" s="841" t="s">
        <v>1820</v>
      </c>
      <c r="J41" s="844"/>
      <c r="K41" s="2064"/>
      <c r="L41" s="1970"/>
      <c r="M41" s="1970"/>
    </row>
    <row r="42" spans="1:18" ht="18" customHeight="1">
      <c r="A42" s="788"/>
      <c r="B42" s="789"/>
      <c r="C42" s="790"/>
      <c r="D42" s="814"/>
      <c r="E42" s="782" t="s">
        <v>1809</v>
      </c>
      <c r="F42" s="792" t="e">
        <f ca="1">INDIRECT("'数据-取费表'!v"&amp;$G$1)</f>
        <v>#N/A</v>
      </c>
      <c r="G42" s="2044"/>
      <c r="H42" s="1970"/>
      <c r="I42" s="845" t="s">
        <v>1821</v>
      </c>
      <c r="J42" s="843" t="e">
        <f ca="1">ROUND(C13/C40,3)</f>
        <v>#N/A</v>
      </c>
      <c r="K42" s="2064"/>
      <c r="L42" s="1970"/>
      <c r="M42" s="1970"/>
    </row>
    <row r="43" spans="1:18" ht="18" customHeight="1" thickBot="1">
      <c r="A43" s="821" t="s">
        <v>1787</v>
      </c>
      <c r="B43" s="822" t="s">
        <v>1810</v>
      </c>
      <c r="C43" s="823" t="e">
        <f ca="1">ROUND(C40*10000/F43,0)</f>
        <v>#N/A</v>
      </c>
      <c r="D43" s="824" t="s">
        <v>1811</v>
      </c>
      <c r="E43" s="825" t="s">
        <v>1812</v>
      </c>
      <c r="F43" s="826" t="e">
        <f ca="1">INDIRECT("'数据-取费表'!k"&amp;$G$1)</f>
        <v>#N/A</v>
      </c>
      <c r="G43" s="2044"/>
      <c r="H43" s="1970"/>
      <c r="I43" s="845" t="s">
        <v>1822</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t="e">
        <f ca="1">C67-C40</f>
        <v>#N/A</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t="e">
        <f ca="1">C48+C52+C54</f>
        <v>#N/A</v>
      </c>
      <c r="D47" s="2067"/>
      <c r="E47" s="2067"/>
      <c r="F47" s="2067"/>
      <c r="I47" s="3093" t="s">
        <v>2340</v>
      </c>
      <c r="J47" s="2342" t="s">
        <v>3667</v>
      </c>
      <c r="K47" s="3099" t="s">
        <v>2345</v>
      </c>
      <c r="L47" s="3103" t="e">
        <f ca="1">INDIRECT("'数据-取费表'!d"&amp;$G$1)</f>
        <v>#N/A</v>
      </c>
      <c r="M47" s="1586" t="str">
        <f>IF(ISNUMBER(FIND("住宅",C1)),"住宅","非住宅")</f>
        <v>非住宅</v>
      </c>
      <c r="O47" s="2356" t="s">
        <v>2371</v>
      </c>
      <c r="P47" s="2357" t="s">
        <v>2372</v>
      </c>
      <c r="Q47" s="2358" t="s">
        <v>2373</v>
      </c>
      <c r="R47" s="2357" t="s">
        <v>2374</v>
      </c>
    </row>
    <row r="48" spans="1:18" s="2041" customFormat="1" ht="18" customHeight="1" thickBot="1">
      <c r="A48" s="2603" t="s">
        <v>2533</v>
      </c>
      <c r="B48" s="2604" t="s">
        <v>2534</v>
      </c>
      <c r="C48" s="2335" t="e">
        <f ca="1">ROUND(F48*F50*F49*(1-F51)/10000,0)</f>
        <v>#N/A</v>
      </c>
      <c r="D48" s="2336" t="s">
        <v>636</v>
      </c>
      <c r="E48" s="2337" t="s">
        <v>2292</v>
      </c>
      <c r="F48" s="2338"/>
      <c r="G48" s="2072"/>
      <c r="I48" s="3072" t="s">
        <v>2341</v>
      </c>
      <c r="J48" s="2343" t="s">
        <v>2346</v>
      </c>
      <c r="K48" s="3100" t="s">
        <v>2347</v>
      </c>
      <c r="L48" s="1890" t="e">
        <f ca="1">INDIRECT("'数据-取费表'!f"&amp;$G$1)</f>
        <v>#N/A</v>
      </c>
      <c r="O48" s="2359" t="s">
        <v>2375</v>
      </c>
      <c r="P48" s="2360" t="s">
        <v>2401</v>
      </c>
      <c r="Q48" s="2361" t="e">
        <f ca="1">C40+J29</f>
        <v>#N/A</v>
      </c>
      <c r="R48" s="2360" t="s">
        <v>2376</v>
      </c>
    </row>
    <row r="49" spans="1:18" s="2041" customFormat="1" ht="18" customHeight="1" thickBot="1">
      <c r="A49" s="784"/>
      <c r="B49" s="785"/>
      <c r="C49" s="786"/>
      <c r="D49" s="787"/>
      <c r="E49" s="782" t="s">
        <v>1739</v>
      </c>
      <c r="F49" s="783" t="e">
        <f ca="1">F7</f>
        <v>#N/A</v>
      </c>
      <c r="G49" s="2072"/>
      <c r="H49" s="2075"/>
      <c r="I49" s="3072" t="s">
        <v>2342</v>
      </c>
      <c r="J49" s="2344">
        <v>2022</v>
      </c>
      <c r="K49" s="3101" t="s">
        <v>2348</v>
      </c>
      <c r="L49" s="2345"/>
      <c r="O49" s="2359" t="s">
        <v>2377</v>
      </c>
      <c r="P49" s="2360" t="s">
        <v>2402</v>
      </c>
      <c r="Q49" s="2361" t="e">
        <f ca="1">J60</f>
        <v>#N/A</v>
      </c>
      <c r="R49" s="2360" t="s">
        <v>2378</v>
      </c>
    </row>
    <row r="50" spans="1:18" s="2041" customFormat="1" ht="18" customHeight="1" thickBot="1">
      <c r="A50" s="784"/>
      <c r="B50" s="785"/>
      <c r="C50" s="786"/>
      <c r="D50" s="787"/>
      <c r="E50" s="782" t="s">
        <v>1740</v>
      </c>
      <c r="F50" s="783" t="e">
        <f ca="1">F8</f>
        <v>#N/A</v>
      </c>
      <c r="G50" s="2077"/>
      <c r="H50" s="2075"/>
      <c r="I50" s="3072" t="s">
        <v>2343</v>
      </c>
      <c r="J50" s="3097">
        <f>SUMPRODUCT((I63:I65=J47)*(J62:L62=J48)*(J63:L65))</f>
        <v>60</v>
      </c>
      <c r="K50" s="3101" t="s">
        <v>2349</v>
      </c>
      <c r="L50" s="2345"/>
      <c r="O50" s="2362" t="s">
        <v>2379</v>
      </c>
      <c r="P50" s="2360" t="s">
        <v>2403</v>
      </c>
      <c r="Q50" s="2361" t="e">
        <f ca="1">C29</f>
        <v>#N/A</v>
      </c>
      <c r="R50" s="2360" t="s">
        <v>2376</v>
      </c>
    </row>
    <row r="51" spans="1:18" s="2041" customFormat="1" ht="18" customHeight="1" thickBot="1">
      <c r="A51" s="784"/>
      <c r="B51" s="785"/>
      <c r="C51" s="786"/>
      <c r="D51" s="787"/>
      <c r="E51" s="782" t="s">
        <v>640</v>
      </c>
      <c r="F51" s="2332"/>
      <c r="H51" s="2075"/>
      <c r="I51" s="3094" t="s">
        <v>2344</v>
      </c>
      <c r="J51" s="3098">
        <f>IF(J49="",J50,J49+J50-YEAR('数据-取费表'!B2))</f>
        <v>62</v>
      </c>
      <c r="K51" s="3072" t="s">
        <v>2350</v>
      </c>
      <c r="L51" s="3104" t="e">
        <f ca="1">ROUND(-PV(INDIRECT("'数据-取费表'!h"&amp;$G$1),L48,(C39-C13*J36),0),0)</f>
        <v>#N/A</v>
      </c>
      <c r="O51" s="2362" t="s">
        <v>2380</v>
      </c>
      <c r="P51" s="2360" t="s">
        <v>2381</v>
      </c>
      <c r="Q51" s="2363" t="e">
        <f ca="1">J58</f>
        <v>#N/A</v>
      </c>
      <c r="R51" s="2364"/>
    </row>
    <row r="52" spans="1:18" s="2041" customFormat="1" ht="18" customHeight="1" thickBot="1">
      <c r="A52" s="779" t="s">
        <v>2532</v>
      </c>
      <c r="B52" s="2455" t="s">
        <v>2455</v>
      </c>
      <c r="C52" s="797">
        <f ca="1">ROUND(IF(F52="押一",C48/12*F11,IF(F52="押二",C48/12*2*F11,IF(F52="押三",C48/12*3*F11,C53*F11))),0)</f>
        <v>0</v>
      </c>
      <c r="D52" s="2462" t="s">
        <v>2962</v>
      </c>
      <c r="E52" s="2459" t="s">
        <v>2460</v>
      </c>
      <c r="F52" s="2582"/>
      <c r="I52" s="3095" t="s">
        <v>2417</v>
      </c>
      <c r="J52" s="2346">
        <v>0.09</v>
      </c>
      <c r="K52" s="3095" t="s">
        <v>2416</v>
      </c>
      <c r="L52" s="2346"/>
      <c r="O52" s="2362" t="s">
        <v>2382</v>
      </c>
      <c r="P52" s="2360" t="s">
        <v>2383</v>
      </c>
      <c r="Q52" s="2363">
        <f>J52</f>
        <v>0.09</v>
      </c>
      <c r="R52" s="2364"/>
    </row>
    <row r="53" spans="1:18" s="2041" customFormat="1" ht="39.75" customHeight="1" thickBot="1">
      <c r="A53" s="784"/>
      <c r="B53" s="2456" t="s">
        <v>2569</v>
      </c>
      <c r="C53" s="2460"/>
      <c r="D53" s="2462"/>
      <c r="E53" s="2459"/>
      <c r="F53" s="798"/>
      <c r="I53" s="3096" t="s">
        <v>2965</v>
      </c>
      <c r="J53" s="3175" t="e">
        <f ca="1">IF(M47="住宅",IF(D1="——",MAX(J51,L48),MAX(J51,L48-'数据-取费表'!B20)),IF(D1="——",MIN(J51,L48),MIN(J51,L48-'数据-取费表'!B20)))</f>
        <v>#N/A</v>
      </c>
      <c r="K53" s="3476" t="s">
        <v>2953</v>
      </c>
      <c r="L53" s="3477"/>
      <c r="O53" s="2362" t="s">
        <v>2384</v>
      </c>
      <c r="P53" s="2360" t="s">
        <v>2385</v>
      </c>
      <c r="Q53" s="2361" t="e">
        <f ca="1">J53</f>
        <v>#N/A</v>
      </c>
      <c r="R53" s="2360" t="s">
        <v>2386</v>
      </c>
    </row>
    <row r="54" spans="1:18" s="2041" customFormat="1" ht="18" customHeight="1" thickBot="1">
      <c r="A54" s="2498" t="s">
        <v>2463</v>
      </c>
      <c r="B54" s="2499" t="s">
        <v>2456</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2387</v>
      </c>
      <c r="P54" s="2360" t="s">
        <v>2404</v>
      </c>
      <c r="Q54" s="2361" t="e">
        <f ca="1">Q48+Q49</f>
        <v>#N/A</v>
      </c>
      <c r="R54" s="2364" t="s">
        <v>2388</v>
      </c>
    </row>
    <row r="55" spans="1:18" s="2041" customFormat="1" ht="18" customHeight="1" thickTop="1" thickBot="1">
      <c r="A55" s="795">
        <v>2</v>
      </c>
      <c r="B55" s="796" t="s">
        <v>644</v>
      </c>
      <c r="C55" s="797" t="e">
        <f ca="1">C13</f>
        <v>#N/A</v>
      </c>
      <c r="D55" s="793"/>
      <c r="E55" s="793"/>
      <c r="F55" s="798"/>
      <c r="I55" s="3107" t="s">
        <v>2351</v>
      </c>
      <c r="J55" s="3047" t="e">
        <f ca="1">ROUND(IF(J47="钢混",J57/J50,1-(1-2%)*(J50-J57)/J50),3)</f>
        <v>#N/A</v>
      </c>
      <c r="K55" s="3108" t="s">
        <v>2352</v>
      </c>
      <c r="L55" s="2347"/>
      <c r="O55" s="2365" t="s">
        <v>2407</v>
      </c>
      <c r="P55" s="1575"/>
      <c r="Q55" s="1586"/>
      <c r="R55" s="1575"/>
    </row>
    <row r="56" spans="1:18" s="2041" customFormat="1" ht="42.75" customHeight="1" thickBot="1">
      <c r="A56" s="1632"/>
      <c r="B56" s="2213" t="s">
        <v>2298</v>
      </c>
      <c r="C56" s="52" t="e">
        <f ca="1">C29</f>
        <v>#N/A</v>
      </c>
      <c r="D56" s="2600"/>
      <c r="E56" s="782"/>
      <c r="F56" s="807"/>
      <c r="I56" s="3109" t="s">
        <v>2353</v>
      </c>
      <c r="J56" s="3119" t="s">
        <v>1678</v>
      </c>
      <c r="K56" s="3072" t="s">
        <v>2358</v>
      </c>
      <c r="L56" s="1890" t="e">
        <f ca="1">IF(L48&lt;J51,"——",L48-J51)</f>
        <v>#N/A</v>
      </c>
      <c r="O56" s="2356" t="s">
        <v>2371</v>
      </c>
      <c r="P56" s="2357" t="s">
        <v>2372</v>
      </c>
      <c r="Q56" s="2358" t="s">
        <v>2373</v>
      </c>
      <c r="R56" s="2357" t="s">
        <v>2374</v>
      </c>
    </row>
    <row r="57" spans="1:18" s="2041" customFormat="1" ht="28.5" customHeight="1" thickBot="1">
      <c r="A57" s="795" t="s">
        <v>1748</v>
      </c>
      <c r="B57" s="796" t="s">
        <v>651</v>
      </c>
      <c r="C57" s="797" t="e">
        <f ca="1">ROUND(C58+C63+C64+C65,0)</f>
        <v>#N/A</v>
      </c>
      <c r="D57" s="25" t="s">
        <v>1750</v>
      </c>
      <c r="E57" s="2601"/>
      <c r="F57" s="55"/>
      <c r="I57" s="3110" t="s">
        <v>2354</v>
      </c>
      <c r="J57" s="3111" t="e">
        <f ca="1">IF(OR(M47="住宅",J51&lt;L48,J56="是"),"——",J51-L48)</f>
        <v>#N/A</v>
      </c>
      <c r="K57" s="3072" t="s">
        <v>2359</v>
      </c>
      <c r="L57" s="1890" t="e">
        <f ca="1">IF(L48&lt;J51,"——",IF(L55="比较法",L49,IF(L55="基准地价",L50,L51)))</f>
        <v>#N/A</v>
      </c>
      <c r="O57" s="2359" t="s">
        <v>2375</v>
      </c>
      <c r="P57" s="2360" t="s">
        <v>2405</v>
      </c>
      <c r="Q57" s="2361" t="e">
        <f ca="1">C40+J29</f>
        <v>#N/A</v>
      </c>
      <c r="R57" s="2360" t="s">
        <v>2376</v>
      </c>
    </row>
    <row r="58" spans="1:18" s="2041" customFormat="1" ht="28.5" customHeight="1" thickBot="1">
      <c r="A58" s="1631" t="s">
        <v>1824</v>
      </c>
      <c r="B58" s="782" t="s">
        <v>656</v>
      </c>
      <c r="C58" s="52" t="e">
        <f ca="1">ROUND(IF(项目基本情况!B11="自然人",C47*F58,C59+C60+C61),1)</f>
        <v>#N/A</v>
      </c>
      <c r="D58" s="2599" t="s">
        <v>657</v>
      </c>
      <c r="E58" s="2600" t="s">
        <v>690</v>
      </c>
      <c r="F58" s="808" t="str">
        <f ca="1">IF(项目基本情况!B11="企业","",IF(INDIRECT("'数据-取费表'!c"&amp;$G$1)="住宅",5%,IF(F48*F49*F50/12/(1+'数据-取费表'!C42)&gt;20000,12%,7%)))</f>
        <v/>
      </c>
      <c r="I58" s="3110" t="s">
        <v>2355</v>
      </c>
      <c r="J58" s="3048" t="e">
        <f ca="1">IF(J55&lt;0.4,0.4,J55)</f>
        <v>#N/A</v>
      </c>
      <c r="K58" s="3072" t="s">
        <v>2360</v>
      </c>
      <c r="L58" s="1890" t="e">
        <f ca="1">ROUND(POWER(1+L52,L47-L48)*(POWER(1+L52,L48)-1)/(POWER(1+L52,L47)-1),4)</f>
        <v>#N/A</v>
      </c>
      <c r="O58" s="2359" t="s">
        <v>2377</v>
      </c>
      <c r="P58" s="2360" t="s">
        <v>2408</v>
      </c>
      <c r="Q58" s="2361" t="e">
        <f ca="1">L60</f>
        <v>#N/A</v>
      </c>
      <c r="R58" s="2364" t="s">
        <v>2410</v>
      </c>
    </row>
    <row r="59" spans="1:18" s="2041" customFormat="1" ht="28.5" customHeight="1" thickBot="1">
      <c r="A59" s="1630" t="s">
        <v>1831</v>
      </c>
      <c r="B59" s="782" t="s">
        <v>660</v>
      </c>
      <c r="C59" s="52" t="e">
        <f ca="1">ROUND(C47*F59/1.05,1)</f>
        <v>#N/A</v>
      </c>
      <c r="D59" s="2600" t="s">
        <v>1756</v>
      </c>
      <c r="E59" s="782" t="s">
        <v>1747</v>
      </c>
      <c r="F59" s="807">
        <f t="shared" ref="F59:F65" si="0">F32</f>
        <v>5.6000000000000001E-2</v>
      </c>
      <c r="I59" s="3110" t="s">
        <v>2356</v>
      </c>
      <c r="J59" s="3111" t="e">
        <f ca="1">IF(OR(M47="住宅",J51&lt;L48,J56="是"),"——",ROUND(C29*J58,0))</f>
        <v>#N/A</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#N/A</v>
      </c>
      <c r="O59" s="2362" t="s">
        <v>2379</v>
      </c>
      <c r="P59" s="2360" t="s">
        <v>2409</v>
      </c>
      <c r="Q59" s="2361">
        <f>IF(L55="比较法",L49,IF(L55="基准地价",L50,0))</f>
        <v>0</v>
      </c>
      <c r="R59" s="2360" t="s">
        <v>2376</v>
      </c>
    </row>
    <row r="60" spans="1:18" s="2041" customFormat="1" ht="18" customHeight="1" thickBot="1">
      <c r="A60" s="1630" t="s">
        <v>1832</v>
      </c>
      <c r="B60" s="782" t="s">
        <v>1758</v>
      </c>
      <c r="C60" s="52" t="e">
        <f ca="1">IF(D60="按租金收入计税",ROUND(C47*F60,1),IF(D60="按房产原值计税",ROUND(C56*F60*0.7,1),INDIRECT("'数据-取费表'!Aj"&amp;$G$1)))</f>
        <v>#N/A</v>
      </c>
      <c r="D60" s="2600" t="str">
        <f>D33</f>
        <v>按租金收入计税</v>
      </c>
      <c r="E60" s="782" t="s">
        <v>1747</v>
      </c>
      <c r="F60" s="807">
        <f t="shared" si="0"/>
        <v>0.12</v>
      </c>
      <c r="I60" s="3112" t="s">
        <v>2357</v>
      </c>
      <c r="J60" s="3113" t="e">
        <f ca="1">IF(OR(M47="住宅",J51&lt;L48,J56="是"),"0",ROUND(J59/(1+J52)^J53,0))</f>
        <v>#N/A</v>
      </c>
      <c r="K60" s="3114" t="s">
        <v>2362</v>
      </c>
      <c r="L60" s="3113" t="e">
        <f ca="1">IF(OR(M47="住宅",L48&lt;J51),0,ROUND(L57*(L58/L59-1),0))</f>
        <v>#N/A</v>
      </c>
      <c r="O60" s="2362" t="s">
        <v>2380</v>
      </c>
      <c r="P60" s="2360" t="s">
        <v>2389</v>
      </c>
      <c r="Q60" s="2363">
        <f>L52</f>
        <v>0</v>
      </c>
      <c r="R60" s="2364"/>
    </row>
    <row r="61" spans="1:18" s="2041" customFormat="1" ht="18" customHeight="1" thickBot="1">
      <c r="A61" s="1633" t="s">
        <v>1833</v>
      </c>
      <c r="B61" s="339" t="s">
        <v>668</v>
      </c>
      <c r="C61" s="53" t="e">
        <f ca="1">ROUND(F61*F62/10000,1)</f>
        <v>#N/A</v>
      </c>
      <c r="D61" s="812" t="s">
        <v>669</v>
      </c>
      <c r="E61" s="782" t="s">
        <v>670</v>
      </c>
      <c r="F61" s="638">
        <f t="shared" si="0"/>
        <v>1.5</v>
      </c>
      <c r="K61" s="2068"/>
      <c r="O61" s="2362" t="s">
        <v>2382</v>
      </c>
      <c r="P61" s="2360" t="s">
        <v>2390</v>
      </c>
      <c r="Q61" s="2361" t="e">
        <f ca="1">L58</f>
        <v>#N/A</v>
      </c>
      <c r="R61" s="2364" t="s">
        <v>2391</v>
      </c>
    </row>
    <row r="62" spans="1:18" s="2041" customFormat="1" ht="15.75" thickBot="1">
      <c r="A62" s="813"/>
      <c r="B62" s="791"/>
      <c r="C62" s="68"/>
      <c r="D62" s="814"/>
      <c r="E62" s="782" t="s">
        <v>674</v>
      </c>
      <c r="F62" s="783" t="e">
        <f t="shared" ca="1" si="0"/>
        <v>#N/A</v>
      </c>
      <c r="I62" s="3115" t="s">
        <v>2363</v>
      </c>
      <c r="J62" s="3116" t="s">
        <v>2364</v>
      </c>
      <c r="K62" s="3116" t="s">
        <v>2365</v>
      </c>
      <c r="L62" s="3116" t="s">
        <v>2346</v>
      </c>
      <c r="M62" s="3117" t="s">
        <v>2930</v>
      </c>
      <c r="O62" s="2362" t="s">
        <v>2384</v>
      </c>
      <c r="P62" s="2360" t="str">
        <f>K59</f>
        <v>建设期及建筑物耐用年限下的土地年期修正系数Kn</v>
      </c>
      <c r="Q62" s="2361" t="e">
        <f ca="1">L59</f>
        <v>#N/A</v>
      </c>
      <c r="R62" s="2364" t="s">
        <v>2393</v>
      </c>
    </row>
    <row r="63" spans="1:18" s="2041" customFormat="1" ht="15.75" thickBot="1">
      <c r="A63" s="1631" t="s">
        <v>1889</v>
      </c>
      <c r="B63" s="782" t="s">
        <v>676</v>
      </c>
      <c r="C63" s="52" t="e">
        <f ca="1">ROUND(C56*F63,1)</f>
        <v>#N/A</v>
      </c>
      <c r="D63" s="2600" t="s">
        <v>1803</v>
      </c>
      <c r="E63" s="782" t="s">
        <v>1747</v>
      </c>
      <c r="F63" s="815" t="e">
        <f t="shared" ca="1" si="0"/>
        <v>#N/A</v>
      </c>
      <c r="I63" s="3115" t="s">
        <v>2366</v>
      </c>
      <c r="J63" s="3116">
        <v>70</v>
      </c>
      <c r="K63" s="3116">
        <v>50</v>
      </c>
      <c r="L63" s="3116">
        <v>80</v>
      </c>
      <c r="M63" s="3118">
        <v>0.02</v>
      </c>
      <c r="O63" s="2359" t="s">
        <v>2387</v>
      </c>
      <c r="P63" s="2360" t="s">
        <v>2404</v>
      </c>
      <c r="Q63" s="2361" t="e">
        <f ca="1">Q57+Q58</f>
        <v>#N/A</v>
      </c>
      <c r="R63" s="2364" t="s">
        <v>2388</v>
      </c>
    </row>
    <row r="64" spans="1:18" s="2041" customFormat="1" ht="16.5" thickBot="1">
      <c r="A64" s="1631" t="s">
        <v>1890</v>
      </c>
      <c r="B64" s="782" t="s">
        <v>679</v>
      </c>
      <c r="C64" s="52" t="e">
        <f ca="1">ROUND(C55*F64,1)</f>
        <v>#N/A</v>
      </c>
      <c r="D64" s="2600" t="s">
        <v>680</v>
      </c>
      <c r="E64" s="782" t="s">
        <v>1747</v>
      </c>
      <c r="F64" s="816" t="e">
        <f t="shared" ca="1" si="0"/>
        <v>#N/A</v>
      </c>
      <c r="I64" s="3115" t="s">
        <v>2367</v>
      </c>
      <c r="J64" s="3116">
        <v>50</v>
      </c>
      <c r="K64" s="3116">
        <v>35</v>
      </c>
      <c r="L64" s="3116">
        <v>60</v>
      </c>
      <c r="M64" s="844">
        <v>0</v>
      </c>
      <c r="O64" s="2365" t="s">
        <v>2411</v>
      </c>
      <c r="P64" s="1575"/>
      <c r="Q64" s="1586"/>
      <c r="R64" s="1575"/>
    </row>
    <row r="65" spans="1:18" s="2041" customFormat="1" ht="15.75" thickBot="1">
      <c r="A65" s="1631" t="s">
        <v>1891</v>
      </c>
      <c r="B65" s="782" t="s">
        <v>666</v>
      </c>
      <c r="C65" s="52" t="e">
        <f ca="1">ROUND(C47*F65,1)</f>
        <v>#N/A</v>
      </c>
      <c r="D65" s="2600" t="s">
        <v>683</v>
      </c>
      <c r="E65" s="782" t="s">
        <v>1747</v>
      </c>
      <c r="F65" s="792" t="e">
        <f t="shared" ca="1" si="0"/>
        <v>#N/A</v>
      </c>
      <c r="I65" s="3115" t="s">
        <v>2368</v>
      </c>
      <c r="J65" s="3116">
        <v>40</v>
      </c>
      <c r="K65" s="3116">
        <v>30</v>
      </c>
      <c r="L65" s="3116">
        <v>50</v>
      </c>
      <c r="M65" s="3118">
        <v>0.02</v>
      </c>
      <c r="O65" s="2356" t="s">
        <v>2371</v>
      </c>
      <c r="P65" s="2357" t="s">
        <v>2372</v>
      </c>
      <c r="Q65" s="2358" t="s">
        <v>2373</v>
      </c>
      <c r="R65" s="2357" t="s">
        <v>2374</v>
      </c>
    </row>
    <row r="66" spans="1:18" s="2041" customFormat="1" ht="24.75" thickBot="1">
      <c r="A66" s="795" t="s">
        <v>1776</v>
      </c>
      <c r="B66" s="2960" t="s">
        <v>2816</v>
      </c>
      <c r="C66" s="797" t="e">
        <f ca="1">C47-C57</f>
        <v>#N/A</v>
      </c>
      <c r="D66" s="2599" t="s">
        <v>700</v>
      </c>
      <c r="E66" s="2598"/>
      <c r="F66" s="818"/>
      <c r="K66" s="2068"/>
      <c r="O66" s="2359" t="s">
        <v>2375</v>
      </c>
      <c r="P66" s="2360" t="s">
        <v>2405</v>
      </c>
      <c r="Q66" s="2361" t="e">
        <f ca="1">C40+J29</f>
        <v>#N/A</v>
      </c>
      <c r="R66" s="2360" t="s">
        <v>2376</v>
      </c>
    </row>
    <row r="67" spans="1:18" s="2041" customFormat="1" ht="20.25" thickBot="1">
      <c r="A67" s="779" t="s">
        <v>1780</v>
      </c>
      <c r="B67" s="2214" t="s">
        <v>2297</v>
      </c>
      <c r="C67" s="781" t="e">
        <f ca="1">ROUND(C66*(1-((1+F69)/(1+F67))^F68)/(F67-F69),0)</f>
        <v>#N/A</v>
      </c>
      <c r="D67" s="812" t="s">
        <v>704</v>
      </c>
      <c r="E67" s="782" t="s">
        <v>705</v>
      </c>
      <c r="F67" s="792" t="e">
        <f ca="1">F40</f>
        <v>#N/A</v>
      </c>
      <c r="K67" s="2068"/>
      <c r="O67" s="2359" t="s">
        <v>2377</v>
      </c>
      <c r="P67" s="2360" t="s">
        <v>2408</v>
      </c>
      <c r="Q67" s="2361" t="e">
        <f ca="1">L60</f>
        <v>#N/A</v>
      </c>
      <c r="R67" s="2364" t="s">
        <v>2410</v>
      </c>
    </row>
    <row r="68" spans="1:18" ht="21.75" thickBot="1">
      <c r="A68" s="784"/>
      <c r="B68" s="785"/>
      <c r="C68" s="786"/>
      <c r="D68" s="819" t="s">
        <v>1808</v>
      </c>
      <c r="E68" s="782" t="s">
        <v>1784</v>
      </c>
      <c r="F68" s="820" t="e">
        <f ca="1">F41</f>
        <v>#N/A</v>
      </c>
      <c r="O68" s="2362" t="s">
        <v>2379</v>
      </c>
      <c r="P68" s="2360" t="s">
        <v>2409</v>
      </c>
      <c r="Q68" s="2366" t="e">
        <f ca="1">L51</f>
        <v>#N/A</v>
      </c>
      <c r="R68" s="2367" t="s">
        <v>2412</v>
      </c>
    </row>
    <row r="69" spans="1:18" ht="20.25" thickBot="1">
      <c r="A69" s="788"/>
      <c r="B69" s="789"/>
      <c r="C69" s="790"/>
      <c r="D69" s="814"/>
      <c r="E69" s="782" t="s">
        <v>710</v>
      </c>
      <c r="F69" s="2332"/>
      <c r="O69" s="2362" t="s">
        <v>2380</v>
      </c>
      <c r="P69" s="2368" t="s">
        <v>2394</v>
      </c>
      <c r="Q69" s="2361" t="e">
        <f ca="1">ROUND(Q70-Q71*Q72,0)</f>
        <v>#N/A</v>
      </c>
      <c r="R69" s="2364"/>
    </row>
    <row r="70" spans="1:18" ht="15.75" thickBot="1">
      <c r="A70" s="821" t="s">
        <v>1787</v>
      </c>
      <c r="B70" s="822" t="s">
        <v>1810</v>
      </c>
      <c r="C70" s="823" t="e">
        <f ca="1">ROUND(C67*10000/F70,0)</f>
        <v>#N/A</v>
      </c>
      <c r="D70" s="824" t="s">
        <v>1811</v>
      </c>
      <c r="E70" s="825" t="s">
        <v>1812</v>
      </c>
      <c r="F70" s="826" t="e">
        <f ca="1">F43</f>
        <v>#N/A</v>
      </c>
      <c r="O70" s="2362" t="s">
        <v>2395</v>
      </c>
      <c r="P70" s="2368" t="s">
        <v>2396</v>
      </c>
      <c r="Q70" s="2361" t="e">
        <f ca="1">C39</f>
        <v>#N/A</v>
      </c>
      <c r="R70" s="2360" t="s">
        <v>2376</v>
      </c>
    </row>
    <row r="71" spans="1:18" ht="15.75" thickBot="1">
      <c r="O71" s="2362" t="s">
        <v>2397</v>
      </c>
      <c r="P71" s="2368" t="s">
        <v>2398</v>
      </c>
      <c r="Q71" s="2361" t="e">
        <f ca="1">C13</f>
        <v>#N/A</v>
      </c>
      <c r="R71" s="2360" t="s">
        <v>2376</v>
      </c>
    </row>
    <row r="72" spans="1:18" ht="15.75" thickBot="1">
      <c r="O72" s="2362" t="s">
        <v>2399</v>
      </c>
      <c r="P72" s="2368" t="s">
        <v>2400</v>
      </c>
      <c r="Q72" s="2363" t="e">
        <f ca="1">J36</f>
        <v>#N/A</v>
      </c>
      <c r="R72" s="2364"/>
    </row>
    <row r="73" spans="1:18" ht="15.75" thickBot="1">
      <c r="O73" s="2362" t="s">
        <v>2382</v>
      </c>
      <c r="P73" s="2360" t="s">
        <v>2389</v>
      </c>
      <c r="Q73" s="2363">
        <f>L52</f>
        <v>0</v>
      </c>
      <c r="R73" s="2364"/>
    </row>
    <row r="74" spans="1:18" ht="20.25" thickBot="1">
      <c r="O74" s="2362" t="s">
        <v>2384</v>
      </c>
      <c r="P74" s="2360" t="s">
        <v>2390</v>
      </c>
      <c r="Q74" s="2361" t="e">
        <f ca="1">L58</f>
        <v>#N/A</v>
      </c>
      <c r="R74" s="2364" t="s">
        <v>2391</v>
      </c>
    </row>
    <row r="75" spans="1:18" ht="15.75" thickBot="1">
      <c r="O75" s="2362" t="s">
        <v>2413</v>
      </c>
      <c r="P75" s="2360" t="str">
        <f>K59</f>
        <v>建设期及建筑物耐用年限下的土地年期修正系数Kn</v>
      </c>
      <c r="Q75" s="2361" t="e">
        <f ca="1">L59</f>
        <v>#N/A</v>
      </c>
      <c r="R75" s="2364" t="s">
        <v>2393</v>
      </c>
    </row>
    <row r="76" spans="1:18" ht="15.75" thickBot="1">
      <c r="O76" s="2359" t="s">
        <v>2387</v>
      </c>
      <c r="P76" s="2360" t="s">
        <v>2404</v>
      </c>
      <c r="Q76" s="2361" t="e">
        <f ca="1">Q66+Q67</f>
        <v>#N/A</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2467</v>
      </c>
      <c r="B1" s="3479"/>
      <c r="C1" s="3480"/>
      <c r="D1" s="3481">
        <f>SUM(I10,I15,I20,I21,I23)</f>
        <v>0</v>
      </c>
      <c r="E1" s="3481"/>
      <c r="F1" s="3481"/>
      <c r="G1" s="3481"/>
      <c r="H1" s="3481"/>
      <c r="I1" s="3482"/>
    </row>
    <row r="2" spans="1:9">
      <c r="A2" s="3483" t="s">
        <v>2468</v>
      </c>
      <c r="B2" s="3484" t="s">
        <v>2469</v>
      </c>
      <c r="C2" s="3484"/>
      <c r="D2" s="2468" t="s">
        <v>2470</v>
      </c>
      <c r="E2" s="2468" t="s">
        <v>2471</v>
      </c>
      <c r="F2" s="2468" t="s">
        <v>2472</v>
      </c>
      <c r="G2" s="2468" t="s">
        <v>2473</v>
      </c>
      <c r="H2" s="2468" t="s">
        <v>2474</v>
      </c>
      <c r="I2" s="2469" t="s">
        <v>2475</v>
      </c>
    </row>
    <row r="3" spans="1:9">
      <c r="A3" s="3483"/>
      <c r="B3" s="3484" t="s">
        <v>2476</v>
      </c>
      <c r="C3" s="3484"/>
      <c r="D3" s="2470"/>
      <c r="E3" s="2468"/>
      <c r="F3" s="2471"/>
      <c r="G3" s="2471"/>
      <c r="H3" s="2472"/>
      <c r="I3" s="2473">
        <f>ROUND(D3*E3*F3*G3*H3/10000,0)</f>
        <v>0</v>
      </c>
    </row>
    <row r="4" spans="1:9">
      <c r="A4" s="3483"/>
      <c r="B4" s="3484" t="s">
        <v>2477</v>
      </c>
      <c r="C4" s="3484"/>
      <c r="D4" s="2470"/>
      <c r="E4" s="2468"/>
      <c r="F4" s="2471"/>
      <c r="G4" s="2471"/>
      <c r="H4" s="2472"/>
      <c r="I4" s="2473">
        <f t="shared" ref="I4:I9" si="0">ROUND(D4*E4*F4*G4*H4/10000,0)</f>
        <v>0</v>
      </c>
    </row>
    <row r="5" spans="1:9">
      <c r="A5" s="3483"/>
      <c r="B5" s="3484" t="s">
        <v>2478</v>
      </c>
      <c r="C5" s="3484"/>
      <c r="D5" s="2470"/>
      <c r="E5" s="2468"/>
      <c r="F5" s="2471"/>
      <c r="G5" s="2471"/>
      <c r="H5" s="2472"/>
      <c r="I5" s="2473">
        <f t="shared" si="0"/>
        <v>0</v>
      </c>
    </row>
    <row r="6" spans="1:9">
      <c r="A6" s="3483"/>
      <c r="B6" s="3484" t="s">
        <v>2479</v>
      </c>
      <c r="C6" s="3484"/>
      <c r="D6" s="2470"/>
      <c r="E6" s="2468"/>
      <c r="F6" s="2471"/>
      <c r="G6" s="2471"/>
      <c r="H6" s="2472"/>
      <c r="I6" s="2473">
        <f t="shared" si="0"/>
        <v>0</v>
      </c>
    </row>
    <row r="7" spans="1:9">
      <c r="A7" s="3483"/>
      <c r="B7" s="3484" t="s">
        <v>2480</v>
      </c>
      <c r="C7" s="3484"/>
      <c r="D7" s="2470"/>
      <c r="E7" s="2468"/>
      <c r="F7" s="2471"/>
      <c r="G7" s="2471"/>
      <c r="H7" s="2472"/>
      <c r="I7" s="2473">
        <f t="shared" si="0"/>
        <v>0</v>
      </c>
    </row>
    <row r="8" spans="1:9">
      <c r="A8" s="3483"/>
      <c r="B8" s="3484" t="s">
        <v>2481</v>
      </c>
      <c r="C8" s="3484"/>
      <c r="D8" s="2470"/>
      <c r="E8" s="2468"/>
      <c r="F8" s="2471"/>
      <c r="G8" s="2471"/>
      <c r="H8" s="2472"/>
      <c r="I8" s="2473">
        <f t="shared" si="0"/>
        <v>0</v>
      </c>
    </row>
    <row r="9" spans="1:9">
      <c r="A9" s="3483"/>
      <c r="B9" s="3484" t="s">
        <v>2482</v>
      </c>
      <c r="C9" s="3484"/>
      <c r="D9" s="2470"/>
      <c r="E9" s="2468"/>
      <c r="F9" s="2471"/>
      <c r="G9" s="2471"/>
      <c r="H9" s="2472"/>
      <c r="I9" s="2473">
        <f t="shared" si="0"/>
        <v>0</v>
      </c>
    </row>
    <row r="10" spans="1:9">
      <c r="A10" s="3483"/>
      <c r="B10" s="3485" t="s">
        <v>2483</v>
      </c>
      <c r="C10" s="3485"/>
      <c r="D10" s="2474">
        <v>527</v>
      </c>
      <c r="E10" s="2474" t="e">
        <f>ROUND(D1*10000/D10/H9,0)</f>
        <v>#DIV/0!</v>
      </c>
      <c r="F10" s="2475"/>
      <c r="G10" s="2475"/>
      <c r="H10" s="2476"/>
      <c r="I10" s="2477">
        <f>SUM(I3:I9)</f>
        <v>0</v>
      </c>
    </row>
    <row r="11" spans="1:9" ht="14.25">
      <c r="A11" s="3483" t="s">
        <v>2484</v>
      </c>
      <c r="B11" s="3484" t="s">
        <v>2485</v>
      </c>
      <c r="C11" s="3484"/>
      <c r="D11" s="2470" t="s">
        <v>2486</v>
      </c>
      <c r="E11" s="2470" t="s">
        <v>2487</v>
      </c>
      <c r="F11" s="2471" t="s">
        <v>2488</v>
      </c>
      <c r="G11" s="2471" t="s">
        <v>2489</v>
      </c>
      <c r="H11" s="2478" t="s">
        <v>2490</v>
      </c>
      <c r="I11" s="2469" t="s">
        <v>2491</v>
      </c>
    </row>
    <row r="12" spans="1:9">
      <c r="A12" s="3483"/>
      <c r="B12" s="3484" t="s">
        <v>2492</v>
      </c>
      <c r="C12" s="3484"/>
      <c r="D12" s="2470"/>
      <c r="E12" s="2470"/>
      <c r="F12" s="2471"/>
      <c r="G12" s="2472"/>
      <c r="H12" s="2479"/>
      <c r="I12" s="2469">
        <f>ROUND(D12*E12*F12*G12/10000,0)</f>
        <v>0</v>
      </c>
    </row>
    <row r="13" spans="1:9">
      <c r="A13" s="3483"/>
      <c r="B13" s="3484" t="s">
        <v>2493</v>
      </c>
      <c r="C13" s="3484"/>
      <c r="D13" s="2470"/>
      <c r="E13" s="2470"/>
      <c r="F13" s="2471"/>
      <c r="G13" s="2472"/>
      <c r="H13" s="2479"/>
      <c r="I13" s="2469">
        <f>ROUND(D13*E13*F13*G13/10000,0)</f>
        <v>0</v>
      </c>
    </row>
    <row r="14" spans="1:9">
      <c r="A14" s="3483"/>
      <c r="B14" s="3484" t="s">
        <v>2494</v>
      </c>
      <c r="C14" s="3484"/>
      <c r="D14" s="2470"/>
      <c r="E14" s="2470"/>
      <c r="F14" s="2471"/>
      <c r="G14" s="2472"/>
      <c r="H14" s="2479"/>
      <c r="I14" s="2469">
        <f>ROUND(D14*E14*F14*G14/10000,0)</f>
        <v>0</v>
      </c>
    </row>
    <row r="15" spans="1:9">
      <c r="A15" s="3483"/>
      <c r="B15" s="3485" t="s">
        <v>2483</v>
      </c>
      <c r="C15" s="3485"/>
      <c r="D15" s="2474"/>
      <c r="E15" s="2474">
        <f>SUM(E12:E14)</f>
        <v>0</v>
      </c>
      <c r="F15" s="2475"/>
      <c r="G15" s="2472"/>
      <c r="H15" s="2479"/>
      <c r="I15" s="2480">
        <f>SUM(I12:I14)</f>
        <v>0</v>
      </c>
    </row>
    <row r="16" spans="1:9" ht="24">
      <c r="A16" s="3483" t="s">
        <v>2495</v>
      </c>
      <c r="B16" s="3484" t="s">
        <v>2496</v>
      </c>
      <c r="C16" s="3484"/>
      <c r="D16" s="2470" t="s">
        <v>2497</v>
      </c>
      <c r="E16" s="2481" t="s">
        <v>2498</v>
      </c>
      <c r="F16" s="2471" t="s">
        <v>2499</v>
      </c>
      <c r="G16" s="2472" t="s">
        <v>2489</v>
      </c>
      <c r="H16" s="2478" t="s">
        <v>2490</v>
      </c>
      <c r="I16" s="2469" t="s">
        <v>2491</v>
      </c>
    </row>
    <row r="17" spans="1:9" ht="14.25">
      <c r="A17" s="3483"/>
      <c r="B17" s="3484" t="s">
        <v>2500</v>
      </c>
      <c r="C17" s="3484"/>
      <c r="D17" s="2470"/>
      <c r="E17" s="2470"/>
      <c r="F17" s="2471"/>
      <c r="G17" s="2472"/>
      <c r="H17" s="2482"/>
      <c r="I17" s="2483">
        <f>ROUND(D17*E17*F17*G17/10000,0)</f>
        <v>0</v>
      </c>
    </row>
    <row r="18" spans="1:9" ht="14.25">
      <c r="A18" s="3483"/>
      <c r="B18" s="3484" t="s">
        <v>2501</v>
      </c>
      <c r="C18" s="3484"/>
      <c r="D18" s="2470"/>
      <c r="E18" s="2470"/>
      <c r="F18" s="2471"/>
      <c r="G18" s="2472"/>
      <c r="H18" s="2482"/>
      <c r="I18" s="2483">
        <f>ROUND(D18*E18*F18*G18/10000,0)</f>
        <v>0</v>
      </c>
    </row>
    <row r="19" spans="1:9" ht="14.25">
      <c r="A19" s="3483"/>
      <c r="B19" s="3484" t="s">
        <v>2502</v>
      </c>
      <c r="C19" s="3484"/>
      <c r="D19" s="2470"/>
      <c r="E19" s="2470"/>
      <c r="F19" s="2471"/>
      <c r="G19" s="2472"/>
      <c r="H19" s="2482"/>
      <c r="I19" s="2483">
        <f>ROUND(D19*E19*F19*G19/10000,0)</f>
        <v>0</v>
      </c>
    </row>
    <row r="20" spans="1:9">
      <c r="A20" s="3483"/>
      <c r="B20" s="3485" t="s">
        <v>2483</v>
      </c>
      <c r="C20" s="3485"/>
      <c r="D20" s="2474">
        <f>SUM(D17:D19)</f>
        <v>0</v>
      </c>
      <c r="E20" s="2474"/>
      <c r="F20" s="2475"/>
      <c r="G20" s="2472"/>
      <c r="H20" s="2479"/>
      <c r="I20" s="2480">
        <f>SUM(I17:I19)</f>
        <v>0</v>
      </c>
    </row>
    <row r="21" spans="1:9">
      <c r="A21" s="3483" t="s">
        <v>2503</v>
      </c>
      <c r="B21" s="3487"/>
      <c r="C21" s="3487"/>
      <c r="D21" s="3487"/>
      <c r="E21" s="3487"/>
      <c r="F21" s="3487"/>
      <c r="G21" s="3487"/>
      <c r="H21" s="2484">
        <v>0.1</v>
      </c>
      <c r="I21" s="2477">
        <f>ROUND(I10*H21,0)</f>
        <v>0</v>
      </c>
    </row>
    <row r="22" spans="1:9" ht="14.25">
      <c r="A22" s="3488" t="s">
        <v>2504</v>
      </c>
      <c r="B22" s="3489"/>
      <c r="C22" s="3490"/>
      <c r="D22" s="2485" t="s">
        <v>2505</v>
      </c>
      <c r="E22" s="2485" t="s">
        <v>2506</v>
      </c>
      <c r="F22" s="2486" t="s">
        <v>2507</v>
      </c>
      <c r="G22" s="2486" t="s">
        <v>2508</v>
      </c>
      <c r="H22" s="2478" t="s">
        <v>2509</v>
      </c>
      <c r="I22" s="2469" t="s">
        <v>2510</v>
      </c>
    </row>
    <row r="23" spans="1:9" ht="14.25" thickBot="1">
      <c r="A23" s="3491"/>
      <c r="B23" s="3492"/>
      <c r="C23" s="3493"/>
      <c r="D23" s="2487"/>
      <c r="E23" s="2487"/>
      <c r="F23" s="2487"/>
      <c r="G23" s="2488"/>
      <c r="H23" s="2489"/>
      <c r="I23" s="2490">
        <f>ROUND(E23*D23*F23*(1-G23)/10000,0)</f>
        <v>0</v>
      </c>
    </row>
    <row r="26" spans="1:9">
      <c r="A26" s="2491" t="s">
        <v>2511</v>
      </c>
      <c r="B26" s="2491"/>
      <c r="C26" s="2491"/>
      <c r="D26" s="2491"/>
      <c r="E26" s="3494">
        <f>C27-C30-C31-C32</f>
        <v>0</v>
      </c>
      <c r="F26" s="3494"/>
      <c r="G26" s="3494"/>
      <c r="H26" s="2991" t="s">
        <v>2837</v>
      </c>
    </row>
    <row r="27" spans="1:9">
      <c r="A27" s="2492">
        <v>1</v>
      </c>
      <c r="B27" s="2493" t="s">
        <v>2512</v>
      </c>
      <c r="C27" s="2493"/>
      <c r="D27" s="2493"/>
      <c r="E27" s="3495"/>
      <c r="F27" s="3495"/>
      <c r="G27" s="3495"/>
    </row>
    <row r="28" spans="1:9">
      <c r="A28" s="2494" t="s">
        <v>2513</v>
      </c>
      <c r="B28" s="2493" t="s">
        <v>2514</v>
      </c>
      <c r="C28" s="2493"/>
      <c r="D28" s="2493"/>
      <c r="E28" s="3495"/>
      <c r="F28" s="3495"/>
      <c r="G28" s="3495"/>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486"/>
      <c r="F32" s="3486"/>
      <c r="G32" s="3486"/>
    </row>
    <row r="33" spans="1:7" hidden="1">
      <c r="A33" s="3496" t="s">
        <v>2522</v>
      </c>
      <c r="B33" s="3497"/>
      <c r="C33" s="3497"/>
      <c r="D33" s="3498"/>
      <c r="E33" s="3494"/>
      <c r="F33" s="3494"/>
      <c r="G33" s="3494"/>
    </row>
    <row r="34" spans="1:7" hidden="1">
      <c r="A34" s="2496">
        <v>1</v>
      </c>
      <c r="B34" s="2493" t="s">
        <v>2523</v>
      </c>
      <c r="C34" s="2493"/>
      <c r="D34" s="2493"/>
      <c r="E34" s="3495"/>
      <c r="F34" s="3495"/>
      <c r="G34" s="3495"/>
    </row>
    <row r="35" spans="1:7" hidden="1">
      <c r="A35" s="2496">
        <v>2</v>
      </c>
      <c r="B35" s="2493" t="s">
        <v>2524</v>
      </c>
      <c r="C35" s="2493"/>
      <c r="D35" s="2493"/>
      <c r="E35" s="3495"/>
      <c r="F35" s="3495"/>
      <c r="G35" s="3495"/>
    </row>
    <row r="36" spans="1:7" hidden="1">
      <c r="A36" s="2496">
        <v>3</v>
      </c>
      <c r="B36" s="2493" t="s">
        <v>2525</v>
      </c>
      <c r="C36" s="2493"/>
      <c r="D36" s="2493"/>
      <c r="E36" s="3495"/>
      <c r="F36" s="3495"/>
      <c r="G36" s="3495"/>
    </row>
    <row r="37" spans="1:7" hidden="1">
      <c r="A37" s="2496">
        <v>4</v>
      </c>
      <c r="B37" s="2493" t="s">
        <v>2526</v>
      </c>
      <c r="C37" s="2493"/>
      <c r="D37" s="2493"/>
      <c r="E37" s="3495"/>
      <c r="F37" s="3495"/>
      <c r="G37" s="3495"/>
    </row>
    <row r="38" spans="1:7" hidden="1">
      <c r="A38" s="3496" t="s">
        <v>2527</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3"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138941.47999999998</v>
      </c>
      <c r="E10" s="747">
        <f>'数据-取费表'!B31</f>
        <v>170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2223</v>
      </c>
      <c r="D12" s="756">
        <f>'数据-汇总表'!E5</f>
        <v>138941.47999999998</v>
      </c>
      <c r="E12" s="755">
        <f>'数据-取费表'!B27</f>
        <v>160</v>
      </c>
      <c r="F12" s="753"/>
      <c r="G12" s="757"/>
    </row>
    <row r="13" spans="1:25" s="2165" customFormat="1" ht="13.5" customHeight="1">
      <c r="A13" s="2437" t="s">
        <v>2443</v>
      </c>
      <c r="B13" s="754" t="s">
        <v>612</v>
      </c>
      <c r="C13" s="755">
        <f>ROUND(D13*E13/10000,0)</f>
        <v>0</v>
      </c>
      <c r="D13" s="756">
        <f>'数据-汇总表'!E6</f>
        <v>0</v>
      </c>
      <c r="E13" s="755">
        <f>'数据-取费表'!B28</f>
        <v>200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0.95299999999999996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4" t="s">
        <v>719</v>
      </c>
      <c r="C1" s="2585" t="s">
        <v>720</v>
      </c>
      <c r="D1" s="2586"/>
      <c r="E1" s="2587"/>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t="e">
        <f>C49</f>
        <v>#DIV/0!</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9" t="s">
        <v>522</v>
      </c>
      <c r="D4" s="3390"/>
      <c r="E4" s="3423" t="s">
        <v>523</v>
      </c>
      <c r="F4" s="3424"/>
      <c r="G4" s="3389" t="s">
        <v>524</v>
      </c>
      <c r="H4" s="3390"/>
      <c r="I4" s="3389" t="s">
        <v>525</v>
      </c>
      <c r="J4" s="3390"/>
      <c r="K4" s="851" t="s">
        <v>526</v>
      </c>
      <c r="L4" s="2115"/>
      <c r="M4" s="2116"/>
      <c r="N4" s="2116"/>
      <c r="O4" s="2116"/>
      <c r="P4" s="3391" t="s">
        <v>527</v>
      </c>
      <c r="Q4" s="3392"/>
      <c r="R4" s="3397" t="s">
        <v>523</v>
      </c>
      <c r="S4" s="3398"/>
      <c r="T4" s="3397" t="s">
        <v>524</v>
      </c>
      <c r="U4" s="3398"/>
      <c r="V4" s="3384" t="s">
        <v>525</v>
      </c>
      <c r="W4" s="3384"/>
      <c r="X4" s="1550"/>
      <c r="Y4" s="3397" t="s">
        <v>527</v>
      </c>
      <c r="Z4" s="3398"/>
      <c r="AA4" s="3386" t="s">
        <v>523</v>
      </c>
      <c r="AB4" s="3386" t="s">
        <v>524</v>
      </c>
      <c r="AC4" s="3386" t="s">
        <v>525</v>
      </c>
    </row>
    <row r="5" spans="1:29" ht="15">
      <c r="A5" s="513"/>
      <c r="B5" s="514"/>
      <c r="C5" s="3405" t="s">
        <v>2917</v>
      </c>
      <c r="D5" s="3406"/>
      <c r="E5" s="3425" t="s">
        <v>2918</v>
      </c>
      <c r="F5" s="3426"/>
      <c r="G5" s="3405" t="s">
        <v>2919</v>
      </c>
      <c r="H5" s="3406"/>
      <c r="I5" s="3405" t="s">
        <v>2920</v>
      </c>
      <c r="J5" s="3406"/>
      <c r="K5" s="852"/>
      <c r="L5" s="2115"/>
      <c r="M5" s="2116"/>
      <c r="N5" s="2116"/>
      <c r="O5" s="2116"/>
      <c r="P5" s="3393"/>
      <c r="Q5" s="3394"/>
      <c r="R5" s="3399"/>
      <c r="S5" s="3400"/>
      <c r="T5" s="3399"/>
      <c r="U5" s="3400"/>
      <c r="V5" s="3384"/>
      <c r="W5" s="3384"/>
      <c r="X5" s="1550"/>
      <c r="Y5" s="3399"/>
      <c r="Z5" s="3400"/>
      <c r="AA5" s="3387"/>
      <c r="AB5" s="3387"/>
      <c r="AC5" s="3387"/>
    </row>
    <row r="6" spans="1:29" ht="15.75" thickBot="1">
      <c r="A6" s="515"/>
      <c r="B6" s="516"/>
      <c r="C6" s="3403" t="s">
        <v>2921</v>
      </c>
      <c r="D6" s="3404"/>
      <c r="E6" s="3421" t="s">
        <v>2921</v>
      </c>
      <c r="F6" s="3422"/>
      <c r="G6" s="3403" t="s">
        <v>2921</v>
      </c>
      <c r="H6" s="3404"/>
      <c r="I6" s="3403" t="s">
        <v>2921</v>
      </c>
      <c r="J6" s="3404"/>
      <c r="K6" s="852" t="s">
        <v>528</v>
      </c>
      <c r="L6" s="2115"/>
      <c r="M6" s="2116"/>
      <c r="N6" s="2116"/>
      <c r="O6" s="2116"/>
      <c r="P6" s="3395"/>
      <c r="Q6" s="3396"/>
      <c r="R6" s="3399"/>
      <c r="S6" s="3400"/>
      <c r="T6" s="3401"/>
      <c r="U6" s="3402"/>
      <c r="V6" s="3384"/>
      <c r="W6" s="3384"/>
      <c r="X6" s="1550"/>
      <c r="Y6" s="3401"/>
      <c r="Z6" s="3402"/>
      <c r="AA6" s="3388"/>
      <c r="AB6" s="3388"/>
      <c r="AC6" s="3388"/>
    </row>
    <row r="7" spans="1:29" s="1214" customFormat="1" ht="15.75" thickBot="1">
      <c r="A7" s="2864"/>
      <c r="B7" s="2871" t="s">
        <v>529</v>
      </c>
      <c r="C7" s="517">
        <f>'数据-取费表'!B2</f>
        <v>43833</v>
      </c>
      <c r="D7" s="518">
        <v>100</v>
      </c>
      <c r="E7" s="519"/>
      <c r="F7" s="520">
        <f>SUMIF(58:58,YEAR(E7)&amp;"-"&amp;MONTH(E7),59:59)</f>
        <v>0</v>
      </c>
      <c r="G7" s="521"/>
      <c r="H7" s="518">
        <f>SUMIF(58:58,YEAR(G7)&amp;"-"&amp;MONTH(G7),59:59)</f>
        <v>0</v>
      </c>
      <c r="I7" s="521"/>
      <c r="J7" s="518">
        <f>SUMIF(58:58,YEAR(I7)&amp;"-"&amp;MONTH(I7),59:59)</f>
        <v>0</v>
      </c>
      <c r="K7" s="853"/>
      <c r="L7" s="2117"/>
      <c r="M7" s="2118"/>
      <c r="N7" s="2118"/>
      <c r="O7" s="2118"/>
      <c r="P7" s="3414" t="s">
        <v>530</v>
      </c>
      <c r="Q7" s="3416"/>
      <c r="R7" s="1551" t="s">
        <v>13</v>
      </c>
      <c r="S7" s="1552">
        <f t="shared" ref="S7:S15" si="0">F7</f>
        <v>0</v>
      </c>
      <c r="T7" s="1551" t="s">
        <v>13</v>
      </c>
      <c r="U7" s="1552">
        <f t="shared" ref="U7:U15" si="1">H7</f>
        <v>0</v>
      </c>
      <c r="V7" s="1551" t="s">
        <v>13</v>
      </c>
      <c r="W7" s="1552">
        <f t="shared" ref="W7:W15"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414" t="s">
        <v>533</v>
      </c>
      <c r="Q8" s="3415"/>
      <c r="R8" s="1551" t="s">
        <v>13</v>
      </c>
      <c r="S8" s="1552">
        <f t="shared" si="0"/>
        <v>0</v>
      </c>
      <c r="T8" s="1551" t="s">
        <v>13</v>
      </c>
      <c r="U8" s="1552">
        <f t="shared" si="1"/>
        <v>0</v>
      </c>
      <c r="V8" s="1551" t="s">
        <v>13</v>
      </c>
      <c r="W8" s="1552">
        <f t="shared" si="2"/>
        <v>0</v>
      </c>
      <c r="X8" s="1553"/>
      <c r="Y8" s="3414" t="s">
        <v>533</v>
      </c>
      <c r="Z8" s="3415"/>
      <c r="AA8" s="1554" t="e">
        <f t="shared" ref="AA8:AA46" si="3">D8/F8</f>
        <v>#DIV/0!</v>
      </c>
      <c r="AB8" s="1554" t="e">
        <f t="shared" ref="AB8:AB46" si="4">D8/H8</f>
        <v>#DIV/0!</v>
      </c>
      <c r="AC8" s="1554" t="e">
        <f t="shared" ref="AC8:AC46" si="5">D8/J8</f>
        <v>#DIV/0!</v>
      </c>
    </row>
    <row r="9" spans="1:29" s="1214" customFormat="1" ht="15">
      <c r="A9" s="2866"/>
      <c r="B9" s="2873" t="s">
        <v>2751</v>
      </c>
      <c r="C9" s="855"/>
      <c r="D9" s="253">
        <v>100</v>
      </c>
      <c r="E9" s="856"/>
      <c r="F9" s="857">
        <f>SUMIF(63:63,E9,64:64)-SUMIF(63:63,C9,64:64)+100</f>
        <v>100</v>
      </c>
      <c r="G9" s="858"/>
      <c r="H9" s="253">
        <f>SUMIF(63:63,G9,64:64)-SUMIF(63:63,C9,64:64)+100</f>
        <v>100</v>
      </c>
      <c r="I9" s="858"/>
      <c r="J9" s="253">
        <f>SUMIF(63:63,I9,64:64)-SUMIF(63:63,C9,64:64)+100</f>
        <v>100</v>
      </c>
      <c r="K9" s="853"/>
      <c r="L9" s="2117"/>
      <c r="M9" s="2118"/>
      <c r="N9" s="2118"/>
      <c r="O9" s="2119"/>
      <c r="P9" s="3383" t="s">
        <v>535</v>
      </c>
      <c r="Q9" s="1145" t="str">
        <f t="shared" ref="Q9:Q15" si="6">B9</f>
        <v>用途</v>
      </c>
      <c r="R9" s="1551" t="s">
        <v>8</v>
      </c>
      <c r="S9" s="1552">
        <f t="shared" si="0"/>
        <v>100</v>
      </c>
      <c r="T9" s="1551" t="s">
        <v>8</v>
      </c>
      <c r="U9" s="1552">
        <f t="shared" si="1"/>
        <v>100</v>
      </c>
      <c r="V9" s="1551" t="s">
        <v>8</v>
      </c>
      <c r="W9" s="1552">
        <f t="shared" si="2"/>
        <v>100</v>
      </c>
      <c r="X9" s="1553"/>
      <c r="Y9" s="3329" t="s">
        <v>536</v>
      </c>
      <c r="Z9" s="1144" t="str">
        <f t="shared" ref="Z9:Z15" si="7">Q9</f>
        <v>用途</v>
      </c>
      <c r="AA9" s="1554">
        <f t="shared" si="3"/>
        <v>1</v>
      </c>
      <c r="AB9" s="1554">
        <f t="shared" si="4"/>
        <v>1</v>
      </c>
      <c r="AC9" s="1554">
        <f t="shared" si="5"/>
        <v>1</v>
      </c>
    </row>
    <row r="10" spans="1:29" s="1332" customFormat="1" ht="27">
      <c r="A10" s="2867"/>
      <c r="B10" s="2872" t="s">
        <v>2752</v>
      </c>
      <c r="C10" s="859"/>
      <c r="D10" s="254">
        <v>100</v>
      </c>
      <c r="E10" s="860"/>
      <c r="F10" s="861">
        <f>SUMIF(65:65,E10,66:66)-SUMIF(65:65,C10,66:66)+100</f>
        <v>100</v>
      </c>
      <c r="G10" s="859"/>
      <c r="H10" s="254">
        <f>SUMIF(65:65,G10,66:66)-SUMIF(65:65,C10,66:66)+100</f>
        <v>100</v>
      </c>
      <c r="I10" s="859"/>
      <c r="J10" s="254">
        <f>SUMIF(65:65,I10,66:66)-SUMIF(65:65,C10,66:66)+100</f>
        <v>100</v>
      </c>
      <c r="K10" s="862"/>
      <c r="L10" s="2120"/>
      <c r="M10" s="2160"/>
      <c r="N10" s="2160"/>
      <c r="O10" s="2121"/>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8"/>
      <c r="B11" s="2872" t="s">
        <v>2753</v>
      </c>
      <c r="C11" s="531"/>
      <c r="D11" s="254">
        <v>100</v>
      </c>
      <c r="E11" s="532"/>
      <c r="F11" s="861" t="e">
        <f>LOOKUP(E11,68:68,69:69)-LOOKUP(C11,68:68,69:69)+100</f>
        <v>#N/A</v>
      </c>
      <c r="G11" s="531"/>
      <c r="H11" s="254" t="e">
        <f>LOOKUP(G11,68:68,69:69)-LOOKUP(C11,68:68,69:69)+100</f>
        <v>#N/A</v>
      </c>
      <c r="I11" s="531"/>
      <c r="J11" s="254" t="e">
        <f>LOOKUP(I11,68:68,69:69)-LOOKUP(C11,68:68,69:69)+100</f>
        <v>#N/A</v>
      </c>
      <c r="K11" s="862"/>
      <c r="L11" s="2122"/>
      <c r="M11" s="2116"/>
      <c r="N11" s="2116"/>
      <c r="O11" s="2123"/>
      <c r="P11" s="3383"/>
      <c r="Q11" s="1145" t="str">
        <f t="shared" si="6"/>
        <v>容积率</v>
      </c>
      <c r="R11" s="1551" t="s">
        <v>11</v>
      </c>
      <c r="S11" s="1552" t="e">
        <f t="shared" si="0"/>
        <v>#N/A</v>
      </c>
      <c r="T11" s="1551" t="s">
        <v>11</v>
      </c>
      <c r="U11" s="1552" t="e">
        <f t="shared" si="1"/>
        <v>#N/A</v>
      </c>
      <c r="V11" s="1551" t="s">
        <v>11</v>
      </c>
      <c r="W11" s="1552" t="e">
        <f t="shared" si="2"/>
        <v>#N/A</v>
      </c>
      <c r="X11" s="1553"/>
      <c r="Y11" s="332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861">
        <f>SUMIF(70:70,E12,71:71)-SUMIF(70:70,C12,71:71)+100</f>
        <v>100</v>
      </c>
      <c r="G12" s="526"/>
      <c r="H12" s="254">
        <f>SUMIF(70:70,G12,71:71)-SUMIF(70:70,C12,71:71)+100</f>
        <v>100</v>
      </c>
      <c r="I12" s="526"/>
      <c r="J12" s="254">
        <f>SUMIF(70:70,I12,71:71)-SUMIF(70:70,C12,71:71)+100</f>
        <v>100</v>
      </c>
      <c r="K12" s="863"/>
      <c r="L12" s="2117"/>
      <c r="M12" s="2118"/>
      <c r="N12" s="2118"/>
      <c r="O12" s="2119"/>
      <c r="P12" s="3383"/>
      <c r="Q12" s="1145">
        <f t="shared" si="6"/>
        <v>111</v>
      </c>
      <c r="R12" s="1551" t="s">
        <v>11</v>
      </c>
      <c r="S12" s="1552">
        <f t="shared" si="0"/>
        <v>100</v>
      </c>
      <c r="T12" s="1551" t="s">
        <v>11</v>
      </c>
      <c r="U12" s="1552">
        <f t="shared" si="1"/>
        <v>100</v>
      </c>
      <c r="V12" s="1551" t="s">
        <v>11</v>
      </c>
      <c r="W12" s="1552">
        <f t="shared" si="2"/>
        <v>100</v>
      </c>
      <c r="X12" s="1553"/>
      <c r="Y12" s="3329"/>
      <c r="Z12" s="1144">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3"/>
      <c r="Q13" s="1145">
        <f t="shared" si="6"/>
        <v>111</v>
      </c>
      <c r="R13" s="1551" t="s">
        <v>11</v>
      </c>
      <c r="S13" s="1552">
        <f t="shared" si="0"/>
        <v>100</v>
      </c>
      <c r="T13" s="1551" t="s">
        <v>11</v>
      </c>
      <c r="U13" s="1552">
        <f t="shared" si="1"/>
        <v>100</v>
      </c>
      <c r="V13" s="1551" t="s">
        <v>11</v>
      </c>
      <c r="W13" s="1552">
        <f t="shared" si="2"/>
        <v>100</v>
      </c>
      <c r="X13" s="1553"/>
      <c r="Y13" s="3329"/>
      <c r="Z13" s="1144">
        <f t="shared" si="7"/>
        <v>111</v>
      </c>
      <c r="AA13" s="1554">
        <f t="shared" si="3"/>
        <v>1</v>
      </c>
      <c r="AB13" s="1554">
        <f t="shared" si="4"/>
        <v>1</v>
      </c>
      <c r="AC13" s="1554">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3"/>
      <c r="Q14" s="1145">
        <f t="shared" si="6"/>
        <v>111</v>
      </c>
      <c r="R14" s="1551" t="s">
        <v>11</v>
      </c>
      <c r="S14" s="1552">
        <f t="shared" si="0"/>
        <v>100</v>
      </c>
      <c r="T14" s="1551" t="s">
        <v>11</v>
      </c>
      <c r="U14" s="1552">
        <f t="shared" si="1"/>
        <v>100</v>
      </c>
      <c r="V14" s="1551" t="s">
        <v>11</v>
      </c>
      <c r="W14" s="1552">
        <f t="shared" si="2"/>
        <v>100</v>
      </c>
      <c r="X14" s="1553"/>
      <c r="Y14" s="3329"/>
      <c r="Z14" s="1144">
        <f t="shared" si="7"/>
        <v>111</v>
      </c>
      <c r="AA14" s="1554">
        <f t="shared" si="3"/>
        <v>1</v>
      </c>
      <c r="AB14" s="1554">
        <f t="shared" si="4"/>
        <v>1</v>
      </c>
      <c r="AC14" s="1554">
        <f t="shared" si="5"/>
        <v>1</v>
      </c>
    </row>
    <row r="15" spans="1:29" ht="99.75">
      <c r="A15" s="2862" t="s">
        <v>2749</v>
      </c>
      <c r="B15" s="165" t="s">
        <v>295</v>
      </c>
      <c r="C15" s="865" t="str">
        <f>估价对象房地状况!C3</f>
        <v>估价对象周边居住用地比例较小、居住小区规模和社区发展完善程度一般，综合评价居住社区成熟度一般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417" t="s">
        <v>540</v>
      </c>
      <c r="Q15" s="1555" t="str">
        <f t="shared" si="6"/>
        <v>居住社区成熟度</v>
      </c>
      <c r="R15" s="1556" t="s">
        <v>11</v>
      </c>
      <c r="S15" s="1557">
        <f t="shared" si="0"/>
        <v>100</v>
      </c>
      <c r="T15" s="1556" t="s">
        <v>11</v>
      </c>
      <c r="U15" s="1557">
        <f t="shared" si="1"/>
        <v>100</v>
      </c>
      <c r="V15" s="1556" t="s">
        <v>11</v>
      </c>
      <c r="W15" s="1557">
        <f t="shared" si="2"/>
        <v>100</v>
      </c>
      <c r="X15" s="1550"/>
      <c r="Y15" s="3417" t="s">
        <v>540</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418"/>
      <c r="Q16" s="1555"/>
      <c r="R16" s="1556"/>
      <c r="S16" s="1557"/>
      <c r="T16" s="1556"/>
      <c r="U16" s="1557"/>
      <c r="V16" s="1556"/>
      <c r="W16" s="1557"/>
      <c r="X16" s="1550"/>
      <c r="Y16" s="3418"/>
      <c r="Z16" s="1558"/>
      <c r="AA16" s="1559">
        <v>1</v>
      </c>
      <c r="AB16" s="1559">
        <v>1</v>
      </c>
      <c r="AC16" s="1559">
        <v>1</v>
      </c>
    </row>
    <row r="17" spans="1:29" ht="85.5">
      <c r="A17" s="530"/>
      <c r="B17" s="869" t="s">
        <v>296</v>
      </c>
      <c r="C17" s="870" t="str">
        <f>估价对象房地状况!C6</f>
        <v>估价对象周边道路状况较通达、公共交通通达情况一般、停车较便捷，综合评价交通便捷度一般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418"/>
      <c r="Q17" s="1555" t="str">
        <f>B17</f>
        <v>交通便捷度</v>
      </c>
      <c r="R17" s="1556" t="s">
        <v>11</v>
      </c>
      <c r="S17" s="1557">
        <f>F17</f>
        <v>100</v>
      </c>
      <c r="T17" s="1556" t="s">
        <v>11</v>
      </c>
      <c r="U17" s="1557">
        <f>H17</f>
        <v>100</v>
      </c>
      <c r="V17" s="1556" t="s">
        <v>11</v>
      </c>
      <c r="W17" s="1557">
        <f>J17</f>
        <v>100</v>
      </c>
      <c r="X17" s="1550"/>
      <c r="Y17" s="341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418"/>
      <c r="Q18" s="1555"/>
      <c r="R18" s="1556"/>
      <c r="S18" s="1557"/>
      <c r="T18" s="1556"/>
      <c r="U18" s="1557"/>
      <c r="V18" s="1556"/>
      <c r="W18" s="1557"/>
      <c r="X18" s="1550"/>
      <c r="Y18" s="3418"/>
      <c r="Z18" s="1558"/>
      <c r="AA18" s="1559">
        <v>1</v>
      </c>
      <c r="AB18" s="1559">
        <v>1</v>
      </c>
      <c r="AC18" s="1559">
        <v>1</v>
      </c>
    </row>
    <row r="19" spans="1:29" ht="42.75">
      <c r="A19" s="530"/>
      <c r="B19" s="2561" t="s">
        <v>2542</v>
      </c>
      <c r="C19" s="870" t="str">
        <f>估价对象房地状况!C7</f>
        <v>估价对象所在区域公共配套设施程度一般</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418"/>
      <c r="Q19" s="1555" t="str">
        <f>B19</f>
        <v>公共配套设施</v>
      </c>
      <c r="R19" s="1556" t="s">
        <v>11</v>
      </c>
      <c r="S19" s="1557">
        <f>F19</f>
        <v>100</v>
      </c>
      <c r="T19" s="1556" t="s">
        <v>11</v>
      </c>
      <c r="U19" s="1557">
        <f>H19</f>
        <v>100</v>
      </c>
      <c r="V19" s="1556" t="s">
        <v>11</v>
      </c>
      <c r="W19" s="1557">
        <f>J19</f>
        <v>100</v>
      </c>
      <c r="X19" s="1550"/>
      <c r="Y19" s="3418"/>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418"/>
      <c r="Q20" s="1555"/>
      <c r="R20" s="1556"/>
      <c r="S20" s="1557"/>
      <c r="T20" s="1556"/>
      <c r="U20" s="1557"/>
      <c r="V20" s="1556"/>
      <c r="W20" s="1557"/>
      <c r="X20" s="1550"/>
      <c r="Y20" s="3418"/>
      <c r="Z20" s="1558"/>
      <c r="AA20" s="1559">
        <v>1</v>
      </c>
      <c r="AB20" s="1559">
        <v>1</v>
      </c>
      <c r="AC20" s="1559">
        <v>1</v>
      </c>
    </row>
    <row r="21" spans="1:29" ht="42.75">
      <c r="A21" s="530"/>
      <c r="B21" s="2554"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418"/>
      <c r="Q21" s="2540" t="str">
        <f>B21</f>
        <v>基础设施水平</v>
      </c>
      <c r="R21" s="1556" t="s">
        <v>11</v>
      </c>
      <c r="S21" s="1557">
        <f>F21</f>
        <v>100</v>
      </c>
      <c r="T21" s="1556" t="s">
        <v>11</v>
      </c>
      <c r="U21" s="1557">
        <f>H21</f>
        <v>100</v>
      </c>
      <c r="V21" s="1556" t="s">
        <v>11</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418"/>
      <c r="Q22" s="2540"/>
      <c r="R22" s="1556"/>
      <c r="S22" s="1557"/>
      <c r="T22" s="1556"/>
      <c r="U22" s="1557"/>
      <c r="V22" s="1556"/>
      <c r="W22" s="1557"/>
      <c r="X22" s="2542"/>
      <c r="Y22" s="3418"/>
      <c r="Z22" s="2541"/>
      <c r="AA22" s="1559">
        <v>1</v>
      </c>
      <c r="AB22" s="1559">
        <v>1</v>
      </c>
      <c r="AC22" s="1559">
        <v>1</v>
      </c>
    </row>
    <row r="23" spans="1:29" ht="57">
      <c r="A23" s="530"/>
      <c r="B23" s="869" t="s">
        <v>297</v>
      </c>
      <c r="C23" s="870" t="str">
        <f>估价对象房地状况!C9</f>
        <v>区域自然环境较好；人文环境一般；综合评价环境状况较好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418"/>
      <c r="Q23" s="1555" t="str">
        <f>B23</f>
        <v>自然及人文环境</v>
      </c>
      <c r="R23" s="1556" t="s">
        <v>11</v>
      </c>
      <c r="S23" s="1557">
        <f>F23</f>
        <v>100</v>
      </c>
      <c r="T23" s="1556" t="s">
        <v>11</v>
      </c>
      <c r="U23" s="1557">
        <f>H23</f>
        <v>100</v>
      </c>
      <c r="V23" s="1556" t="s">
        <v>11</v>
      </c>
      <c r="W23" s="1557">
        <f>J23</f>
        <v>100</v>
      </c>
      <c r="X23" s="1550"/>
      <c r="Y23" s="3418"/>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c r="A25" s="530"/>
      <c r="B25" s="1877" t="s">
        <v>2252</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8"/>
      <c r="Q25" s="1555" t="str">
        <f t="shared" ref="Q25:Q46" si="11">B25</f>
        <v>楼层-1</v>
      </c>
      <c r="R25" s="1556" t="s">
        <v>11</v>
      </c>
      <c r="S25" s="1557">
        <f>F25</f>
        <v>100</v>
      </c>
      <c r="T25" s="1556" t="s">
        <v>11</v>
      </c>
      <c r="U25" s="1557">
        <f>H25</f>
        <v>100</v>
      </c>
      <c r="V25" s="1556" t="s">
        <v>11</v>
      </c>
      <c r="W25" s="1557">
        <f>J25</f>
        <v>100</v>
      </c>
      <c r="X25" s="1550"/>
      <c r="Y25" s="3418"/>
      <c r="Z25" s="1558" t="str">
        <f>Q25</f>
        <v>楼层-1</v>
      </c>
      <c r="AA25" s="1559">
        <f t="shared" si="3"/>
        <v>1</v>
      </c>
      <c r="AB25" s="1559">
        <f t="shared" si="4"/>
        <v>1</v>
      </c>
      <c r="AC25" s="1559">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8"/>
      <c r="Q26" s="1555" t="str">
        <f t="shared" si="11"/>
        <v>朝向</v>
      </c>
      <c r="R26" s="1556" t="s">
        <v>11</v>
      </c>
      <c r="S26" s="1557">
        <f>F26</f>
        <v>100</v>
      </c>
      <c r="T26" s="1556" t="s">
        <v>11</v>
      </c>
      <c r="U26" s="1557">
        <f>H26</f>
        <v>100</v>
      </c>
      <c r="V26" s="1556" t="s">
        <v>11</v>
      </c>
      <c r="W26" s="1557">
        <f>J26</f>
        <v>100</v>
      </c>
      <c r="X26" s="1550"/>
      <c r="Y26" s="3418"/>
      <c r="Z26" s="1558" t="str">
        <f>Q26</f>
        <v>朝向</v>
      </c>
      <c r="AA26" s="1559">
        <f t="shared" si="3"/>
        <v>1</v>
      </c>
      <c r="AB26" s="1559">
        <f t="shared" si="4"/>
        <v>1</v>
      </c>
      <c r="AC26" s="1559">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18"/>
      <c r="Q27" s="1145" t="str">
        <f t="shared" si="11"/>
        <v>道路级别</v>
      </c>
      <c r="R27" s="1551" t="s">
        <v>11</v>
      </c>
      <c r="S27" s="1552">
        <f>F27</f>
        <v>100</v>
      </c>
      <c r="T27" s="1551" t="s">
        <v>11</v>
      </c>
      <c r="U27" s="1552">
        <f>H27</f>
        <v>100</v>
      </c>
      <c r="V27" s="1551" t="s">
        <v>11</v>
      </c>
      <c r="W27" s="1552">
        <f>J27</f>
        <v>100</v>
      </c>
      <c r="X27" s="1553"/>
      <c r="Y27" s="3418"/>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8"/>
      <c r="Q28" s="1555">
        <f t="shared" si="11"/>
        <v>111</v>
      </c>
      <c r="R28" s="1556" t="s">
        <v>11</v>
      </c>
      <c r="S28" s="1557">
        <f t="shared" ref="S28:S46" si="12">F28</f>
        <v>100</v>
      </c>
      <c r="T28" s="1556" t="s">
        <v>11</v>
      </c>
      <c r="U28" s="1557">
        <f t="shared" ref="U28:U46" si="13">H28</f>
        <v>100</v>
      </c>
      <c r="V28" s="1556" t="s">
        <v>11</v>
      </c>
      <c r="W28" s="1557">
        <f t="shared" ref="W28:W46" si="14">J28</f>
        <v>100</v>
      </c>
      <c r="X28" s="1550"/>
      <c r="Y28" s="3418"/>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8"/>
      <c r="Q29" s="1555">
        <f t="shared" si="11"/>
        <v>111</v>
      </c>
      <c r="R29" s="1556" t="s">
        <v>11</v>
      </c>
      <c r="S29" s="1557">
        <f t="shared" si="12"/>
        <v>100</v>
      </c>
      <c r="T29" s="1556" t="s">
        <v>11</v>
      </c>
      <c r="U29" s="1557">
        <f t="shared" si="13"/>
        <v>100</v>
      </c>
      <c r="V29" s="1556" t="s">
        <v>11</v>
      </c>
      <c r="W29" s="1557">
        <f t="shared" si="14"/>
        <v>100</v>
      </c>
      <c r="X29" s="1550"/>
      <c r="Y29" s="3418"/>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8"/>
      <c r="Q30" s="1555">
        <f t="shared" si="11"/>
        <v>111</v>
      </c>
      <c r="R30" s="1556" t="s">
        <v>11</v>
      </c>
      <c r="S30" s="1557">
        <f t="shared" si="12"/>
        <v>100</v>
      </c>
      <c r="T30" s="1556" t="s">
        <v>11</v>
      </c>
      <c r="U30" s="1557">
        <f t="shared" si="13"/>
        <v>100</v>
      </c>
      <c r="V30" s="1556" t="s">
        <v>11</v>
      </c>
      <c r="W30" s="1557">
        <f t="shared" si="14"/>
        <v>100</v>
      </c>
      <c r="X30" s="1550"/>
      <c r="Y30" s="3418"/>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8"/>
      <c r="Q31" s="1555">
        <f t="shared" si="11"/>
        <v>111</v>
      </c>
      <c r="R31" s="1556" t="s">
        <v>11</v>
      </c>
      <c r="S31" s="1557">
        <f t="shared" si="12"/>
        <v>100</v>
      </c>
      <c r="T31" s="1556" t="s">
        <v>11</v>
      </c>
      <c r="U31" s="1557">
        <f t="shared" si="13"/>
        <v>100</v>
      </c>
      <c r="V31" s="1556" t="s">
        <v>11</v>
      </c>
      <c r="W31" s="1557">
        <f t="shared" si="14"/>
        <v>100</v>
      </c>
      <c r="X31" s="1550"/>
      <c r="Y31" s="3418"/>
      <c r="Z31" s="1558">
        <f t="shared" si="15"/>
        <v>111</v>
      </c>
      <c r="AA31" s="1559">
        <f t="shared" si="3"/>
        <v>1</v>
      </c>
      <c r="AB31" s="1559">
        <f t="shared" si="4"/>
        <v>1</v>
      </c>
      <c r="AC31" s="1559">
        <f t="shared" si="5"/>
        <v>1</v>
      </c>
    </row>
    <row r="32" spans="1:29" ht="15">
      <c r="A32" s="2859" t="s">
        <v>2750</v>
      </c>
      <c r="B32" s="171"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419" t="s">
        <v>550</v>
      </c>
      <c r="Q32" s="1555" t="str">
        <f t="shared" si="11"/>
        <v>建筑类型</v>
      </c>
      <c r="R32" s="1556" t="s">
        <v>11</v>
      </c>
      <c r="S32" s="1557">
        <f t="shared" si="12"/>
        <v>100</v>
      </c>
      <c r="T32" s="1556" t="s">
        <v>11</v>
      </c>
      <c r="U32" s="1557">
        <f t="shared" si="13"/>
        <v>100</v>
      </c>
      <c r="V32" s="1556" t="s">
        <v>11</v>
      </c>
      <c r="W32" s="1557">
        <f t="shared" si="14"/>
        <v>100</v>
      </c>
      <c r="X32" s="1550"/>
      <c r="Y32" s="3420" t="s">
        <v>550</v>
      </c>
      <c r="Z32" s="1558" t="str">
        <f t="shared" si="15"/>
        <v>建筑类型</v>
      </c>
      <c r="AA32" s="1559">
        <f t="shared" si="3"/>
        <v>1</v>
      </c>
      <c r="AB32" s="1559">
        <f t="shared" si="4"/>
        <v>1</v>
      </c>
      <c r="AC32" s="1559">
        <f t="shared" si="5"/>
        <v>1</v>
      </c>
    </row>
    <row r="33" spans="1:29" s="1333" customFormat="1" ht="15">
      <c r="A33" s="601"/>
      <c r="B33" s="525" t="s">
        <v>726</v>
      </c>
      <c r="C33" s="878"/>
      <c r="D33" s="254">
        <v>100</v>
      </c>
      <c r="E33" s="532"/>
      <c r="F33" s="861" t="e">
        <f>LOOKUP(E33,103:103,104:104)-LOOKUP(C33,103:103,104:104)+100</f>
        <v>#N/A</v>
      </c>
      <c r="G33" s="531"/>
      <c r="H33" s="254" t="e">
        <f>LOOKUP(G33,103:103,104:104)-LOOKUP(C33,103:103,104:104)+100</f>
        <v>#N/A</v>
      </c>
      <c r="I33" s="532"/>
      <c r="J33" s="254" t="e">
        <f>LOOKUP(I33,103:103,104:104)-LOOKUP(C33,103:103,104:104)+100</f>
        <v>#N/A</v>
      </c>
      <c r="K33" s="863"/>
      <c r="L33" s="2122"/>
      <c r="M33" s="2153"/>
      <c r="N33" s="2153"/>
      <c r="O33" s="2125"/>
      <c r="P33" s="3420"/>
      <c r="Q33" s="1587" t="str">
        <f t="shared" si="11"/>
        <v>项目建筑规模</v>
      </c>
      <c r="R33" s="1560" t="s">
        <v>11</v>
      </c>
      <c r="S33" s="1561" t="e">
        <f t="shared" si="12"/>
        <v>#N/A</v>
      </c>
      <c r="T33" s="1560" t="s">
        <v>11</v>
      </c>
      <c r="U33" s="1561" t="e">
        <f t="shared" si="13"/>
        <v>#N/A</v>
      </c>
      <c r="V33" s="1560" t="s">
        <v>11</v>
      </c>
      <c r="W33" s="1561" t="e">
        <f t="shared" si="14"/>
        <v>#N/A</v>
      </c>
      <c r="X33" s="1562"/>
      <c r="Y33" s="3420"/>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420"/>
      <c r="Q34" s="1555" t="str">
        <f t="shared" si="11"/>
        <v>建筑结构</v>
      </c>
      <c r="R34" s="1556" t="s">
        <v>11</v>
      </c>
      <c r="S34" s="1557">
        <f t="shared" si="12"/>
        <v>100</v>
      </c>
      <c r="T34" s="1556" t="s">
        <v>11</v>
      </c>
      <c r="U34" s="1557">
        <f t="shared" si="13"/>
        <v>100</v>
      </c>
      <c r="V34" s="1556" t="s">
        <v>11</v>
      </c>
      <c r="W34" s="1557">
        <f t="shared" si="14"/>
        <v>100</v>
      </c>
      <c r="X34" s="1550"/>
      <c r="Y34" s="3420"/>
      <c r="Z34" s="1558" t="str">
        <f t="shared" si="15"/>
        <v>建筑结构</v>
      </c>
      <c r="AA34" s="1559">
        <f t="shared" si="3"/>
        <v>1</v>
      </c>
      <c r="AB34" s="1559">
        <f t="shared" si="4"/>
        <v>1</v>
      </c>
      <c r="AC34" s="1559">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420"/>
      <c r="Q35" s="1555" t="str">
        <f t="shared" si="11"/>
        <v>建筑品质</v>
      </c>
      <c r="R35" s="1556" t="s">
        <v>11</v>
      </c>
      <c r="S35" s="1557">
        <f t="shared" si="12"/>
        <v>100</v>
      </c>
      <c r="T35" s="1556" t="s">
        <v>11</v>
      </c>
      <c r="U35" s="1557">
        <f t="shared" si="13"/>
        <v>100</v>
      </c>
      <c r="V35" s="1556" t="s">
        <v>11</v>
      </c>
      <c r="W35" s="1557">
        <f t="shared" si="14"/>
        <v>100</v>
      </c>
      <c r="X35" s="1550"/>
      <c r="Y35" s="3420"/>
      <c r="Z35" s="1558" t="str">
        <f t="shared" si="15"/>
        <v>建筑品质</v>
      </c>
      <c r="AA35" s="1559">
        <f t="shared" si="3"/>
        <v>1</v>
      </c>
      <c r="AB35" s="1559">
        <f t="shared" si="4"/>
        <v>1</v>
      </c>
      <c r="AC35" s="1559">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420"/>
      <c r="Q36" s="1555" t="str">
        <f t="shared" si="11"/>
        <v>公共部分装修</v>
      </c>
      <c r="R36" s="1556" t="s">
        <v>11</v>
      </c>
      <c r="S36" s="1557">
        <f t="shared" si="12"/>
        <v>100</v>
      </c>
      <c r="T36" s="1556" t="s">
        <v>11</v>
      </c>
      <c r="U36" s="1557">
        <f t="shared" si="13"/>
        <v>100</v>
      </c>
      <c r="V36" s="1556" t="s">
        <v>11</v>
      </c>
      <c r="W36" s="1557">
        <f t="shared" si="14"/>
        <v>100</v>
      </c>
      <c r="X36" s="1550"/>
      <c r="Y36" s="3420"/>
      <c r="Z36" s="1558" t="str">
        <f t="shared" si="15"/>
        <v>公共部分装修</v>
      </c>
      <c r="AA36" s="1559">
        <f t="shared" si="3"/>
        <v>1</v>
      </c>
      <c r="AB36" s="1559">
        <f t="shared" si="4"/>
        <v>1</v>
      </c>
      <c r="AC36" s="1559">
        <f t="shared" si="5"/>
        <v>1</v>
      </c>
    </row>
    <row r="37" spans="1:29" s="1214" customFormat="1" ht="15">
      <c r="A37" s="598"/>
      <c r="B37" s="525" t="s">
        <v>730</v>
      </c>
      <c r="C37" s="881"/>
      <c r="D37" s="254">
        <v>100</v>
      </c>
      <c r="E37" s="882"/>
      <c r="F37" s="861" t="e">
        <f>LOOKUP(E37,112:112,113:113)-LOOKUP(C37,112:112,113:113)+100</f>
        <v>#N/A</v>
      </c>
      <c r="G37" s="883"/>
      <c r="H37" s="254" t="e">
        <f>LOOKUP(G37,112:112,113:113)-LOOKUP(C37,112:112,113:113)+100</f>
        <v>#N/A</v>
      </c>
      <c r="I37" s="882"/>
      <c r="J37" s="254" t="e">
        <f>LOOKUP(I37,112:112,113:113)-LOOKUP(C37,112:112,113:113)+100</f>
        <v>#N/A</v>
      </c>
      <c r="K37" s="862"/>
      <c r="L37" s="2117"/>
      <c r="M37" s="2118"/>
      <c r="N37" s="2118"/>
      <c r="O37" s="2119"/>
      <c r="P37" s="3420"/>
      <c r="Q37" s="1145" t="str">
        <f t="shared" si="11"/>
        <v>成新度</v>
      </c>
      <c r="R37" s="1551" t="s">
        <v>11</v>
      </c>
      <c r="S37" s="1552" t="e">
        <f t="shared" si="12"/>
        <v>#N/A</v>
      </c>
      <c r="T37" s="1551" t="s">
        <v>11</v>
      </c>
      <c r="U37" s="1552" t="e">
        <f t="shared" si="13"/>
        <v>#N/A</v>
      </c>
      <c r="V37" s="1551" t="s">
        <v>11</v>
      </c>
      <c r="W37" s="1552" t="e">
        <f t="shared" si="14"/>
        <v>#N/A</v>
      </c>
      <c r="X37" s="1553"/>
      <c r="Y37" s="3420"/>
      <c r="Z37" s="1144" t="str">
        <f t="shared" si="15"/>
        <v>成新度</v>
      </c>
      <c r="AA37" s="1554" t="e">
        <f t="shared" si="3"/>
        <v>#N/A</v>
      </c>
      <c r="AB37" s="1554" t="e">
        <f t="shared" si="4"/>
        <v>#N/A</v>
      </c>
      <c r="AC37" s="1554"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420" t="s">
        <v>550</v>
      </c>
      <c r="Q38" s="1555" t="str">
        <f t="shared" si="11"/>
        <v>物业管理</v>
      </c>
      <c r="R38" s="1556" t="s">
        <v>11</v>
      </c>
      <c r="S38" s="1557">
        <f t="shared" si="12"/>
        <v>100</v>
      </c>
      <c r="T38" s="1556" t="s">
        <v>11</v>
      </c>
      <c r="U38" s="1557">
        <f t="shared" si="13"/>
        <v>100</v>
      </c>
      <c r="V38" s="1556" t="s">
        <v>11</v>
      </c>
      <c r="W38" s="1557">
        <f t="shared" si="14"/>
        <v>100</v>
      </c>
      <c r="X38" s="1550"/>
      <c r="Y38" s="3420" t="s">
        <v>550</v>
      </c>
      <c r="Z38" s="1558" t="str">
        <f t="shared" si="15"/>
        <v>物业管理</v>
      </c>
      <c r="AA38" s="1559">
        <f t="shared" si="3"/>
        <v>1</v>
      </c>
      <c r="AB38" s="1559">
        <f t="shared" si="4"/>
        <v>1</v>
      </c>
      <c r="AC38" s="1559">
        <f t="shared" si="5"/>
        <v>1</v>
      </c>
    </row>
    <row r="39" spans="1:29" ht="15">
      <c r="A39" s="592"/>
      <c r="B39" s="1877" t="s">
        <v>2560</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420"/>
      <c r="Q39" s="1555" t="str">
        <f t="shared" si="11"/>
        <v>市政基础设施</v>
      </c>
      <c r="R39" s="1556" t="s">
        <v>11</v>
      </c>
      <c r="S39" s="1557">
        <f t="shared" si="12"/>
        <v>100</v>
      </c>
      <c r="T39" s="1556" t="s">
        <v>11</v>
      </c>
      <c r="U39" s="1557">
        <f t="shared" si="13"/>
        <v>100</v>
      </c>
      <c r="V39" s="1556" t="s">
        <v>11</v>
      </c>
      <c r="W39" s="1557">
        <f t="shared" si="14"/>
        <v>100</v>
      </c>
      <c r="X39" s="1550"/>
      <c r="Y39" s="3420"/>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420"/>
      <c r="Q40" s="1555" t="str">
        <f t="shared" si="11"/>
        <v>房型</v>
      </c>
      <c r="R40" s="1556" t="s">
        <v>11</v>
      </c>
      <c r="S40" s="1557">
        <f t="shared" si="12"/>
        <v>100</v>
      </c>
      <c r="T40" s="1556" t="s">
        <v>11</v>
      </c>
      <c r="U40" s="1557">
        <f t="shared" si="13"/>
        <v>100</v>
      </c>
      <c r="V40" s="1556" t="s">
        <v>11</v>
      </c>
      <c r="W40" s="1557">
        <f t="shared" si="14"/>
        <v>100</v>
      </c>
      <c r="X40" s="1550"/>
      <c r="Y40" s="3420"/>
      <c r="Z40" s="1558" t="str">
        <f t="shared" si="15"/>
        <v>房型</v>
      </c>
      <c r="AA40" s="1559">
        <f t="shared" si="3"/>
        <v>1</v>
      </c>
      <c r="AB40" s="1559">
        <f t="shared" si="4"/>
        <v>1</v>
      </c>
      <c r="AC40" s="1559">
        <f t="shared" si="5"/>
        <v>1</v>
      </c>
    </row>
    <row r="41" spans="1:29" s="1333" customFormat="1" ht="28.5">
      <c r="A41" s="601"/>
      <c r="B41" s="525" t="s">
        <v>733</v>
      </c>
      <c r="C41" s="878"/>
      <c r="D41" s="254">
        <v>100</v>
      </c>
      <c r="E41" s="532"/>
      <c r="F41" s="861">
        <f>SUMIF(120:120,E41,121:121)-SUMIF(120:120,C41,121:121)+100</f>
        <v>100</v>
      </c>
      <c r="G41" s="531"/>
      <c r="H41" s="254">
        <f>SUMIF(120:120,G41,121:121)-SUMIF(120:120,C41,121:121)+100</f>
        <v>100</v>
      </c>
      <c r="I41" s="584"/>
      <c r="J41" s="538">
        <f>SUMIF(120:120,I41,121:121)-SUMIF(120:120,C41,121:121)+100</f>
        <v>100</v>
      </c>
      <c r="K41" s="863"/>
      <c r="L41" s="2122"/>
      <c r="M41" s="2153"/>
      <c r="N41" s="2153"/>
      <c r="O41" s="2125"/>
      <c r="P41" s="3420"/>
      <c r="Q41" s="1587" t="str">
        <f t="shared" si="11"/>
        <v>单套/主力户型建筑面积</v>
      </c>
      <c r="R41" s="1560" t="s">
        <v>11</v>
      </c>
      <c r="S41" s="1561">
        <f t="shared" si="12"/>
        <v>100</v>
      </c>
      <c r="T41" s="1560" t="s">
        <v>11</v>
      </c>
      <c r="U41" s="1561">
        <f t="shared" si="13"/>
        <v>100</v>
      </c>
      <c r="V41" s="1560" t="s">
        <v>11</v>
      </c>
      <c r="W41" s="1561">
        <f t="shared" si="14"/>
        <v>100</v>
      </c>
      <c r="X41" s="1562"/>
      <c r="Y41" s="3420"/>
      <c r="Z41" s="1563" t="str">
        <f t="shared" si="15"/>
        <v>单套/主力户型建筑面积</v>
      </c>
      <c r="AA41" s="1559">
        <f t="shared" si="3"/>
        <v>1</v>
      </c>
      <c r="AB41" s="1559">
        <f t="shared" si="4"/>
        <v>1</v>
      </c>
      <c r="AC41" s="1559">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420"/>
      <c r="Q42" s="1555" t="str">
        <f t="shared" si="11"/>
        <v>内部装修</v>
      </c>
      <c r="R42" s="1556" t="s">
        <v>11</v>
      </c>
      <c r="S42" s="1557">
        <f t="shared" si="12"/>
        <v>100</v>
      </c>
      <c r="T42" s="1556" t="s">
        <v>11</v>
      </c>
      <c r="U42" s="1557">
        <f t="shared" si="13"/>
        <v>100</v>
      </c>
      <c r="V42" s="1556" t="s">
        <v>11</v>
      </c>
      <c r="W42" s="1557">
        <f t="shared" si="14"/>
        <v>100</v>
      </c>
      <c r="X42" s="1550"/>
      <c r="Y42" s="3420"/>
      <c r="Z42" s="1558" t="str">
        <f t="shared" si="15"/>
        <v>内部装修</v>
      </c>
      <c r="AA42" s="1559">
        <f t="shared" si="3"/>
        <v>1</v>
      </c>
      <c r="AB42" s="1559">
        <f t="shared" si="4"/>
        <v>1</v>
      </c>
      <c r="AC42" s="1559">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0"/>
      <c r="Q43" s="1555" t="str">
        <f t="shared" si="11"/>
        <v>内部装修维护情况</v>
      </c>
      <c r="R43" s="1556" t="s">
        <v>11</v>
      </c>
      <c r="S43" s="1557">
        <f t="shared" si="12"/>
        <v>100</v>
      </c>
      <c r="T43" s="1556" t="s">
        <v>11</v>
      </c>
      <c r="U43" s="1557">
        <f t="shared" si="13"/>
        <v>100</v>
      </c>
      <c r="V43" s="1556" t="s">
        <v>11</v>
      </c>
      <c r="W43" s="1557">
        <f t="shared" si="14"/>
        <v>100</v>
      </c>
      <c r="X43" s="1550"/>
      <c r="Y43" s="3420"/>
      <c r="Z43" s="1558" t="str">
        <f t="shared" si="15"/>
        <v>内部装修维护情况</v>
      </c>
      <c r="AA43" s="1559">
        <f t="shared" si="3"/>
        <v>1</v>
      </c>
      <c r="AB43" s="1559">
        <f t="shared" si="4"/>
        <v>1</v>
      </c>
      <c r="AC43" s="1559">
        <f t="shared" si="5"/>
        <v>1</v>
      </c>
    </row>
    <row r="44" spans="1:29" s="1214" customFormat="1" ht="15">
      <c r="A44" s="598"/>
      <c r="B44" s="875">
        <v>111</v>
      </c>
      <c r="C44" s="878"/>
      <c r="D44" s="254">
        <v>100</v>
      </c>
      <c r="E44" s="878"/>
      <c r="F44" s="861">
        <f>SUMIF(126:126,E44,127:127)-SUMIF(126:126,C44,127:127)+100</f>
        <v>100</v>
      </c>
      <c r="G44" s="878"/>
      <c r="H44" s="254">
        <f>SUMIF(126:126,G44,127:127)-SUMIF(126:126,C44,127:127)+100</f>
        <v>100</v>
      </c>
      <c r="I44" s="878"/>
      <c r="J44" s="254">
        <f>SUMIF(126:126,I44,127:127)-SUMIF(126:126,C44,127:127)+100</f>
        <v>100</v>
      </c>
      <c r="K44" s="863"/>
      <c r="L44" s="2117"/>
      <c r="M44" s="2118"/>
      <c r="N44" s="2118"/>
      <c r="O44" s="2119"/>
      <c r="P44" s="3420"/>
      <c r="Q44" s="1145">
        <f t="shared" si="11"/>
        <v>111</v>
      </c>
      <c r="R44" s="1551" t="s">
        <v>11</v>
      </c>
      <c r="S44" s="1552">
        <f t="shared" si="12"/>
        <v>100</v>
      </c>
      <c r="T44" s="1551" t="s">
        <v>11</v>
      </c>
      <c r="U44" s="1552">
        <f t="shared" si="13"/>
        <v>100</v>
      </c>
      <c r="V44" s="1551" t="s">
        <v>11</v>
      </c>
      <c r="W44" s="1552">
        <f t="shared" si="14"/>
        <v>100</v>
      </c>
      <c r="X44" s="1553"/>
      <c r="Y44" s="3420"/>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0"/>
      <c r="Q45" s="1555">
        <f t="shared" si="11"/>
        <v>111</v>
      </c>
      <c r="R45" s="1556" t="s">
        <v>11</v>
      </c>
      <c r="S45" s="1557">
        <f t="shared" si="12"/>
        <v>100</v>
      </c>
      <c r="T45" s="1556" t="s">
        <v>11</v>
      </c>
      <c r="U45" s="1557">
        <f t="shared" si="13"/>
        <v>100</v>
      </c>
      <c r="V45" s="1556" t="s">
        <v>11</v>
      </c>
      <c r="W45" s="1557">
        <f t="shared" si="14"/>
        <v>100</v>
      </c>
      <c r="X45" s="1550"/>
      <c r="Y45" s="3420"/>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1"/>
      <c r="Q46" s="1555">
        <f t="shared" si="11"/>
        <v>111</v>
      </c>
      <c r="R46" s="1556" t="s">
        <v>10</v>
      </c>
      <c r="S46" s="1557">
        <f t="shared" si="12"/>
        <v>100</v>
      </c>
      <c r="T46" s="1556" t="s">
        <v>10</v>
      </c>
      <c r="U46" s="1557">
        <f t="shared" si="13"/>
        <v>100</v>
      </c>
      <c r="V46" s="1556" t="s">
        <v>10</v>
      </c>
      <c r="W46" s="1557">
        <f t="shared" si="14"/>
        <v>100</v>
      </c>
      <c r="X46" s="1550"/>
      <c r="Y46" s="3501"/>
      <c r="Z46" s="1558">
        <f t="shared" si="15"/>
        <v>111</v>
      </c>
      <c r="AA46" s="1559">
        <f t="shared" si="3"/>
        <v>1</v>
      </c>
      <c r="AB46" s="1559">
        <f t="shared" si="4"/>
        <v>1</v>
      </c>
      <c r="AC46" s="1559">
        <f t="shared" si="5"/>
        <v>1</v>
      </c>
    </row>
    <row r="47" spans="1:29" ht="15">
      <c r="A47" s="605" t="s">
        <v>736</v>
      </c>
      <c r="B47" s="885"/>
      <c r="C47" s="2588" t="s">
        <v>9</v>
      </c>
      <c r="D47" s="2589"/>
      <c r="E47" s="2590"/>
      <c r="F47" s="2591"/>
      <c r="G47" s="2592"/>
      <c r="H47" s="2593"/>
      <c r="I47" s="2590"/>
      <c r="J47" s="2593"/>
      <c r="K47" s="1588"/>
      <c r="L47" s="2126"/>
      <c r="M47" s="2127"/>
      <c r="N47" s="2116"/>
      <c r="O47" s="2127"/>
      <c r="P47" s="3383" t="str">
        <f>A47</f>
        <v>成交单价（元/平方米）</v>
      </c>
      <c r="Q47" s="3383"/>
      <c r="R47" s="3500">
        <f>E47</f>
        <v>0</v>
      </c>
      <c r="S47" s="3500"/>
      <c r="T47" s="3500">
        <f>G47</f>
        <v>0</v>
      </c>
      <c r="U47" s="3500"/>
      <c r="V47" s="3500">
        <f>I47</f>
        <v>0</v>
      </c>
      <c r="W47" s="3500"/>
      <c r="X47" s="1542"/>
      <c r="Y47" s="1564"/>
      <c r="Z47" s="1542"/>
      <c r="AA47" s="1542"/>
      <c r="AB47" s="1542"/>
      <c r="AC47" s="1542"/>
    </row>
    <row r="48" spans="1:29" ht="15.75" thickBot="1">
      <c r="A48" s="613" t="s">
        <v>2755</v>
      </c>
      <c r="B48" s="886"/>
      <c r="C48" s="2594" t="e">
        <f>R49</f>
        <v>#DIV/0!</v>
      </c>
      <c r="D48" s="2595"/>
      <c r="E48" s="2596" t="e">
        <f>R48</f>
        <v>#DIV/0!</v>
      </c>
      <c r="F48" s="2596"/>
      <c r="G48" s="2594" t="e">
        <f>T48</f>
        <v>#DIV/0!</v>
      </c>
      <c r="H48" s="2595"/>
      <c r="I48" s="2596" t="e">
        <f>V48</f>
        <v>#DIV/0!</v>
      </c>
      <c r="J48" s="2595"/>
      <c r="K48" s="1589"/>
      <c r="L48" s="2126"/>
      <c r="M48" s="2127"/>
      <c r="N48" s="2127"/>
      <c r="O48" s="2127"/>
      <c r="P48" s="3383" t="str">
        <f>A48</f>
        <v>比较价格（元/平方米）</v>
      </c>
      <c r="Q48" s="3383"/>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75" thickBot="1">
      <c r="A49" s="619" t="s">
        <v>2923</v>
      </c>
      <c r="B49" s="620"/>
      <c r="C49" s="2597" t="e">
        <f>R49</f>
        <v>#DIV/0!</v>
      </c>
      <c r="D49" s="2597"/>
      <c r="E49" s="2597"/>
      <c r="F49" s="2597"/>
      <c r="G49" s="2597"/>
      <c r="H49" s="2597"/>
      <c r="I49" s="2597"/>
      <c r="J49" s="2597"/>
      <c r="K49" s="1590"/>
      <c r="L49" s="2126"/>
      <c r="M49" s="2127"/>
      <c r="N49" s="2127"/>
      <c r="O49" s="2127"/>
      <c r="P49" s="3380" t="str">
        <f>A49</f>
        <v>估价对象XX用房的比较价格（楼面单价，元/平方米）</v>
      </c>
      <c r="Q49" s="3381"/>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2253</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2254</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2255</v>
      </c>
      <c r="C137" s="1901"/>
      <c r="D137" s="1901"/>
      <c r="E137" s="1901"/>
      <c r="F137" s="1901"/>
      <c r="G137" s="1902"/>
      <c r="H137" s="1903"/>
      <c r="I137" s="1904" t="s">
        <v>2256</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2257</v>
      </c>
      <c r="D138" s="1907" t="s">
        <v>2258</v>
      </c>
      <c r="E138" s="1908" t="s">
        <v>2259</v>
      </c>
      <c r="F138" s="1909" t="s">
        <v>2260</v>
      </c>
      <c r="G138" s="1907" t="s">
        <v>2261</v>
      </c>
      <c r="H138" s="1910" t="s">
        <v>2262</v>
      </c>
      <c r="I138" s="1911"/>
      <c r="J138" s="1907" t="s">
        <v>2263</v>
      </c>
      <c r="K138" s="1910" t="s">
        <v>2264</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2265</v>
      </c>
      <c r="E139" s="1881">
        <v>100</v>
      </c>
      <c r="F139" s="1882">
        <v>102.5</v>
      </c>
      <c r="G139" s="1912" t="s">
        <v>2266</v>
      </c>
      <c r="H139" s="1883">
        <v>105</v>
      </c>
      <c r="I139" s="1913" t="s">
        <v>2267</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2268</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2269</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2270</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2271</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2272</v>
      </c>
      <c r="E144" s="1887">
        <v>102</v>
      </c>
      <c r="F144" s="1893">
        <v>100</v>
      </c>
      <c r="G144" s="1916" t="s">
        <v>2272</v>
      </c>
      <c r="H144" s="1889">
        <v>105</v>
      </c>
      <c r="I144" s="1915" t="s">
        <v>2271</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2273</v>
      </c>
      <c r="C145" s="1894">
        <f>ROUND(MAX(C139:C144)/MIN(C139:C144)-1,3)</f>
        <v>7.2999999999999995E-2</v>
      </c>
      <c r="D145" s="1918"/>
      <c r="E145" s="1918"/>
      <c r="F145" s="1919" t="s">
        <v>2274</v>
      </c>
      <c r="G145" s="1920"/>
      <c r="H145" s="1921"/>
      <c r="I145" s="1922" t="s">
        <v>2271</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2283</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2284</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89" t="s">
        <v>522</v>
      </c>
      <c r="D4" s="3390"/>
      <c r="E4" s="3423" t="s">
        <v>523</v>
      </c>
      <c r="F4" s="3424"/>
      <c r="G4" s="3389" t="s">
        <v>524</v>
      </c>
      <c r="H4" s="3390"/>
      <c r="I4" s="3389" t="s">
        <v>525</v>
      </c>
      <c r="J4" s="3390"/>
      <c r="K4" s="512" t="s">
        <v>526</v>
      </c>
      <c r="L4" s="2115"/>
      <c r="M4" s="2116"/>
      <c r="N4" s="2116"/>
      <c r="O4" s="2116"/>
      <c r="P4" s="3391" t="s">
        <v>527</v>
      </c>
      <c r="Q4" s="3392"/>
      <c r="R4" s="3397" t="s">
        <v>523</v>
      </c>
      <c r="S4" s="3398"/>
      <c r="T4" s="3397" t="s">
        <v>524</v>
      </c>
      <c r="U4" s="3398"/>
      <c r="V4" s="3384" t="s">
        <v>525</v>
      </c>
      <c r="W4" s="3384"/>
      <c r="X4" s="1550"/>
      <c r="Y4" s="3397" t="s">
        <v>527</v>
      </c>
      <c r="Z4" s="3398"/>
      <c r="AA4" s="3386" t="s">
        <v>523</v>
      </c>
      <c r="AB4" s="3384" t="s">
        <v>524</v>
      </c>
      <c r="AC4" s="3386" t="s">
        <v>525</v>
      </c>
    </row>
    <row r="5" spans="1:29" ht="15">
      <c r="A5" s="513"/>
      <c r="B5" s="514"/>
      <c r="C5" s="3405" t="s">
        <v>2917</v>
      </c>
      <c r="D5" s="3406"/>
      <c r="E5" s="3425" t="s">
        <v>2918</v>
      </c>
      <c r="F5" s="3426"/>
      <c r="G5" s="3405" t="s">
        <v>2919</v>
      </c>
      <c r="H5" s="3406"/>
      <c r="I5" s="3405" t="s">
        <v>2920</v>
      </c>
      <c r="J5" s="3406"/>
      <c r="K5" s="512"/>
      <c r="L5" s="2115"/>
      <c r="M5" s="2116"/>
      <c r="N5" s="2116"/>
      <c r="O5" s="2116"/>
      <c r="P5" s="3393"/>
      <c r="Q5" s="3394"/>
      <c r="R5" s="3399"/>
      <c r="S5" s="3400"/>
      <c r="T5" s="3399"/>
      <c r="U5" s="3400"/>
      <c r="V5" s="3384"/>
      <c r="W5" s="3384"/>
      <c r="X5" s="1550"/>
      <c r="Y5" s="3399"/>
      <c r="Z5" s="3400"/>
      <c r="AA5" s="3387"/>
      <c r="AB5" s="3384"/>
      <c r="AC5" s="3387"/>
    </row>
    <row r="6" spans="1:29" ht="15.75" thickBot="1">
      <c r="A6" s="515"/>
      <c r="B6" s="516"/>
      <c r="C6" s="3403" t="s">
        <v>2921</v>
      </c>
      <c r="D6" s="3404"/>
      <c r="E6" s="3421" t="s">
        <v>2921</v>
      </c>
      <c r="F6" s="3422"/>
      <c r="G6" s="3403" t="s">
        <v>2921</v>
      </c>
      <c r="H6" s="3404"/>
      <c r="I6" s="3403" t="s">
        <v>2921</v>
      </c>
      <c r="J6" s="3404"/>
      <c r="K6" s="512" t="s">
        <v>528</v>
      </c>
      <c r="L6" s="2115"/>
      <c r="M6" s="2116"/>
      <c r="N6" s="2116"/>
      <c r="O6" s="2116"/>
      <c r="P6" s="3395"/>
      <c r="Q6" s="3396"/>
      <c r="R6" s="3399"/>
      <c r="S6" s="3400"/>
      <c r="T6" s="3401"/>
      <c r="U6" s="3402"/>
      <c r="V6" s="3384"/>
      <c r="W6" s="3384"/>
      <c r="X6" s="1550"/>
      <c r="Y6" s="3401"/>
      <c r="Z6" s="3402"/>
      <c r="AA6" s="3388"/>
      <c r="AB6" s="3384"/>
      <c r="AC6" s="3388"/>
    </row>
    <row r="7" spans="1:29" s="1214" customFormat="1" ht="15.75" thickBot="1">
      <c r="A7" s="2864"/>
      <c r="B7" s="2871" t="s">
        <v>529</v>
      </c>
      <c r="C7" s="517">
        <f>'数据-取费表'!B2</f>
        <v>43833</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4"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46" si="3">D8/F8</f>
        <v>#DIV/0!</v>
      </c>
      <c r="AB8" s="1554" t="e">
        <f t="shared" ref="AB8:AB46" si="4">D8/H8</f>
        <v>#DIV/0!</v>
      </c>
      <c r="AC8" s="1554" t="e">
        <f t="shared" ref="AC8:AC46" si="5">D8/J8</f>
        <v>#DIV/0!</v>
      </c>
    </row>
    <row r="9" spans="1:29" s="1214" customFormat="1" ht="15">
      <c r="A9" s="2866"/>
      <c r="B9" s="2873" t="s">
        <v>2751</v>
      </c>
      <c r="C9" s="855"/>
      <c r="D9" s="253">
        <v>100</v>
      </c>
      <c r="E9" s="858"/>
      <c r="F9" s="253">
        <f>SUMIF(63:63,E9,64:64)-SUMIF(63:63,C9,64:64)+100</f>
        <v>100</v>
      </c>
      <c r="G9" s="856"/>
      <c r="H9" s="253">
        <f>SUMIF(63:63,G9,64:64)-SUMIF(63:63,C9,64:64)+100</f>
        <v>100</v>
      </c>
      <c r="I9" s="856"/>
      <c r="J9" s="253">
        <f>SUMIF(63:63,I9,64:64)-SUMIF(63:63,C9,64:64)+100</f>
        <v>100</v>
      </c>
      <c r="K9" s="522"/>
      <c r="L9" s="2117"/>
      <c r="M9" s="2118"/>
      <c r="N9" s="2118"/>
      <c r="O9" s="2119"/>
      <c r="P9" s="3383" t="s">
        <v>535</v>
      </c>
      <c r="Q9" s="1145" t="str">
        <f t="shared" ref="Q9:Q15" si="6">B9</f>
        <v>用途</v>
      </c>
      <c r="R9" s="1551" t="s">
        <v>8</v>
      </c>
      <c r="S9" s="1552">
        <f t="shared" si="0"/>
        <v>100</v>
      </c>
      <c r="T9" s="1551" t="s">
        <v>8</v>
      </c>
      <c r="U9" s="1552">
        <f t="shared" si="1"/>
        <v>100</v>
      </c>
      <c r="V9" s="1551" t="s">
        <v>8</v>
      </c>
      <c r="W9" s="1552">
        <f t="shared" si="2"/>
        <v>100</v>
      </c>
      <c r="X9" s="1553"/>
      <c r="Y9" s="3329" t="s">
        <v>536</v>
      </c>
      <c r="Z9" s="1144" t="str">
        <f t="shared" ref="Z9:Z15" si="7">Q9</f>
        <v>用途</v>
      </c>
      <c r="AA9" s="1554">
        <f t="shared" si="3"/>
        <v>1</v>
      </c>
      <c r="AB9" s="1554">
        <f t="shared" si="4"/>
        <v>1</v>
      </c>
      <c r="AC9" s="1554">
        <f t="shared" si="5"/>
        <v>1</v>
      </c>
    </row>
    <row r="10" spans="1:29" s="1332" customFormat="1" ht="27">
      <c r="A10" s="2867"/>
      <c r="B10" s="2872" t="s">
        <v>2752</v>
      </c>
      <c r="C10" s="859"/>
      <c r="D10" s="254">
        <v>100</v>
      </c>
      <c r="E10" s="859"/>
      <c r="F10" s="254">
        <f>SUMIF(65:65,E10,66:66)-SUMIF(65:65,C10,66:66)+100</f>
        <v>100</v>
      </c>
      <c r="G10" s="860"/>
      <c r="H10" s="254">
        <f>SUMIF(65:65,G10,66:66)-SUMIF(65:65,C10,66:66)+100</f>
        <v>100</v>
      </c>
      <c r="I10" s="859"/>
      <c r="J10" s="254">
        <f>SUMIF(65:65,I10,66:66)-SUMIF(65:65,C10,66:66)+100</f>
        <v>100</v>
      </c>
      <c r="K10" s="582"/>
      <c r="L10" s="2120"/>
      <c r="M10" s="2160"/>
      <c r="N10" s="2160"/>
      <c r="O10" s="2121"/>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LOOKUP(E11,68:68,69:69)-LOOKUP(C11,68:68,69:69)+100</f>
        <v>#N/A</v>
      </c>
      <c r="G11" s="532"/>
      <c r="H11" s="254" t="e">
        <f>LOOKUP(G11,68:68,69:69)-LOOKUP(C11,68:68,69:69)+100</f>
        <v>#N/A</v>
      </c>
      <c r="I11" s="531"/>
      <c r="J11" s="254" t="e">
        <f>LOOKUP(I11,68:68,69:69)-LOOKUP(C11,68:68,69:69)+100</f>
        <v>#N/A</v>
      </c>
      <c r="K11" s="582"/>
      <c r="L11" s="2122"/>
      <c r="M11" s="2116"/>
      <c r="N11" s="2116"/>
      <c r="O11" s="2123"/>
      <c r="P11" s="3383"/>
      <c r="Q11" s="1145" t="str">
        <f t="shared" si="6"/>
        <v>容积率</v>
      </c>
      <c r="R11" s="1551" t="s">
        <v>8</v>
      </c>
      <c r="S11" s="1552" t="e">
        <f t="shared" si="0"/>
        <v>#N/A</v>
      </c>
      <c r="T11" s="1551" t="s">
        <v>8</v>
      </c>
      <c r="U11" s="1552" t="e">
        <f t="shared" si="1"/>
        <v>#N/A</v>
      </c>
      <c r="V11" s="1551" t="s">
        <v>8</v>
      </c>
      <c r="W11" s="1552" t="e">
        <f t="shared" si="2"/>
        <v>#N/A</v>
      </c>
      <c r="X11" s="1553"/>
      <c r="Y11" s="332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4">
        <f>SUMIF(70:70,E12,71:71)-SUMIF(70:70,C12,71:71)+100</f>
        <v>100</v>
      </c>
      <c r="G12" s="910"/>
      <c r="H12" s="254">
        <f>SUMIF(70:70,G12,71:71)-SUMIF(70:70,C12,71:71)+100</f>
        <v>100</v>
      </c>
      <c r="I12" s="537"/>
      <c r="J12" s="254">
        <f>SUMIF(70:70,I12,71:71)-SUMIF(70:70,C12,71:71)+100</f>
        <v>100</v>
      </c>
      <c r="K12" s="579"/>
      <c r="L12" s="2117"/>
      <c r="M12" s="2118"/>
      <c r="N12" s="2118"/>
      <c r="O12" s="2119"/>
      <c r="P12" s="3383"/>
      <c r="Q12" s="1145">
        <f t="shared" si="6"/>
        <v>111</v>
      </c>
      <c r="R12" s="1551" t="s">
        <v>8</v>
      </c>
      <c r="S12" s="1552">
        <f t="shared" si="0"/>
        <v>100</v>
      </c>
      <c r="T12" s="1551" t="s">
        <v>8</v>
      </c>
      <c r="U12" s="1552">
        <f t="shared" si="1"/>
        <v>100</v>
      </c>
      <c r="V12" s="1551" t="s">
        <v>8</v>
      </c>
      <c r="W12" s="1552">
        <f t="shared" si="2"/>
        <v>100</v>
      </c>
      <c r="X12" s="1553"/>
      <c r="Y12" s="3329"/>
      <c r="Z12" s="1144">
        <f t="shared" si="7"/>
        <v>111</v>
      </c>
      <c r="AA12" s="1554">
        <f>D12/F12</f>
        <v>1</v>
      </c>
      <c r="AB12" s="1554">
        <f>D12/H12</f>
        <v>1</v>
      </c>
      <c r="AC12" s="1554">
        <f>D12/J12</f>
        <v>1</v>
      </c>
    </row>
    <row r="13" spans="1:29" ht="15">
      <c r="A13" s="2869"/>
      <c r="B13" s="2875">
        <v>111</v>
      </c>
      <c r="C13" s="537"/>
      <c r="D13" s="538">
        <v>100</v>
      </c>
      <c r="E13" s="537"/>
      <c r="F13" s="254">
        <f>SUMIF(72:72,E13,73:73)-SUMIF(72:72,C13,73:73)+100</f>
        <v>100</v>
      </c>
      <c r="G13" s="910"/>
      <c r="H13" s="538">
        <f>SUMIF(72:72,G13,73:73)-SUMIF(72:72,C13,73:73)+100</f>
        <v>100</v>
      </c>
      <c r="I13" s="537"/>
      <c r="J13" s="538">
        <f>SUMIF(72:72,I13,73:73)-SUMIF(72:72,C13,73:73)+100</f>
        <v>100</v>
      </c>
      <c r="K13" s="579"/>
      <c r="L13" s="2124"/>
      <c r="M13" s="2116"/>
      <c r="N13" s="2116"/>
      <c r="O13" s="2123"/>
      <c r="P13" s="3383"/>
      <c r="Q13" s="1145">
        <f t="shared" si="6"/>
        <v>111</v>
      </c>
      <c r="R13" s="1551" t="s">
        <v>8</v>
      </c>
      <c r="S13" s="1552">
        <f t="shared" si="0"/>
        <v>100</v>
      </c>
      <c r="T13" s="1551" t="s">
        <v>8</v>
      </c>
      <c r="U13" s="1552">
        <f t="shared" si="1"/>
        <v>100</v>
      </c>
      <c r="V13" s="1551" t="s">
        <v>8</v>
      </c>
      <c r="W13" s="1552">
        <f t="shared" si="2"/>
        <v>100</v>
      </c>
      <c r="X13" s="1553"/>
      <c r="Y13" s="3329"/>
      <c r="Z13" s="1144">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83"/>
      <c r="Q14" s="1145">
        <f t="shared" si="6"/>
        <v>111</v>
      </c>
      <c r="R14" s="1551" t="s">
        <v>8</v>
      </c>
      <c r="S14" s="1552">
        <f t="shared" si="0"/>
        <v>100</v>
      </c>
      <c r="T14" s="1551" t="s">
        <v>8</v>
      </c>
      <c r="U14" s="1552">
        <f t="shared" si="1"/>
        <v>100</v>
      </c>
      <c r="V14" s="1551" t="s">
        <v>8</v>
      </c>
      <c r="W14" s="1552">
        <f t="shared" si="2"/>
        <v>100</v>
      </c>
      <c r="X14" s="1553"/>
      <c r="Y14" s="3329"/>
      <c r="Z14" s="1144">
        <f t="shared" si="7"/>
        <v>111</v>
      </c>
      <c r="AA14" s="1554">
        <f t="shared" si="3"/>
        <v>1</v>
      </c>
      <c r="AB14" s="1554">
        <f t="shared" si="4"/>
        <v>1</v>
      </c>
      <c r="AC14" s="1554">
        <f t="shared" si="5"/>
        <v>1</v>
      </c>
    </row>
    <row r="15" spans="1:29" ht="57">
      <c r="A15" s="2862" t="s">
        <v>2749</v>
      </c>
      <c r="B15" s="165" t="s">
        <v>541</v>
      </c>
      <c r="C15" s="865" t="str">
        <f>估价对象房地状况!C4</f>
        <v>周边商业氛围较差，人流量一般，商业繁华度一般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17" t="s">
        <v>540</v>
      </c>
      <c r="Q15" s="1555" t="str">
        <f t="shared" si="6"/>
        <v>商业繁华度</v>
      </c>
      <c r="R15" s="1556" t="s">
        <v>8</v>
      </c>
      <c r="S15" s="1557">
        <f t="shared" si="0"/>
        <v>100</v>
      </c>
      <c r="T15" s="1556" t="s">
        <v>8</v>
      </c>
      <c r="U15" s="1557">
        <f t="shared" si="1"/>
        <v>100</v>
      </c>
      <c r="V15" s="1556" t="s">
        <v>8</v>
      </c>
      <c r="W15" s="1557">
        <f t="shared" si="2"/>
        <v>100</v>
      </c>
      <c r="X15" s="1550"/>
      <c r="Y15" s="3417"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8"/>
      <c r="Q16" s="1555"/>
      <c r="R16" s="1556"/>
      <c r="S16" s="1557"/>
      <c r="T16" s="1556"/>
      <c r="U16" s="1557"/>
      <c r="V16" s="1556"/>
      <c r="W16" s="1557"/>
      <c r="X16" s="1550"/>
      <c r="Y16" s="3418"/>
      <c r="Z16" s="1558"/>
      <c r="AA16" s="1559">
        <v>1</v>
      </c>
      <c r="AB16" s="1559">
        <v>1</v>
      </c>
      <c r="AC16" s="1559">
        <v>1</v>
      </c>
    </row>
    <row r="17" spans="1:29" ht="85.5">
      <c r="A17" s="530"/>
      <c r="B17" s="869" t="s">
        <v>296</v>
      </c>
      <c r="C17" s="870" t="str">
        <f>估价对象房地状况!C6</f>
        <v>估价对象周边道路状况较通达、公共交通通达情况一般、停车较便捷，综合评价交通便捷度一般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8"/>
      <c r="Q18" s="1555"/>
      <c r="R18" s="1556"/>
      <c r="S18" s="1557"/>
      <c r="T18" s="1556"/>
      <c r="U18" s="1557"/>
      <c r="V18" s="1556"/>
      <c r="W18" s="1557"/>
      <c r="X18" s="1550"/>
      <c r="Y18" s="3418"/>
      <c r="Z18" s="1558"/>
      <c r="AA18" s="1559">
        <v>1</v>
      </c>
      <c r="AB18" s="1559">
        <v>1</v>
      </c>
      <c r="AC18" s="1559">
        <v>1</v>
      </c>
    </row>
    <row r="19" spans="1:29" ht="42.75">
      <c r="A19" s="530"/>
      <c r="B19" s="2561" t="s">
        <v>2542</v>
      </c>
      <c r="C19" s="870" t="str">
        <f>估价对象房地状况!C7</f>
        <v>估价对象所在区域公共配套设施程度一般</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18"/>
      <c r="Q20" s="1555"/>
      <c r="R20" s="1556"/>
      <c r="S20" s="1557"/>
      <c r="T20" s="1556"/>
      <c r="U20" s="1557"/>
      <c r="V20" s="1556"/>
      <c r="W20" s="1557"/>
      <c r="X20" s="1550"/>
      <c r="Y20" s="3418"/>
      <c r="Z20" s="1558"/>
      <c r="AA20" s="1559">
        <v>1</v>
      </c>
      <c r="AB20" s="1559">
        <v>1</v>
      </c>
      <c r="AC20" s="1559">
        <v>1</v>
      </c>
    </row>
    <row r="21" spans="1:29" ht="42.75">
      <c r="A21" s="530"/>
      <c r="B21" s="2554"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18"/>
      <c r="Q22" s="2540"/>
      <c r="R22" s="1556"/>
      <c r="S22" s="1557"/>
      <c r="T22" s="1556"/>
      <c r="U22" s="1557"/>
      <c r="V22" s="1556"/>
      <c r="W22" s="1557"/>
      <c r="X22" s="2542"/>
      <c r="Y22" s="3418"/>
      <c r="Z22" s="2541"/>
      <c r="AA22" s="1559">
        <v>1</v>
      </c>
      <c r="AB22" s="1559">
        <v>1</v>
      </c>
      <c r="AC22" s="1559">
        <v>1</v>
      </c>
    </row>
    <row r="23" spans="1:29" ht="57">
      <c r="A23" s="530"/>
      <c r="B23" s="869" t="s">
        <v>297</v>
      </c>
      <c r="C23" s="898" t="str">
        <f>估价对象房地状况!C9</f>
        <v>区域自然环境较好；人文环境一般；综合评价环境状况较好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18"/>
      <c r="Q23" s="1555" t="str">
        <f>B23</f>
        <v>自然及人文环境</v>
      </c>
      <c r="R23" s="1556" t="s">
        <v>8</v>
      </c>
      <c r="S23" s="1557">
        <f>F23</f>
        <v>100</v>
      </c>
      <c r="T23" s="1556" t="s">
        <v>8</v>
      </c>
      <c r="U23" s="1557">
        <f>H23</f>
        <v>100</v>
      </c>
      <c r="V23" s="1556" t="s">
        <v>8</v>
      </c>
      <c r="W23" s="1557">
        <f>J23</f>
        <v>100</v>
      </c>
      <c r="X23" s="1550"/>
      <c r="Y23" s="3418"/>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8"/>
      <c r="Q25" s="1555" t="str">
        <f t="shared" ref="Q25:Q46" si="11">B25</f>
        <v>临街状况</v>
      </c>
      <c r="R25" s="1556" t="s">
        <v>8</v>
      </c>
      <c r="S25" s="1557">
        <f>F25</f>
        <v>100</v>
      </c>
      <c r="T25" s="1556" t="s">
        <v>8</v>
      </c>
      <c r="U25" s="1557">
        <f>H25</f>
        <v>100</v>
      </c>
      <c r="V25" s="1556" t="s">
        <v>8</v>
      </c>
      <c r="W25" s="1557">
        <f>J25</f>
        <v>100</v>
      </c>
      <c r="X25" s="1550"/>
      <c r="Y25" s="3418"/>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8"/>
      <c r="Q26" s="1555" t="str">
        <f t="shared" si="11"/>
        <v>平面位置/可视性</v>
      </c>
      <c r="R26" s="1556" t="s">
        <v>8</v>
      </c>
      <c r="S26" s="1557">
        <f>F26</f>
        <v>100</v>
      </c>
      <c r="T26" s="1556" t="s">
        <v>8</v>
      </c>
      <c r="U26" s="1557">
        <f>H26</f>
        <v>100</v>
      </c>
      <c r="V26" s="1556" t="s">
        <v>8</v>
      </c>
      <c r="W26" s="1557">
        <f>J26</f>
        <v>100</v>
      </c>
      <c r="X26" s="1550"/>
      <c r="Y26" s="3418"/>
      <c r="Z26" s="1558" t="str">
        <f>Q26</f>
        <v>平面位置/可视性</v>
      </c>
      <c r="AA26" s="1559">
        <f t="shared" si="3"/>
        <v>1</v>
      </c>
      <c r="AB26" s="1559">
        <f t="shared" si="4"/>
        <v>1</v>
      </c>
      <c r="AC26" s="1559">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18"/>
      <c r="Q27" s="1145" t="str">
        <f t="shared" si="11"/>
        <v>人流量</v>
      </c>
      <c r="R27" s="1551" t="s">
        <v>8</v>
      </c>
      <c r="S27" s="1552">
        <f>F27</f>
        <v>100</v>
      </c>
      <c r="T27" s="1551" t="s">
        <v>8</v>
      </c>
      <c r="U27" s="1552">
        <f>H27</f>
        <v>100</v>
      </c>
      <c r="V27" s="1551" t="s">
        <v>8</v>
      </c>
      <c r="W27" s="1552">
        <f>J27</f>
        <v>100</v>
      </c>
      <c r="X27" s="1553"/>
      <c r="Y27" s="3418"/>
      <c r="Z27" s="1144"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8"/>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8"/>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8"/>
      <c r="Q29" s="1555">
        <f t="shared" si="11"/>
        <v>111</v>
      </c>
      <c r="R29" s="1556" t="s">
        <v>8</v>
      </c>
      <c r="S29" s="1557">
        <f t="shared" si="12"/>
        <v>100</v>
      </c>
      <c r="T29" s="1556" t="s">
        <v>8</v>
      </c>
      <c r="U29" s="1557">
        <f t="shared" si="13"/>
        <v>100</v>
      </c>
      <c r="V29" s="1556" t="s">
        <v>8</v>
      </c>
      <c r="W29" s="1557">
        <f t="shared" si="14"/>
        <v>100</v>
      </c>
      <c r="X29" s="1550"/>
      <c r="Y29" s="3418"/>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8"/>
      <c r="Q30" s="1555">
        <f t="shared" si="11"/>
        <v>111</v>
      </c>
      <c r="R30" s="1556" t="s">
        <v>8</v>
      </c>
      <c r="S30" s="1557">
        <f t="shared" si="12"/>
        <v>100</v>
      </c>
      <c r="T30" s="1556" t="s">
        <v>8</v>
      </c>
      <c r="U30" s="1557">
        <f t="shared" si="13"/>
        <v>100</v>
      </c>
      <c r="V30" s="1556" t="s">
        <v>8</v>
      </c>
      <c r="W30" s="1557">
        <f t="shared" si="14"/>
        <v>100</v>
      </c>
      <c r="X30" s="1550"/>
      <c r="Y30" s="3418"/>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8"/>
      <c r="Q31" s="1555">
        <f t="shared" si="11"/>
        <v>111</v>
      </c>
      <c r="R31" s="1556" t="s">
        <v>8</v>
      </c>
      <c r="S31" s="1557">
        <f t="shared" si="12"/>
        <v>100</v>
      </c>
      <c r="T31" s="1556" t="s">
        <v>8</v>
      </c>
      <c r="U31" s="1557">
        <f t="shared" si="13"/>
        <v>100</v>
      </c>
      <c r="V31" s="1556" t="s">
        <v>8</v>
      </c>
      <c r="W31" s="1557">
        <f t="shared" si="14"/>
        <v>100</v>
      </c>
      <c r="X31" s="1550"/>
      <c r="Y31" s="3418"/>
      <c r="Z31" s="1558">
        <f t="shared" si="15"/>
        <v>111</v>
      </c>
      <c r="AA31" s="1559">
        <f t="shared" si="3"/>
        <v>1</v>
      </c>
      <c r="AB31" s="1559">
        <f t="shared" si="4"/>
        <v>1</v>
      </c>
      <c r="AC31" s="1559">
        <f t="shared" si="5"/>
        <v>1</v>
      </c>
    </row>
    <row r="32" spans="1:29" ht="15">
      <c r="A32" s="2859" t="s">
        <v>2750</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9" t="s">
        <v>550</v>
      </c>
      <c r="Q32" s="1555" t="str">
        <f t="shared" si="11"/>
        <v>商业类型</v>
      </c>
      <c r="R32" s="1556" t="s">
        <v>8</v>
      </c>
      <c r="S32" s="1557">
        <f t="shared" si="12"/>
        <v>100</v>
      </c>
      <c r="T32" s="1556" t="s">
        <v>8</v>
      </c>
      <c r="U32" s="1557">
        <f t="shared" si="13"/>
        <v>100</v>
      </c>
      <c r="V32" s="1556" t="s">
        <v>8</v>
      </c>
      <c r="W32" s="1557">
        <f t="shared" si="14"/>
        <v>100</v>
      </c>
      <c r="X32" s="1550"/>
      <c r="Y32" s="3420" t="s">
        <v>550</v>
      </c>
      <c r="Z32" s="1558" t="str">
        <f t="shared" si="15"/>
        <v>商业类型</v>
      </c>
      <c r="AA32" s="1559">
        <f t="shared" si="3"/>
        <v>1</v>
      </c>
      <c r="AB32" s="1559">
        <f t="shared" si="4"/>
        <v>1</v>
      </c>
      <c r="AC32" s="1559">
        <f t="shared" si="5"/>
        <v>1</v>
      </c>
    </row>
    <row r="33" spans="1:29" s="1333" customFormat="1" ht="15">
      <c r="A33" s="601"/>
      <c r="B33" s="525" t="s">
        <v>726</v>
      </c>
      <c r="C33" s="878"/>
      <c r="D33" s="254">
        <v>100</v>
      </c>
      <c r="E33" s="532"/>
      <c r="F33" s="861" t="e">
        <f>LOOKUP(E33,103:103,104:104)-LOOKUP(C33,103:103,104:104)+100</f>
        <v>#N/A</v>
      </c>
      <c r="G33" s="531"/>
      <c r="H33" s="254" t="e">
        <f>LOOKUP(G33,103:103,104:104)-LOOKUP(C33,103:103,104:104)+100</f>
        <v>#N/A</v>
      </c>
      <c r="I33" s="531"/>
      <c r="J33" s="254" t="e">
        <f>LOOKUP(I33,103:103,104:104)-LOOKUP(C33,103:103,104:104)+100</f>
        <v>#N/A</v>
      </c>
      <c r="K33" s="579"/>
      <c r="L33" s="2122"/>
      <c r="M33" s="2153"/>
      <c r="N33" s="2153"/>
      <c r="O33" s="2125"/>
      <c r="P33" s="3420"/>
      <c r="Q33" s="1587" t="str">
        <f t="shared" si="11"/>
        <v>项目建筑规模</v>
      </c>
      <c r="R33" s="1560" t="s">
        <v>8</v>
      </c>
      <c r="S33" s="1561" t="e">
        <f t="shared" si="12"/>
        <v>#N/A</v>
      </c>
      <c r="T33" s="1560" t="s">
        <v>8</v>
      </c>
      <c r="U33" s="1561" t="e">
        <f t="shared" si="13"/>
        <v>#N/A</v>
      </c>
      <c r="V33" s="1560" t="s">
        <v>8</v>
      </c>
      <c r="W33" s="1561" t="e">
        <f t="shared" si="14"/>
        <v>#N/A</v>
      </c>
      <c r="X33" s="1562"/>
      <c r="Y33" s="3420"/>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20"/>
      <c r="Q34" s="1555" t="str">
        <f t="shared" si="11"/>
        <v>建筑结构</v>
      </c>
      <c r="R34" s="1556" t="s">
        <v>8</v>
      </c>
      <c r="S34" s="1557">
        <f t="shared" si="12"/>
        <v>100</v>
      </c>
      <c r="T34" s="1556" t="s">
        <v>8</v>
      </c>
      <c r="U34" s="1557">
        <f t="shared" si="13"/>
        <v>100</v>
      </c>
      <c r="V34" s="1556" t="s">
        <v>8</v>
      </c>
      <c r="W34" s="1557">
        <f t="shared" si="14"/>
        <v>100</v>
      </c>
      <c r="X34" s="1550"/>
      <c r="Y34" s="3420"/>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0"/>
      <c r="Q35" s="1555" t="str">
        <f t="shared" si="11"/>
        <v>公共部分装修</v>
      </c>
      <c r="R35" s="1556" t="s">
        <v>8</v>
      </c>
      <c r="S35" s="1557">
        <f t="shared" si="12"/>
        <v>100</v>
      </c>
      <c r="T35" s="1556" t="s">
        <v>8</v>
      </c>
      <c r="U35" s="1557">
        <f t="shared" si="13"/>
        <v>100</v>
      </c>
      <c r="V35" s="1556" t="s">
        <v>8</v>
      </c>
      <c r="W35" s="1557">
        <f t="shared" si="14"/>
        <v>100</v>
      </c>
      <c r="X35" s="1550"/>
      <c r="Y35" s="3420"/>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20"/>
      <c r="Q36" s="1555" t="str">
        <f t="shared" si="11"/>
        <v>成新度</v>
      </c>
      <c r="R36" s="1556" t="s">
        <v>8</v>
      </c>
      <c r="S36" s="1557" t="e">
        <f t="shared" si="12"/>
        <v>#N/A</v>
      </c>
      <c r="T36" s="1556" t="s">
        <v>8</v>
      </c>
      <c r="U36" s="1557" t="e">
        <f t="shared" si="13"/>
        <v>#N/A</v>
      </c>
      <c r="V36" s="1556" t="s">
        <v>8</v>
      </c>
      <c r="W36" s="1557" t="e">
        <f t="shared" si="14"/>
        <v>#N/A</v>
      </c>
      <c r="X36" s="1550"/>
      <c r="Y36" s="3420"/>
      <c r="Z36" s="1558" t="str">
        <f t="shared" si="15"/>
        <v>成新度</v>
      </c>
      <c r="AA36" s="1559" t="e">
        <f t="shared" si="3"/>
        <v>#N/A</v>
      </c>
      <c r="AB36" s="1559" t="e">
        <f t="shared" si="4"/>
        <v>#N/A</v>
      </c>
      <c r="AC36" s="1559" t="e">
        <f t="shared" si="5"/>
        <v>#N/A</v>
      </c>
    </row>
    <row r="37" spans="1:29" s="1214" customFormat="1" ht="15">
      <c r="A37" s="598"/>
      <c r="B37" s="1877" t="s">
        <v>2561</v>
      </c>
      <c r="C37" s="597"/>
      <c r="D37" s="254">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0"/>
      <c r="Q37" s="1145" t="str">
        <f t="shared" si="11"/>
        <v>市政基础设施</v>
      </c>
      <c r="R37" s="1551" t="s">
        <v>8</v>
      </c>
      <c r="S37" s="1552">
        <f t="shared" si="12"/>
        <v>100</v>
      </c>
      <c r="T37" s="1551" t="s">
        <v>8</v>
      </c>
      <c r="U37" s="1552">
        <f t="shared" si="13"/>
        <v>100</v>
      </c>
      <c r="V37" s="1551" t="s">
        <v>8</v>
      </c>
      <c r="W37" s="1552">
        <f t="shared" si="14"/>
        <v>100</v>
      </c>
      <c r="X37" s="1553"/>
      <c r="Y37" s="3420"/>
      <c r="Z37" s="1144"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0" t="s">
        <v>766</v>
      </c>
      <c r="Q38" s="1555" t="str">
        <f t="shared" si="11"/>
        <v>业态</v>
      </c>
      <c r="R38" s="1556" t="s">
        <v>8</v>
      </c>
      <c r="S38" s="1557">
        <f t="shared" si="12"/>
        <v>100</v>
      </c>
      <c r="T38" s="1556" t="s">
        <v>8</v>
      </c>
      <c r="U38" s="1557">
        <f t="shared" si="13"/>
        <v>100</v>
      </c>
      <c r="V38" s="1556" t="s">
        <v>8</v>
      </c>
      <c r="W38" s="1557">
        <f t="shared" si="14"/>
        <v>100</v>
      </c>
      <c r="X38" s="1550"/>
      <c r="Y38" s="3420"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0"/>
      <c r="Q39" s="1555" t="str">
        <f t="shared" si="11"/>
        <v>层高</v>
      </c>
      <c r="R39" s="1556" t="s">
        <v>8</v>
      </c>
      <c r="S39" s="1557">
        <f t="shared" si="12"/>
        <v>100</v>
      </c>
      <c r="T39" s="1556" t="s">
        <v>8</v>
      </c>
      <c r="U39" s="1557">
        <f t="shared" si="13"/>
        <v>100</v>
      </c>
      <c r="V39" s="1556" t="s">
        <v>8</v>
      </c>
      <c r="W39" s="1557">
        <f t="shared" si="14"/>
        <v>100</v>
      </c>
      <c r="X39" s="1550"/>
      <c r="Y39" s="3420"/>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20"/>
      <c r="Q40" s="1555" t="str">
        <f t="shared" si="11"/>
        <v>单套建筑面积</v>
      </c>
      <c r="R40" s="1556" t="s">
        <v>8</v>
      </c>
      <c r="S40" s="1557">
        <f t="shared" si="12"/>
        <v>100</v>
      </c>
      <c r="T40" s="1556" t="s">
        <v>8</v>
      </c>
      <c r="U40" s="1557">
        <f t="shared" si="13"/>
        <v>100</v>
      </c>
      <c r="V40" s="1556" t="s">
        <v>8</v>
      </c>
      <c r="W40" s="1557">
        <f t="shared" si="14"/>
        <v>100</v>
      </c>
      <c r="X40" s="1550"/>
      <c r="Y40" s="3420"/>
      <c r="Z40" s="1558" t="str">
        <f t="shared" si="15"/>
        <v>单套建筑面积</v>
      </c>
      <c r="AA40" s="1559">
        <f t="shared" si="3"/>
        <v>1</v>
      </c>
      <c r="AB40" s="1559">
        <f t="shared" si="4"/>
        <v>1</v>
      </c>
      <c r="AC40" s="1559">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0"/>
      <c r="Q41" s="1587" t="str">
        <f t="shared" si="11"/>
        <v>进深比</v>
      </c>
      <c r="R41" s="1560" t="s">
        <v>8</v>
      </c>
      <c r="S41" s="1561">
        <f t="shared" si="12"/>
        <v>100</v>
      </c>
      <c r="T41" s="1560" t="s">
        <v>8</v>
      </c>
      <c r="U41" s="1561">
        <f t="shared" si="13"/>
        <v>100</v>
      </c>
      <c r="V41" s="1560" t="s">
        <v>8</v>
      </c>
      <c r="W41" s="1561">
        <f t="shared" si="14"/>
        <v>100</v>
      </c>
      <c r="X41" s="1562"/>
      <c r="Y41" s="3420"/>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0"/>
      <c r="Q42" s="1555" t="str">
        <f t="shared" si="11"/>
        <v>内部装修</v>
      </c>
      <c r="R42" s="1556" t="s">
        <v>8</v>
      </c>
      <c r="S42" s="1557">
        <f t="shared" si="12"/>
        <v>100</v>
      </c>
      <c r="T42" s="1556" t="s">
        <v>8</v>
      </c>
      <c r="U42" s="1557">
        <f t="shared" si="13"/>
        <v>100</v>
      </c>
      <c r="V42" s="1556" t="s">
        <v>8</v>
      </c>
      <c r="W42" s="1557">
        <f t="shared" si="14"/>
        <v>100</v>
      </c>
      <c r="X42" s="1550"/>
      <c r="Y42" s="3420"/>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0"/>
      <c r="Q43" s="1555" t="str">
        <f t="shared" si="11"/>
        <v>内部装修维护情况</v>
      </c>
      <c r="R43" s="1556" t="s">
        <v>8</v>
      </c>
      <c r="S43" s="1557">
        <f t="shared" si="12"/>
        <v>100</v>
      </c>
      <c r="T43" s="1556" t="s">
        <v>8</v>
      </c>
      <c r="U43" s="1557">
        <f t="shared" si="13"/>
        <v>100</v>
      </c>
      <c r="V43" s="1556" t="s">
        <v>8</v>
      </c>
      <c r="W43" s="1557">
        <f t="shared" si="14"/>
        <v>100</v>
      </c>
      <c r="X43" s="1550"/>
      <c r="Y43" s="3420"/>
      <c r="Z43" s="1558" t="str">
        <f t="shared" si="15"/>
        <v>内部装修维护情况</v>
      </c>
      <c r="AA43" s="1559">
        <f t="shared" si="3"/>
        <v>1</v>
      </c>
      <c r="AB43" s="1559">
        <f t="shared" si="4"/>
        <v>1</v>
      </c>
      <c r="AC43" s="1559">
        <f t="shared" si="5"/>
        <v>1</v>
      </c>
    </row>
    <row r="44" spans="1:29" s="1214" customFormat="1" ht="15">
      <c r="A44" s="598"/>
      <c r="B44" s="875">
        <v>111</v>
      </c>
      <c r="C44" s="878"/>
      <c r="D44" s="254">
        <v>100</v>
      </c>
      <c r="E44" s="537"/>
      <c r="F44" s="861">
        <f>SUMIF(126:126,E44,127:127)-SUMIF(126:126,C44,127:127)+100</f>
        <v>100</v>
      </c>
      <c r="G44" s="537"/>
      <c r="H44" s="254">
        <f>SUMIF(126:126,G44,127:127)-SUMIF(126:126,C44,127:127)+100</f>
        <v>100</v>
      </c>
      <c r="I44" s="537"/>
      <c r="J44" s="254">
        <f>SUMIF(126:126,I44,127:127)-SUMIF(126:126,C44,127:127)+100</f>
        <v>100</v>
      </c>
      <c r="K44" s="579"/>
      <c r="L44" s="2117"/>
      <c r="M44" s="2118"/>
      <c r="N44" s="2118"/>
      <c r="O44" s="2119"/>
      <c r="P44" s="3420"/>
      <c r="Q44" s="1145">
        <f t="shared" si="11"/>
        <v>111</v>
      </c>
      <c r="R44" s="1551" t="s">
        <v>8</v>
      </c>
      <c r="S44" s="1552">
        <f t="shared" si="12"/>
        <v>100</v>
      </c>
      <c r="T44" s="1551" t="s">
        <v>8</v>
      </c>
      <c r="U44" s="1552">
        <f t="shared" si="13"/>
        <v>100</v>
      </c>
      <c r="V44" s="1551" t="s">
        <v>8</v>
      </c>
      <c r="W44" s="1552">
        <f t="shared" si="14"/>
        <v>100</v>
      </c>
      <c r="X44" s="1553"/>
      <c r="Y44" s="3420"/>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0"/>
      <c r="Q45" s="1555">
        <f t="shared" si="11"/>
        <v>111</v>
      </c>
      <c r="R45" s="1556" t="s">
        <v>8</v>
      </c>
      <c r="S45" s="1557">
        <f t="shared" si="12"/>
        <v>100</v>
      </c>
      <c r="T45" s="1556" t="s">
        <v>8</v>
      </c>
      <c r="U45" s="1557">
        <f t="shared" si="13"/>
        <v>100</v>
      </c>
      <c r="V45" s="1556" t="s">
        <v>8</v>
      </c>
      <c r="W45" s="1557">
        <f t="shared" si="14"/>
        <v>100</v>
      </c>
      <c r="X45" s="1550"/>
      <c r="Y45" s="3420"/>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1"/>
      <c r="Q46" s="1555">
        <f t="shared" si="11"/>
        <v>111</v>
      </c>
      <c r="R46" s="1556" t="s">
        <v>8</v>
      </c>
      <c r="S46" s="1557">
        <f t="shared" si="12"/>
        <v>100</v>
      </c>
      <c r="T46" s="1556" t="s">
        <v>8</v>
      </c>
      <c r="U46" s="1557">
        <f t="shared" si="13"/>
        <v>100</v>
      </c>
      <c r="V46" s="1556" t="s">
        <v>8</v>
      </c>
      <c r="W46" s="1557">
        <f t="shared" si="14"/>
        <v>100</v>
      </c>
      <c r="X46" s="1550"/>
      <c r="Y46" s="3501"/>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383" t="str">
        <f>A47</f>
        <v>成交单价（元/平方米）</v>
      </c>
      <c r="Q47" s="3383"/>
      <c r="R47" s="3500">
        <f>E47</f>
        <v>0</v>
      </c>
      <c r="S47" s="3500"/>
      <c r="T47" s="3500">
        <f>G47</f>
        <v>0</v>
      </c>
      <c r="U47" s="3500"/>
      <c r="V47" s="3500">
        <f>I47</f>
        <v>0</v>
      </c>
      <c r="W47" s="3500"/>
      <c r="X47" s="1542"/>
      <c r="Y47" s="1564"/>
      <c r="Z47" s="1542"/>
      <c r="AA47" s="1542"/>
      <c r="AB47" s="1542"/>
      <c r="AC47" s="1542"/>
    </row>
    <row r="48" spans="1:29" ht="15.75" thickBot="1">
      <c r="A48" s="613" t="s">
        <v>2755</v>
      </c>
      <c r="B48" s="886"/>
      <c r="C48" s="2594" t="e">
        <f>R49</f>
        <v>#DIV/0!</v>
      </c>
      <c r="D48" s="2595"/>
      <c r="E48" s="2596" t="e">
        <f>R48</f>
        <v>#DIV/0!</v>
      </c>
      <c r="F48" s="2596"/>
      <c r="G48" s="2594" t="e">
        <f>T48</f>
        <v>#DIV/0!</v>
      </c>
      <c r="H48" s="2595"/>
      <c r="I48" s="2596" t="e">
        <f>V48</f>
        <v>#DIV/0!</v>
      </c>
      <c r="J48" s="2595"/>
      <c r="K48" s="1594"/>
      <c r="L48" s="2126"/>
      <c r="M48" s="2127"/>
      <c r="N48" s="2116"/>
      <c r="O48" s="2127"/>
      <c r="P48" s="3383" t="str">
        <f>A48</f>
        <v>比较价格（元/平方米）</v>
      </c>
      <c r="Q48" s="3383"/>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2"/>
      <c r="Y48" s="1542"/>
      <c r="Z48" s="1542"/>
      <c r="AA48" s="1542"/>
      <c r="AB48" s="1542"/>
      <c r="AC48" s="1542"/>
    </row>
    <row r="49" spans="1:29" ht="15.75" thickBot="1">
      <c r="A49" s="619" t="s">
        <v>2923</v>
      </c>
      <c r="B49" s="620"/>
      <c r="C49" s="2597" t="e">
        <f>R49</f>
        <v>#DIV/0!</v>
      </c>
      <c r="D49" s="2597"/>
      <c r="E49" s="2597"/>
      <c r="F49" s="2597"/>
      <c r="G49" s="2597"/>
      <c r="H49" s="2597"/>
      <c r="I49" s="2597"/>
      <c r="J49" s="2597"/>
      <c r="K49" s="1595"/>
      <c r="L49" s="2126"/>
      <c r="M49" s="2127"/>
      <c r="N49" s="2116"/>
      <c r="O49" s="2127"/>
      <c r="P49" s="3380" t="str">
        <f>A49</f>
        <v>估价对象XX用房的比较价格（楼面单价，元/平方米）</v>
      </c>
      <c r="Q49" s="3381"/>
      <c r="R49" s="3499" t="e">
        <f>IF(F1="售价",ROUND(AVERAGE(R48:V48),0),ROUND(AVERAGE(R48:V48),1))</f>
        <v>#DIV/0!</v>
      </c>
      <c r="S49" s="3499"/>
      <c r="T49" s="3499"/>
      <c r="U49" s="3499"/>
      <c r="V49" s="3499"/>
      <c r="W49" s="3499"/>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529</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89" t="s">
        <v>522</v>
      </c>
      <c r="D4" s="3390"/>
      <c r="E4" s="3423" t="s">
        <v>523</v>
      </c>
      <c r="F4" s="3424"/>
      <c r="G4" s="3389" t="s">
        <v>524</v>
      </c>
      <c r="H4" s="3390"/>
      <c r="I4" s="3389" t="s">
        <v>525</v>
      </c>
      <c r="J4" s="3390"/>
      <c r="K4" s="512" t="s">
        <v>526</v>
      </c>
      <c r="L4" s="2115"/>
      <c r="M4" s="2116"/>
      <c r="N4" s="2116"/>
      <c r="O4" s="2116"/>
      <c r="P4" s="3503" t="s">
        <v>527</v>
      </c>
      <c r="Q4" s="3392"/>
      <c r="R4" s="3397" t="s">
        <v>523</v>
      </c>
      <c r="S4" s="3398"/>
      <c r="T4" s="3397" t="s">
        <v>524</v>
      </c>
      <c r="U4" s="3398"/>
      <c r="V4" s="3384" t="s">
        <v>525</v>
      </c>
      <c r="W4" s="3384"/>
      <c r="X4" s="1550"/>
      <c r="Y4" s="3397" t="s">
        <v>527</v>
      </c>
      <c r="Z4" s="3398"/>
      <c r="AA4" s="3386" t="s">
        <v>523</v>
      </c>
      <c r="AB4" s="3386" t="s">
        <v>524</v>
      </c>
      <c r="AC4" s="3386" t="s">
        <v>525</v>
      </c>
    </row>
    <row r="5" spans="1:29" ht="15">
      <c r="A5" s="513"/>
      <c r="B5" s="514"/>
      <c r="C5" s="3405" t="s">
        <v>2917</v>
      </c>
      <c r="D5" s="3406"/>
      <c r="E5" s="3425" t="s">
        <v>2918</v>
      </c>
      <c r="F5" s="3426"/>
      <c r="G5" s="3405" t="s">
        <v>2919</v>
      </c>
      <c r="H5" s="3406"/>
      <c r="I5" s="3405" t="s">
        <v>2920</v>
      </c>
      <c r="J5" s="3406"/>
      <c r="K5" s="512"/>
      <c r="L5" s="2115"/>
      <c r="M5" s="2116"/>
      <c r="N5" s="2116"/>
      <c r="O5" s="2116"/>
      <c r="P5" s="3504"/>
      <c r="Q5" s="3394"/>
      <c r="R5" s="3399"/>
      <c r="S5" s="3400"/>
      <c r="T5" s="3399"/>
      <c r="U5" s="3400"/>
      <c r="V5" s="3384"/>
      <c r="W5" s="3384"/>
      <c r="X5" s="1550"/>
      <c r="Y5" s="3399"/>
      <c r="Z5" s="3400"/>
      <c r="AA5" s="3387"/>
      <c r="AB5" s="3387"/>
      <c r="AC5" s="3387"/>
    </row>
    <row r="6" spans="1:29" ht="15.75" thickBot="1">
      <c r="A6" s="515"/>
      <c r="B6" s="516"/>
      <c r="C6" s="3403" t="s">
        <v>2921</v>
      </c>
      <c r="D6" s="3404"/>
      <c r="E6" s="3421" t="s">
        <v>2921</v>
      </c>
      <c r="F6" s="3422"/>
      <c r="G6" s="3403" t="s">
        <v>2921</v>
      </c>
      <c r="H6" s="3404"/>
      <c r="I6" s="3403" t="s">
        <v>2921</v>
      </c>
      <c r="J6" s="3404"/>
      <c r="K6" s="512" t="s">
        <v>528</v>
      </c>
      <c r="L6" s="2115"/>
      <c r="M6" s="2116"/>
      <c r="N6" s="2116"/>
      <c r="O6" s="2116"/>
      <c r="P6" s="3505"/>
      <c r="Q6" s="3396"/>
      <c r="R6" s="3399"/>
      <c r="S6" s="3400"/>
      <c r="T6" s="3401"/>
      <c r="U6" s="3402"/>
      <c r="V6" s="3384"/>
      <c r="W6" s="3384"/>
      <c r="X6" s="1550"/>
      <c r="Y6" s="3401"/>
      <c r="Z6" s="3402"/>
      <c r="AA6" s="3388"/>
      <c r="AB6" s="3388"/>
      <c r="AC6" s="3388"/>
    </row>
    <row r="7" spans="1:29" s="1214" customFormat="1" ht="15.75" thickBot="1">
      <c r="A7" s="2864"/>
      <c r="B7" s="2871" t="s">
        <v>529</v>
      </c>
      <c r="C7" s="517">
        <f>'数据-取费表'!B2</f>
        <v>43833</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6"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6" t="s">
        <v>533</v>
      </c>
      <c r="Q8" s="3415"/>
      <c r="R8" s="1551" t="s">
        <v>8</v>
      </c>
      <c r="S8" s="1552">
        <f t="shared" si="0"/>
        <v>0</v>
      </c>
      <c r="T8" s="1551" t="s">
        <v>8</v>
      </c>
      <c r="U8" s="1552">
        <f t="shared" si="1"/>
        <v>0</v>
      </c>
      <c r="V8" s="1551" t="s">
        <v>8</v>
      </c>
      <c r="W8" s="1552">
        <f t="shared" si="2"/>
        <v>0</v>
      </c>
      <c r="X8" s="1553"/>
      <c r="Y8" s="3414" t="s">
        <v>533</v>
      </c>
      <c r="Z8" s="3415"/>
      <c r="AA8" s="1554" t="e">
        <f t="shared" ref="AA8:AA47" si="3">D8/F8</f>
        <v>#DIV/0!</v>
      </c>
      <c r="AB8" s="1554" t="e">
        <f t="shared" ref="AB8:AB47" si="4">D8/H8</f>
        <v>#DIV/0!</v>
      </c>
      <c r="AC8" s="1554" t="e">
        <f t="shared" ref="AC8:AC47" si="5">D8/J8</f>
        <v>#DIV/0!</v>
      </c>
    </row>
    <row r="9" spans="1:29" s="1214" customFormat="1" ht="15">
      <c r="A9" s="2866"/>
      <c r="B9" s="2873" t="s">
        <v>2751</v>
      </c>
      <c r="C9" s="855"/>
      <c r="D9" s="253">
        <v>100</v>
      </c>
      <c r="E9" s="858"/>
      <c r="F9" s="253">
        <f>SUMIF(64:64,E9,65:65)-SUMIF(64:64,C9,65:65)+100</f>
        <v>100</v>
      </c>
      <c r="G9" s="856"/>
      <c r="H9" s="253">
        <f>SUMIF(64:64,G9,65:65)-SUMIF(64:64,C9,65:65)+100</f>
        <v>100</v>
      </c>
      <c r="I9" s="856"/>
      <c r="J9" s="253">
        <f>SUMIF(64:64,I9,65:65)-SUMIF(64:64,C9,65:65)+100</f>
        <v>100</v>
      </c>
      <c r="K9" s="522"/>
      <c r="L9" s="2117"/>
      <c r="M9" s="2118"/>
      <c r="N9" s="2118"/>
      <c r="O9" s="2118"/>
      <c r="P9" s="3383" t="s">
        <v>535</v>
      </c>
      <c r="Q9" s="1145" t="str">
        <f t="shared" ref="Q9:Q15" si="6">B9</f>
        <v>用途</v>
      </c>
      <c r="R9" s="1551" t="s">
        <v>8</v>
      </c>
      <c r="S9" s="1552">
        <f t="shared" si="0"/>
        <v>100</v>
      </c>
      <c r="T9" s="1551" t="s">
        <v>8</v>
      </c>
      <c r="U9" s="1552">
        <f t="shared" si="1"/>
        <v>100</v>
      </c>
      <c r="V9" s="1551" t="s">
        <v>8</v>
      </c>
      <c r="W9" s="1552">
        <f t="shared" si="2"/>
        <v>100</v>
      </c>
      <c r="X9" s="1553"/>
      <c r="Y9" s="3329" t="s">
        <v>536</v>
      </c>
      <c r="Z9" s="1144" t="str">
        <f t="shared" ref="Z9:Z15" si="7">Q9</f>
        <v>用途</v>
      </c>
      <c r="AA9" s="1554">
        <f t="shared" si="3"/>
        <v>1</v>
      </c>
      <c r="AB9" s="1554">
        <f t="shared" si="4"/>
        <v>1</v>
      </c>
      <c r="AC9" s="1554">
        <f t="shared" si="5"/>
        <v>1</v>
      </c>
    </row>
    <row r="10" spans="1:29" s="1332" customFormat="1" ht="27">
      <c r="A10" s="2867"/>
      <c r="B10" s="2872" t="s">
        <v>2752</v>
      </c>
      <c r="C10" s="859"/>
      <c r="D10" s="254">
        <v>100</v>
      </c>
      <c r="E10" s="859"/>
      <c r="F10" s="254">
        <f>SUMIF(66:66,E10,67:67)-SUMIF(66:66,C10,67:67)+100</f>
        <v>100</v>
      </c>
      <c r="G10" s="860"/>
      <c r="H10" s="254">
        <f>SUMIF(66:66,G10,67:67)-SUMIF(66:66,C10,67:67)+100</f>
        <v>100</v>
      </c>
      <c r="I10" s="859"/>
      <c r="J10" s="254">
        <f>SUMIF(66:66,I10,67:67)-SUMIF(66:66,C10,67:67)+100</f>
        <v>100</v>
      </c>
      <c r="K10" s="582"/>
      <c r="L10" s="2120"/>
      <c r="M10" s="2160"/>
      <c r="N10" s="2160"/>
      <c r="O10" s="2160"/>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LOOKUP(E11,69:69,70:70)-LOOKUP(C11,69:69,70:70)+100</f>
        <v>#N/A</v>
      </c>
      <c r="G11" s="532"/>
      <c r="H11" s="254" t="e">
        <f>LOOKUP(G11,69:69,70:70)-LOOKUP(C11,69:69,70:70)+100</f>
        <v>#N/A</v>
      </c>
      <c r="I11" s="531"/>
      <c r="J11" s="254" t="e">
        <f>LOOKUP(I11,69:69,70:70)-LOOKUP(C11,69:69,70:70)+100</f>
        <v>#N/A</v>
      </c>
      <c r="K11" s="582"/>
      <c r="L11" s="2122"/>
      <c r="M11" s="2116"/>
      <c r="N11" s="2116"/>
      <c r="O11" s="2116"/>
      <c r="P11" s="3383"/>
      <c r="Q11" s="1145" t="str">
        <f t="shared" si="6"/>
        <v>容积率</v>
      </c>
      <c r="R11" s="1551" t="s">
        <v>8</v>
      </c>
      <c r="S11" s="1552" t="e">
        <f t="shared" si="0"/>
        <v>#N/A</v>
      </c>
      <c r="T11" s="1551" t="s">
        <v>8</v>
      </c>
      <c r="U11" s="1552" t="e">
        <f t="shared" si="1"/>
        <v>#N/A</v>
      </c>
      <c r="V11" s="1551" t="s">
        <v>8</v>
      </c>
      <c r="W11" s="1552" t="e">
        <f t="shared" si="2"/>
        <v>#N/A</v>
      </c>
      <c r="X11" s="1553"/>
      <c r="Y11" s="332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4">
        <f>SUMIF(71:71,E12,72:72)-SUMIF(71:71,C12,72:72)+100</f>
        <v>100</v>
      </c>
      <c r="G12" s="908"/>
      <c r="H12" s="254">
        <f>SUMIF(71:71,G12,72:72)-SUMIF(71:71,C12,72:72)+100</f>
        <v>100</v>
      </c>
      <c r="I12" s="526"/>
      <c r="J12" s="254">
        <f>SUMIF(71:71,I12,72:72)-SUMIF(71:71,C12,72:72)+100</f>
        <v>100</v>
      </c>
      <c r="K12" s="579"/>
      <c r="L12" s="2117"/>
      <c r="M12" s="2118"/>
      <c r="N12" s="2118"/>
      <c r="O12" s="2118"/>
      <c r="P12" s="3383"/>
      <c r="Q12" s="1145">
        <f t="shared" si="6"/>
        <v>111</v>
      </c>
      <c r="R12" s="1551" t="s">
        <v>8</v>
      </c>
      <c r="S12" s="1552">
        <f t="shared" si="0"/>
        <v>100</v>
      </c>
      <c r="T12" s="1551" t="s">
        <v>8</v>
      </c>
      <c r="U12" s="1552">
        <f t="shared" si="1"/>
        <v>100</v>
      </c>
      <c r="V12" s="1551" t="s">
        <v>8</v>
      </c>
      <c r="W12" s="1552">
        <f t="shared" si="2"/>
        <v>100</v>
      </c>
      <c r="X12" s="1553"/>
      <c r="Y12" s="3329"/>
      <c r="Z12" s="1144">
        <f t="shared" si="7"/>
        <v>111</v>
      </c>
      <c r="AA12" s="1554">
        <f>D12/F12</f>
        <v>1</v>
      </c>
      <c r="AB12" s="1554">
        <f>D12/H12</f>
        <v>1</v>
      </c>
      <c r="AC12" s="1554">
        <f>D12/J12</f>
        <v>1</v>
      </c>
    </row>
    <row r="13" spans="1:29" ht="15">
      <c r="A13" s="2869"/>
      <c r="B13" s="2875">
        <v>111</v>
      </c>
      <c r="C13" s="537"/>
      <c r="D13" s="538">
        <v>100</v>
      </c>
      <c r="E13" s="526"/>
      <c r="F13" s="254">
        <f>SUMIF(73:73,E13,74:74)-SUMIF(73:73,C13,74:74)+100</f>
        <v>100</v>
      </c>
      <c r="G13" s="908"/>
      <c r="H13" s="538">
        <f>SUMIF(73:73,G13,74:74)-SUMIF(73:73,C13,74:74)+100</f>
        <v>100</v>
      </c>
      <c r="I13" s="526"/>
      <c r="J13" s="538">
        <f>SUMIF(73:73,I13,74:74)-SUMIF(73:73,C13,74:74)+100</f>
        <v>100</v>
      </c>
      <c r="K13" s="579"/>
      <c r="L13" s="2124"/>
      <c r="M13" s="2116"/>
      <c r="N13" s="2116"/>
      <c r="O13" s="2116"/>
      <c r="P13" s="3383"/>
      <c r="Q13" s="1145">
        <f t="shared" si="6"/>
        <v>111</v>
      </c>
      <c r="R13" s="1551" t="s">
        <v>8</v>
      </c>
      <c r="S13" s="1552">
        <f t="shared" si="0"/>
        <v>100</v>
      </c>
      <c r="T13" s="1551" t="s">
        <v>8</v>
      </c>
      <c r="U13" s="1552">
        <f t="shared" si="1"/>
        <v>100</v>
      </c>
      <c r="V13" s="1551" t="s">
        <v>8</v>
      </c>
      <c r="W13" s="1552">
        <f t="shared" si="2"/>
        <v>100</v>
      </c>
      <c r="X13" s="1553"/>
      <c r="Y13" s="3329"/>
      <c r="Z13" s="1144">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83"/>
      <c r="Q14" s="1145">
        <f t="shared" si="6"/>
        <v>111</v>
      </c>
      <c r="R14" s="1551" t="s">
        <v>8</v>
      </c>
      <c r="S14" s="1552">
        <f t="shared" si="0"/>
        <v>100</v>
      </c>
      <c r="T14" s="1551" t="s">
        <v>8</v>
      </c>
      <c r="U14" s="1552">
        <f t="shared" si="1"/>
        <v>100</v>
      </c>
      <c r="V14" s="1551" t="s">
        <v>8</v>
      </c>
      <c r="W14" s="1552">
        <f t="shared" si="2"/>
        <v>100</v>
      </c>
      <c r="X14" s="1553"/>
      <c r="Y14" s="3329"/>
      <c r="Z14" s="1144">
        <f t="shared" si="7"/>
        <v>111</v>
      </c>
      <c r="AA14" s="1554">
        <f t="shared" si="3"/>
        <v>1</v>
      </c>
      <c r="AB14" s="1554">
        <f t="shared" si="4"/>
        <v>1</v>
      </c>
      <c r="AC14" s="1554">
        <f t="shared" si="5"/>
        <v>1</v>
      </c>
    </row>
    <row r="15" spans="1:29" ht="71.25">
      <c r="A15" s="2862" t="s">
        <v>2749</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17" t="s">
        <v>540</v>
      </c>
      <c r="Q15" s="1555" t="str">
        <f t="shared" si="6"/>
        <v>办公集聚程度</v>
      </c>
      <c r="R15" s="1556" t="s">
        <v>8</v>
      </c>
      <c r="S15" s="1557">
        <f t="shared" si="0"/>
        <v>100</v>
      </c>
      <c r="T15" s="1556" t="s">
        <v>8</v>
      </c>
      <c r="U15" s="1557">
        <f t="shared" si="1"/>
        <v>100</v>
      </c>
      <c r="V15" s="1556" t="s">
        <v>8</v>
      </c>
      <c r="W15" s="1557">
        <f t="shared" si="2"/>
        <v>100</v>
      </c>
      <c r="X15" s="1550"/>
      <c r="Y15" s="3417"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18"/>
      <c r="Q16" s="1555"/>
      <c r="R16" s="1556"/>
      <c r="S16" s="1557"/>
      <c r="T16" s="1556"/>
      <c r="U16" s="1557"/>
      <c r="V16" s="1556"/>
      <c r="W16" s="1557"/>
      <c r="X16" s="1550"/>
      <c r="Y16" s="3418"/>
      <c r="Z16" s="1558"/>
      <c r="AA16" s="1559">
        <v>1</v>
      </c>
      <c r="AB16" s="1559">
        <v>1</v>
      </c>
      <c r="AC16" s="1559">
        <v>1</v>
      </c>
    </row>
    <row r="17" spans="1:29" ht="85.5">
      <c r="A17" s="530"/>
      <c r="B17" s="558" t="s">
        <v>296</v>
      </c>
      <c r="C17" s="571" t="str">
        <f>估价对象房地状况!C6</f>
        <v>估价对象周边道路状况较通达、公共交通通达情况一般、停车较便捷，综合评价交通便捷度一般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18"/>
      <c r="Q18" s="1555"/>
      <c r="R18" s="1556"/>
      <c r="S18" s="1557"/>
      <c r="T18" s="1556"/>
      <c r="U18" s="1557"/>
      <c r="V18" s="1556"/>
      <c r="W18" s="1557"/>
      <c r="X18" s="1550"/>
      <c r="Y18" s="3418"/>
      <c r="Z18" s="1558"/>
      <c r="AA18" s="1559">
        <v>1</v>
      </c>
      <c r="AB18" s="1559">
        <v>1</v>
      </c>
      <c r="AC18" s="1559">
        <v>1</v>
      </c>
    </row>
    <row r="19" spans="1:29" ht="42.75">
      <c r="A19" s="530"/>
      <c r="B19" s="2564" t="s">
        <v>2542</v>
      </c>
      <c r="C19" s="571" t="str">
        <f>估价对象房地状况!C7</f>
        <v>估价对象所在区域公共配套设施程度一般</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18"/>
      <c r="Q20" s="1555"/>
      <c r="R20" s="1556"/>
      <c r="S20" s="1557"/>
      <c r="T20" s="1556"/>
      <c r="U20" s="1557"/>
      <c r="V20" s="1556"/>
      <c r="W20" s="1557"/>
      <c r="X20" s="1550"/>
      <c r="Y20" s="3418"/>
      <c r="Z20" s="1558"/>
      <c r="AA20" s="1559">
        <v>1</v>
      </c>
      <c r="AB20" s="1559">
        <v>1</v>
      </c>
      <c r="AC20" s="1559">
        <v>1</v>
      </c>
    </row>
    <row r="21" spans="1:29" ht="42.75">
      <c r="A21" s="530"/>
      <c r="B21" s="2552" t="s">
        <v>2554</v>
      </c>
      <c r="C21" s="571" t="str">
        <f>估价对象房地状况!C8</f>
        <v>估价对象所在区域基础设施水平七通</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8"/>
      <c r="Q22" s="2540"/>
      <c r="R22" s="1556"/>
      <c r="S22" s="1557"/>
      <c r="T22" s="1556"/>
      <c r="U22" s="1557"/>
      <c r="V22" s="1556"/>
      <c r="W22" s="1557"/>
      <c r="X22" s="2542"/>
      <c r="Y22" s="3418"/>
      <c r="Z22" s="2541"/>
      <c r="AA22" s="1559">
        <v>1</v>
      </c>
      <c r="AB22" s="1559">
        <v>1</v>
      </c>
      <c r="AC22" s="1559">
        <v>1</v>
      </c>
    </row>
    <row r="23" spans="1:29" ht="57">
      <c r="A23" s="530"/>
      <c r="B23" s="558" t="s">
        <v>778</v>
      </c>
      <c r="C23" s="571" t="str">
        <f>估价对象房地状况!C9</f>
        <v>区域自然环境较好；人文环境一般；综合评价环境状况较好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18"/>
      <c r="Q23" s="1555" t="str">
        <f>B23</f>
        <v>环境质量</v>
      </c>
      <c r="R23" s="1556" t="s">
        <v>8</v>
      </c>
      <c r="S23" s="1557">
        <f>F23</f>
        <v>100</v>
      </c>
      <c r="T23" s="1556" t="s">
        <v>8</v>
      </c>
      <c r="U23" s="1557">
        <f>H23</f>
        <v>100</v>
      </c>
      <c r="V23" s="1556" t="s">
        <v>8</v>
      </c>
      <c r="W23" s="1557">
        <f>J23</f>
        <v>100</v>
      </c>
      <c r="X23" s="1550"/>
      <c r="Y23" s="3418"/>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18"/>
      <c r="Q24" s="1555"/>
      <c r="R24" s="1556"/>
      <c r="S24" s="1557"/>
      <c r="T24" s="1556"/>
      <c r="U24" s="1557"/>
      <c r="V24" s="1556"/>
      <c r="W24" s="1557"/>
      <c r="X24" s="1550"/>
      <c r="Y24" s="3418"/>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18"/>
      <c r="Q25" s="1555" t="str">
        <f>B25</f>
        <v>毗邻道路的类型与等级</v>
      </c>
      <c r="R25" s="1556" t="s">
        <v>8</v>
      </c>
      <c r="S25" s="1557">
        <f>F25</f>
        <v>100</v>
      </c>
      <c r="T25" s="1556" t="s">
        <v>8</v>
      </c>
      <c r="U25" s="1557">
        <f>H25</f>
        <v>100</v>
      </c>
      <c r="V25" s="1556" t="s">
        <v>8</v>
      </c>
      <c r="W25" s="1557">
        <f>J25</f>
        <v>100</v>
      </c>
      <c r="X25" s="1550"/>
      <c r="Y25" s="3418"/>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18"/>
      <c r="Q26" s="1555"/>
      <c r="R26" s="1556"/>
      <c r="S26" s="1557"/>
      <c r="T26" s="1556"/>
      <c r="U26" s="1557"/>
      <c r="V26" s="1556"/>
      <c r="W26" s="1557"/>
      <c r="X26" s="1550"/>
      <c r="Y26" s="3418"/>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8"/>
      <c r="Q27" s="1555" t="str">
        <f t="shared" ref="Q27:Q47" si="11">B27</f>
        <v>楼层</v>
      </c>
      <c r="R27" s="1556" t="s">
        <v>8</v>
      </c>
      <c r="S27" s="1557">
        <f>F27</f>
        <v>100</v>
      </c>
      <c r="T27" s="1556" t="s">
        <v>8</v>
      </c>
      <c r="U27" s="1557">
        <f>H27</f>
        <v>100</v>
      </c>
      <c r="V27" s="1556" t="s">
        <v>8</v>
      </c>
      <c r="W27" s="1557">
        <f>J27</f>
        <v>100</v>
      </c>
      <c r="X27" s="1550"/>
      <c r="Y27" s="3418"/>
      <c r="Z27" s="1558" t="str">
        <f>Q27</f>
        <v>楼层</v>
      </c>
      <c r="AA27" s="1559">
        <f t="shared" si="3"/>
        <v>1</v>
      </c>
      <c r="AB27" s="1559">
        <f t="shared" si="4"/>
        <v>1</v>
      </c>
      <c r="AC27" s="1559">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18"/>
      <c r="Q28" s="1145" t="str">
        <f t="shared" si="11"/>
        <v>朝向</v>
      </c>
      <c r="R28" s="1551" t="s">
        <v>8</v>
      </c>
      <c r="S28" s="1552">
        <f>F28</f>
        <v>100</v>
      </c>
      <c r="T28" s="1551" t="s">
        <v>8</v>
      </c>
      <c r="U28" s="1552">
        <f>H28</f>
        <v>100</v>
      </c>
      <c r="V28" s="1551" t="s">
        <v>8</v>
      </c>
      <c r="W28" s="1552">
        <f>J28</f>
        <v>100</v>
      </c>
      <c r="X28" s="1553"/>
      <c r="Y28" s="3418"/>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18"/>
      <c r="Q29" s="1555">
        <f t="shared" si="11"/>
        <v>111</v>
      </c>
      <c r="R29" s="1556" t="s">
        <v>8</v>
      </c>
      <c r="S29" s="1557">
        <f t="shared" ref="S29:S47" si="12">F29</f>
        <v>100</v>
      </c>
      <c r="T29" s="1556" t="s">
        <v>8</v>
      </c>
      <c r="U29" s="1557">
        <f t="shared" ref="U29:U47" si="13">H29</f>
        <v>100</v>
      </c>
      <c r="V29" s="1556" t="s">
        <v>8</v>
      </c>
      <c r="W29" s="1557">
        <f t="shared" ref="W29:W47" si="14">J29</f>
        <v>100</v>
      </c>
      <c r="X29" s="1550"/>
      <c r="Y29" s="3418"/>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18"/>
      <c r="Q30" s="1555">
        <f t="shared" si="11"/>
        <v>111</v>
      </c>
      <c r="R30" s="1556" t="s">
        <v>8</v>
      </c>
      <c r="S30" s="1557">
        <f t="shared" si="12"/>
        <v>100</v>
      </c>
      <c r="T30" s="1556" t="s">
        <v>8</v>
      </c>
      <c r="U30" s="1557">
        <f t="shared" si="13"/>
        <v>100</v>
      </c>
      <c r="V30" s="1556" t="s">
        <v>8</v>
      </c>
      <c r="W30" s="1557">
        <f t="shared" si="14"/>
        <v>100</v>
      </c>
      <c r="X30" s="1550"/>
      <c r="Y30" s="3418"/>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18"/>
      <c r="Q31" s="1555">
        <f t="shared" si="11"/>
        <v>111</v>
      </c>
      <c r="R31" s="1556" t="s">
        <v>8</v>
      </c>
      <c r="S31" s="1557">
        <f t="shared" si="12"/>
        <v>100</v>
      </c>
      <c r="T31" s="1556" t="s">
        <v>8</v>
      </c>
      <c r="U31" s="1557">
        <f t="shared" si="13"/>
        <v>100</v>
      </c>
      <c r="V31" s="1556" t="s">
        <v>8</v>
      </c>
      <c r="W31" s="1557">
        <f t="shared" si="14"/>
        <v>100</v>
      </c>
      <c r="X31" s="1550"/>
      <c r="Y31" s="3418"/>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18"/>
      <c r="Q32" s="1555">
        <f t="shared" si="11"/>
        <v>111</v>
      </c>
      <c r="R32" s="1556" t="s">
        <v>8</v>
      </c>
      <c r="S32" s="1557">
        <f t="shared" si="12"/>
        <v>100</v>
      </c>
      <c r="T32" s="1556" t="s">
        <v>8</v>
      </c>
      <c r="U32" s="1557">
        <f t="shared" si="13"/>
        <v>100</v>
      </c>
      <c r="V32" s="1556" t="s">
        <v>8</v>
      </c>
      <c r="W32" s="1557">
        <f t="shared" si="14"/>
        <v>100</v>
      </c>
      <c r="X32" s="1550"/>
      <c r="Y32" s="3418"/>
      <c r="Z32" s="1558">
        <f t="shared" si="15"/>
        <v>111</v>
      </c>
      <c r="AA32" s="1559">
        <f t="shared" si="3"/>
        <v>1</v>
      </c>
      <c r="AB32" s="1559">
        <f t="shared" si="4"/>
        <v>1</v>
      </c>
      <c r="AC32" s="1559">
        <f t="shared" si="5"/>
        <v>1</v>
      </c>
    </row>
    <row r="33" spans="1:29" ht="15">
      <c r="A33" s="2859" t="s">
        <v>2750</v>
      </c>
      <c r="B33" s="171"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19" t="s">
        <v>550</v>
      </c>
      <c r="Q33" s="1555" t="str">
        <f t="shared" si="11"/>
        <v>建筑类型</v>
      </c>
      <c r="R33" s="1556" t="s">
        <v>8</v>
      </c>
      <c r="S33" s="1557">
        <f t="shared" si="12"/>
        <v>100</v>
      </c>
      <c r="T33" s="1556" t="s">
        <v>8</v>
      </c>
      <c r="U33" s="1557">
        <f t="shared" si="13"/>
        <v>100</v>
      </c>
      <c r="V33" s="1556" t="s">
        <v>8</v>
      </c>
      <c r="W33" s="1557">
        <f t="shared" si="14"/>
        <v>100</v>
      </c>
      <c r="X33" s="1550"/>
      <c r="Y33" s="3420" t="s">
        <v>550</v>
      </c>
      <c r="Z33" s="1558" t="str">
        <f t="shared" si="15"/>
        <v>建筑类型</v>
      </c>
      <c r="AA33" s="1559">
        <f t="shared" si="3"/>
        <v>1</v>
      </c>
      <c r="AB33" s="1559">
        <f t="shared" si="4"/>
        <v>1</v>
      </c>
      <c r="AC33" s="1559">
        <f t="shared" si="5"/>
        <v>1</v>
      </c>
    </row>
    <row r="34" spans="1:29" s="1333" customFormat="1" ht="15">
      <c r="A34" s="601"/>
      <c r="B34" s="525" t="s">
        <v>726</v>
      </c>
      <c r="C34" s="878"/>
      <c r="D34" s="254">
        <v>100</v>
      </c>
      <c r="E34" s="532"/>
      <c r="F34" s="861" t="e">
        <f>LOOKUP(E34,104:104,105:105)-LOOKUP(C34,104:104,105:105)+100</f>
        <v>#N/A</v>
      </c>
      <c r="G34" s="531"/>
      <c r="H34" s="254" t="e">
        <f>LOOKUP(G34,104:104,105:105)-LOOKUP(C34,104:104,105:105)+100</f>
        <v>#N/A</v>
      </c>
      <c r="I34" s="531"/>
      <c r="J34" s="254" t="e">
        <f>LOOKUP(I34,104:104,105:105)-LOOKUP(C34,104:104,105:105)+100</f>
        <v>#N/A</v>
      </c>
      <c r="K34" s="579"/>
      <c r="L34" s="2122"/>
      <c r="M34" s="2153"/>
      <c r="N34" s="2153"/>
      <c r="O34" s="2153"/>
      <c r="P34" s="3420"/>
      <c r="Q34" s="1587" t="str">
        <f t="shared" si="11"/>
        <v>项目建筑规模</v>
      </c>
      <c r="R34" s="1560" t="s">
        <v>8</v>
      </c>
      <c r="S34" s="1561" t="e">
        <f t="shared" si="12"/>
        <v>#N/A</v>
      </c>
      <c r="T34" s="1560" t="s">
        <v>8</v>
      </c>
      <c r="U34" s="1561" t="e">
        <f t="shared" si="13"/>
        <v>#N/A</v>
      </c>
      <c r="V34" s="1560" t="s">
        <v>8</v>
      </c>
      <c r="W34" s="1561" t="e">
        <f t="shared" si="14"/>
        <v>#N/A</v>
      </c>
      <c r="X34" s="1562"/>
      <c r="Y34" s="3420"/>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0"/>
      <c r="Q35" s="1555" t="str">
        <f t="shared" si="11"/>
        <v>建筑结构</v>
      </c>
      <c r="R35" s="1556" t="s">
        <v>8</v>
      </c>
      <c r="S35" s="1557">
        <f t="shared" si="12"/>
        <v>100</v>
      </c>
      <c r="T35" s="1556" t="s">
        <v>8</v>
      </c>
      <c r="U35" s="1557">
        <f t="shared" si="13"/>
        <v>100</v>
      </c>
      <c r="V35" s="1556" t="s">
        <v>8</v>
      </c>
      <c r="W35" s="1557">
        <f t="shared" si="14"/>
        <v>100</v>
      </c>
      <c r="X35" s="1550"/>
      <c r="Y35" s="3420"/>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0"/>
      <c r="Q36" s="1555" t="str">
        <f t="shared" si="11"/>
        <v>公共部分装修</v>
      </c>
      <c r="R36" s="1556" t="s">
        <v>8</v>
      </c>
      <c r="S36" s="1557">
        <f t="shared" si="12"/>
        <v>100</v>
      </c>
      <c r="T36" s="1556" t="s">
        <v>8</v>
      </c>
      <c r="U36" s="1557">
        <f t="shared" si="13"/>
        <v>100</v>
      </c>
      <c r="V36" s="1556" t="s">
        <v>8</v>
      </c>
      <c r="W36" s="1557">
        <f t="shared" si="14"/>
        <v>100</v>
      </c>
      <c r="X36" s="1550"/>
      <c r="Y36" s="3420"/>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20"/>
      <c r="Q37" s="1555" t="str">
        <f t="shared" si="11"/>
        <v>成新度</v>
      </c>
      <c r="R37" s="1556" t="s">
        <v>8</v>
      </c>
      <c r="S37" s="1557" t="e">
        <f t="shared" si="12"/>
        <v>#N/A</v>
      </c>
      <c r="T37" s="1556" t="s">
        <v>8</v>
      </c>
      <c r="U37" s="1557" t="e">
        <f t="shared" si="13"/>
        <v>#N/A</v>
      </c>
      <c r="V37" s="1556" t="s">
        <v>8</v>
      </c>
      <c r="W37" s="1557" t="e">
        <f t="shared" si="14"/>
        <v>#N/A</v>
      </c>
      <c r="X37" s="1550"/>
      <c r="Y37" s="3420"/>
      <c r="Z37" s="1558" t="str">
        <f t="shared" si="15"/>
        <v>成新度</v>
      </c>
      <c r="AA37" s="1559" t="e">
        <f t="shared" si="3"/>
        <v>#N/A</v>
      </c>
      <c r="AB37" s="1559" t="e">
        <f t="shared" si="4"/>
        <v>#N/A</v>
      </c>
      <c r="AC37" s="1559" t="e">
        <f t="shared" si="5"/>
        <v>#N/A</v>
      </c>
    </row>
    <row r="38" spans="1:29" s="1214" customFormat="1" ht="15">
      <c r="A38" s="598"/>
      <c r="B38" s="525" t="s">
        <v>781</v>
      </c>
      <c r="C38" s="572"/>
      <c r="D38" s="254">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0"/>
      <c r="Q38" s="1145" t="str">
        <f t="shared" si="11"/>
        <v>写字楼等级</v>
      </c>
      <c r="R38" s="1551" t="s">
        <v>8</v>
      </c>
      <c r="S38" s="1552">
        <f t="shared" si="12"/>
        <v>100</v>
      </c>
      <c r="T38" s="1551" t="s">
        <v>8</v>
      </c>
      <c r="U38" s="1552">
        <f t="shared" si="13"/>
        <v>100</v>
      </c>
      <c r="V38" s="1551" t="s">
        <v>8</v>
      </c>
      <c r="W38" s="1552">
        <f t="shared" si="14"/>
        <v>100</v>
      </c>
      <c r="X38" s="1553"/>
      <c r="Y38" s="3420"/>
      <c r="Z38" s="1144"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0" t="s">
        <v>550</v>
      </c>
      <c r="Q39" s="1555" t="str">
        <f t="shared" si="11"/>
        <v>物业管理</v>
      </c>
      <c r="R39" s="1556" t="s">
        <v>8</v>
      </c>
      <c r="S39" s="1557">
        <f t="shared" si="12"/>
        <v>100</v>
      </c>
      <c r="T39" s="1556" t="s">
        <v>8</v>
      </c>
      <c r="U39" s="1557">
        <f t="shared" si="13"/>
        <v>100</v>
      </c>
      <c r="V39" s="1556" t="s">
        <v>8</v>
      </c>
      <c r="W39" s="1557">
        <f t="shared" si="14"/>
        <v>100</v>
      </c>
      <c r="X39" s="1550"/>
      <c r="Y39" s="3420"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0"/>
      <c r="Q40" s="1555" t="str">
        <f t="shared" si="11"/>
        <v>市政基础设施</v>
      </c>
      <c r="R40" s="1556" t="s">
        <v>8</v>
      </c>
      <c r="S40" s="1557">
        <f t="shared" si="12"/>
        <v>100</v>
      </c>
      <c r="T40" s="1556" t="s">
        <v>8</v>
      </c>
      <c r="U40" s="1557">
        <f t="shared" si="13"/>
        <v>100</v>
      </c>
      <c r="V40" s="1556" t="s">
        <v>8</v>
      </c>
      <c r="W40" s="1557">
        <f t="shared" si="14"/>
        <v>100</v>
      </c>
      <c r="X40" s="1550"/>
      <c r="Y40" s="3420"/>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0"/>
      <c r="Q41" s="1555" t="str">
        <f t="shared" si="11"/>
        <v>层高</v>
      </c>
      <c r="R41" s="1556" t="s">
        <v>8</v>
      </c>
      <c r="S41" s="1557">
        <f t="shared" si="12"/>
        <v>100</v>
      </c>
      <c r="T41" s="1556" t="s">
        <v>8</v>
      </c>
      <c r="U41" s="1557">
        <f t="shared" si="13"/>
        <v>100</v>
      </c>
      <c r="V41" s="1556" t="s">
        <v>8</v>
      </c>
      <c r="W41" s="1557">
        <f t="shared" si="14"/>
        <v>100</v>
      </c>
      <c r="X41" s="1550"/>
      <c r="Y41" s="3420"/>
      <c r="Z41" s="1558" t="str">
        <f t="shared" si="15"/>
        <v>层高</v>
      </c>
      <c r="AA41" s="1559">
        <f t="shared" si="3"/>
        <v>1</v>
      </c>
      <c r="AB41" s="1559">
        <f t="shared" si="4"/>
        <v>1</v>
      </c>
      <c r="AC41" s="1559">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0"/>
      <c r="Q42" s="1587" t="str">
        <f t="shared" si="11"/>
        <v>单套建筑面积</v>
      </c>
      <c r="R42" s="1560" t="s">
        <v>8</v>
      </c>
      <c r="S42" s="1561">
        <f t="shared" si="12"/>
        <v>100</v>
      </c>
      <c r="T42" s="1560" t="s">
        <v>8</v>
      </c>
      <c r="U42" s="1561">
        <f t="shared" si="13"/>
        <v>100</v>
      </c>
      <c r="V42" s="1560" t="s">
        <v>8</v>
      </c>
      <c r="W42" s="1561">
        <f t="shared" si="14"/>
        <v>100</v>
      </c>
      <c r="X42" s="1562"/>
      <c r="Y42" s="3420"/>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0"/>
      <c r="Q43" s="1555" t="str">
        <f t="shared" si="11"/>
        <v>内部装修</v>
      </c>
      <c r="R43" s="1556" t="s">
        <v>8</v>
      </c>
      <c r="S43" s="1557">
        <f t="shared" si="12"/>
        <v>100</v>
      </c>
      <c r="T43" s="1556" t="s">
        <v>8</v>
      </c>
      <c r="U43" s="1557">
        <f t="shared" si="13"/>
        <v>100</v>
      </c>
      <c r="V43" s="1556" t="s">
        <v>8</v>
      </c>
      <c r="W43" s="1557">
        <f t="shared" si="14"/>
        <v>100</v>
      </c>
      <c r="X43" s="1550"/>
      <c r="Y43" s="3420"/>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0"/>
      <c r="Q44" s="1555" t="str">
        <f t="shared" si="11"/>
        <v>内部装修维护情况</v>
      </c>
      <c r="R44" s="1556" t="s">
        <v>8</v>
      </c>
      <c r="S44" s="1557">
        <f t="shared" si="12"/>
        <v>100</v>
      </c>
      <c r="T44" s="1556" t="s">
        <v>8</v>
      </c>
      <c r="U44" s="1557">
        <f t="shared" si="13"/>
        <v>100</v>
      </c>
      <c r="V44" s="1556" t="s">
        <v>8</v>
      </c>
      <c r="W44" s="1557">
        <f t="shared" si="14"/>
        <v>100</v>
      </c>
      <c r="X44" s="1550"/>
      <c r="Y44" s="3420"/>
      <c r="Z44" s="1558" t="str">
        <f t="shared" si="15"/>
        <v>内部装修维护情况</v>
      </c>
      <c r="AA44" s="1559">
        <f t="shared" si="3"/>
        <v>1</v>
      </c>
      <c r="AB44" s="1559">
        <f t="shared" si="4"/>
        <v>1</v>
      </c>
      <c r="AC44" s="1559">
        <f t="shared" si="5"/>
        <v>1</v>
      </c>
    </row>
    <row r="45" spans="1:29" s="1214" customFormat="1" ht="15">
      <c r="A45" s="598"/>
      <c r="B45" s="875">
        <v>111</v>
      </c>
      <c r="C45" s="878"/>
      <c r="D45" s="254">
        <v>100</v>
      </c>
      <c r="E45" s="526"/>
      <c r="F45" s="861">
        <f>SUMIF(127:127,E45,128:128)-SUMIF(127:127,C45,128:128)+100</f>
        <v>100</v>
      </c>
      <c r="G45" s="526"/>
      <c r="H45" s="254">
        <f>SUMIF(127:127,G45,128:128)-SUMIF(127:127,C45,128:128)+100</f>
        <v>100</v>
      </c>
      <c r="I45" s="526"/>
      <c r="J45" s="254">
        <f>SUMIF(127:127,I45,128:128)-SUMIF(127:127,C45,128:128)+100</f>
        <v>100</v>
      </c>
      <c r="K45" s="579"/>
      <c r="L45" s="2117"/>
      <c r="M45" s="2118"/>
      <c r="N45" s="2118"/>
      <c r="O45" s="2118"/>
      <c r="P45" s="3420"/>
      <c r="Q45" s="1145">
        <f t="shared" si="11"/>
        <v>111</v>
      </c>
      <c r="R45" s="1551" t="s">
        <v>8</v>
      </c>
      <c r="S45" s="1552">
        <f t="shared" si="12"/>
        <v>100</v>
      </c>
      <c r="T45" s="1551" t="s">
        <v>8</v>
      </c>
      <c r="U45" s="1552">
        <f t="shared" si="13"/>
        <v>100</v>
      </c>
      <c r="V45" s="1551" t="s">
        <v>8</v>
      </c>
      <c r="W45" s="1552">
        <f t="shared" si="14"/>
        <v>100</v>
      </c>
      <c r="X45" s="1553"/>
      <c r="Y45" s="3420"/>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0"/>
      <c r="Q46" s="1555">
        <f t="shared" si="11"/>
        <v>111</v>
      </c>
      <c r="R46" s="1556" t="s">
        <v>8</v>
      </c>
      <c r="S46" s="1557">
        <f t="shared" si="12"/>
        <v>100</v>
      </c>
      <c r="T46" s="1556" t="s">
        <v>8</v>
      </c>
      <c r="U46" s="1557">
        <f t="shared" si="13"/>
        <v>100</v>
      </c>
      <c r="V46" s="1556" t="s">
        <v>8</v>
      </c>
      <c r="W46" s="1557">
        <f t="shared" si="14"/>
        <v>100</v>
      </c>
      <c r="X46" s="1550"/>
      <c r="Y46" s="3420"/>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1"/>
      <c r="Q47" s="1555">
        <f t="shared" si="11"/>
        <v>111</v>
      </c>
      <c r="R47" s="1556" t="s">
        <v>8</v>
      </c>
      <c r="S47" s="1557">
        <f t="shared" si="12"/>
        <v>100</v>
      </c>
      <c r="T47" s="1556" t="s">
        <v>8</v>
      </c>
      <c r="U47" s="1557">
        <f t="shared" si="13"/>
        <v>100</v>
      </c>
      <c r="V47" s="1556" t="s">
        <v>8</v>
      </c>
      <c r="W47" s="1557">
        <f t="shared" si="14"/>
        <v>100</v>
      </c>
      <c r="X47" s="1550"/>
      <c r="Y47" s="3501"/>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381" t="str">
        <f>A48</f>
        <v>成交单价（元/平方米）</v>
      </c>
      <c r="Q48" s="3383"/>
      <c r="R48" s="3500">
        <f>E48</f>
        <v>0</v>
      </c>
      <c r="S48" s="3500"/>
      <c r="T48" s="3500">
        <f>G48</f>
        <v>0</v>
      </c>
      <c r="U48" s="3500"/>
      <c r="V48" s="3500">
        <f>I48</f>
        <v>0</v>
      </c>
      <c r="W48" s="3500"/>
      <c r="X48" s="1542"/>
      <c r="Y48" s="1564"/>
      <c r="Z48" s="1542"/>
      <c r="AA48" s="1542"/>
      <c r="AB48" s="1542"/>
      <c r="AC48" s="1542"/>
    </row>
    <row r="49" spans="1:29" ht="15.75" thickBot="1">
      <c r="A49" s="613" t="s">
        <v>2755</v>
      </c>
      <c r="B49" s="886"/>
      <c r="C49" s="2594" t="e">
        <f>R50</f>
        <v>#DIV/0!</v>
      </c>
      <c r="D49" s="2595"/>
      <c r="E49" s="2596" t="e">
        <f>R49</f>
        <v>#DIV/0!</v>
      </c>
      <c r="F49" s="2596"/>
      <c r="G49" s="2594" t="e">
        <f>T49</f>
        <v>#DIV/0!</v>
      </c>
      <c r="H49" s="2595"/>
      <c r="I49" s="2596" t="e">
        <f>V49</f>
        <v>#DIV/0!</v>
      </c>
      <c r="J49" s="2595"/>
      <c r="K49" s="1594"/>
      <c r="L49" s="2126"/>
      <c r="M49" s="2116"/>
      <c r="N49" s="2116"/>
      <c r="O49" s="2116"/>
      <c r="P49" s="3381" t="str">
        <f>A49</f>
        <v>比较价格（元/平方米）</v>
      </c>
      <c r="Q49" s="3383"/>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2"/>
      <c r="Y49" s="1542"/>
      <c r="Z49" s="1542"/>
      <c r="AA49" s="1542"/>
      <c r="AB49" s="1542"/>
      <c r="AC49" s="1542"/>
    </row>
    <row r="50" spans="1:29" ht="15.75" thickBot="1">
      <c r="A50" s="619" t="s">
        <v>2923</v>
      </c>
      <c r="B50" s="620"/>
      <c r="C50" s="2597" t="e">
        <f>R50</f>
        <v>#DIV/0!</v>
      </c>
      <c r="D50" s="2597"/>
      <c r="E50" s="2597"/>
      <c r="F50" s="2597"/>
      <c r="G50" s="2597"/>
      <c r="H50" s="2597"/>
      <c r="I50" s="2597"/>
      <c r="J50" s="2597"/>
      <c r="K50" s="1595"/>
      <c r="L50" s="2126"/>
      <c r="M50" s="2116"/>
      <c r="N50" s="2116"/>
      <c r="O50" s="2116"/>
      <c r="P50" s="3502" t="str">
        <f>A50</f>
        <v>估价对象XX用房的比较价格（楼面单价，元/平方米）</v>
      </c>
      <c r="Q50" s="3381"/>
      <c r="R50" s="3499" t="e">
        <f>IF(F1="售价",ROUND(AVERAGE(R49:V49),0),ROUND(AVERAGE(R49:V49),1))</f>
        <v>#DIV/0!</v>
      </c>
      <c r="S50" s="3499"/>
      <c r="T50" s="3499"/>
      <c r="U50" s="3499"/>
      <c r="V50" s="3499"/>
      <c r="W50" s="3499"/>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529</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89" t="s">
        <v>522</v>
      </c>
      <c r="D4" s="3390"/>
      <c r="E4" s="3423" t="s">
        <v>523</v>
      </c>
      <c r="F4" s="3424"/>
      <c r="G4" s="3389" t="s">
        <v>524</v>
      </c>
      <c r="H4" s="3390"/>
      <c r="I4" s="3389" t="s">
        <v>525</v>
      </c>
      <c r="J4" s="3390"/>
      <c r="K4" s="512" t="s">
        <v>526</v>
      </c>
      <c r="L4" s="2115"/>
      <c r="M4" s="2116"/>
      <c r="N4" s="2116"/>
      <c r="O4" s="2116"/>
      <c r="P4" s="3391" t="s">
        <v>527</v>
      </c>
      <c r="Q4" s="3392"/>
      <c r="R4" s="3397" t="s">
        <v>523</v>
      </c>
      <c r="S4" s="3398"/>
      <c r="T4" s="3397" t="s">
        <v>524</v>
      </c>
      <c r="U4" s="3398"/>
      <c r="V4" s="3384" t="s">
        <v>525</v>
      </c>
      <c r="W4" s="3384"/>
      <c r="X4" s="1550"/>
      <c r="Y4" s="3397" t="s">
        <v>527</v>
      </c>
      <c r="Z4" s="3398"/>
      <c r="AA4" s="3386" t="s">
        <v>523</v>
      </c>
      <c r="AB4" s="3387" t="s">
        <v>524</v>
      </c>
      <c r="AC4" s="3386" t="s">
        <v>525</v>
      </c>
    </row>
    <row r="5" spans="1:29" ht="15">
      <c r="A5" s="513"/>
      <c r="B5" s="514"/>
      <c r="C5" s="3405" t="s">
        <v>2917</v>
      </c>
      <c r="D5" s="3406"/>
      <c r="E5" s="3425" t="s">
        <v>2918</v>
      </c>
      <c r="F5" s="3426"/>
      <c r="G5" s="3405" t="s">
        <v>2919</v>
      </c>
      <c r="H5" s="3406"/>
      <c r="I5" s="3405" t="s">
        <v>2920</v>
      </c>
      <c r="J5" s="3406"/>
      <c r="K5" s="512"/>
      <c r="L5" s="2115"/>
      <c r="M5" s="2116"/>
      <c r="N5" s="2116"/>
      <c r="O5" s="2116"/>
      <c r="P5" s="3393"/>
      <c r="Q5" s="3394"/>
      <c r="R5" s="3399"/>
      <c r="S5" s="3400"/>
      <c r="T5" s="3399"/>
      <c r="U5" s="3400"/>
      <c r="V5" s="3384"/>
      <c r="W5" s="3384"/>
      <c r="X5" s="1550"/>
      <c r="Y5" s="3399"/>
      <c r="Z5" s="3400"/>
      <c r="AA5" s="3387"/>
      <c r="AB5" s="3387"/>
      <c r="AC5" s="3387"/>
    </row>
    <row r="6" spans="1:29" ht="15.75" thickBot="1">
      <c r="A6" s="515"/>
      <c r="B6" s="516"/>
      <c r="C6" s="3403" t="s">
        <v>2921</v>
      </c>
      <c r="D6" s="3404"/>
      <c r="E6" s="3421" t="s">
        <v>2921</v>
      </c>
      <c r="F6" s="3422"/>
      <c r="G6" s="3403" t="s">
        <v>2921</v>
      </c>
      <c r="H6" s="3404"/>
      <c r="I6" s="3403" t="s">
        <v>2921</v>
      </c>
      <c r="J6" s="3404"/>
      <c r="K6" s="512" t="s">
        <v>528</v>
      </c>
      <c r="L6" s="2115"/>
      <c r="M6" s="2116"/>
      <c r="N6" s="2116"/>
      <c r="O6" s="2116"/>
      <c r="P6" s="3395"/>
      <c r="Q6" s="3396"/>
      <c r="R6" s="3399"/>
      <c r="S6" s="3400"/>
      <c r="T6" s="3401"/>
      <c r="U6" s="3402"/>
      <c r="V6" s="3384"/>
      <c r="W6" s="3384"/>
      <c r="X6" s="1550"/>
      <c r="Y6" s="3401"/>
      <c r="Z6" s="3402"/>
      <c r="AA6" s="3388"/>
      <c r="AB6" s="3388"/>
      <c r="AC6" s="3388"/>
    </row>
    <row r="7" spans="1:29" s="1214" customFormat="1" ht="15.75" thickBot="1">
      <c r="A7" s="2864"/>
      <c r="B7" s="2871" t="s">
        <v>529</v>
      </c>
      <c r="C7" s="517">
        <f>'数据-取费表'!B2</f>
        <v>43833</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4" t="s">
        <v>530</v>
      </c>
      <c r="Q7" s="3416"/>
      <c r="R7" s="1551" t="s">
        <v>8</v>
      </c>
      <c r="S7" s="1552">
        <f t="shared" ref="S7:S15" si="0">F7</f>
        <v>0</v>
      </c>
      <c r="T7" s="1551" t="s">
        <v>8</v>
      </c>
      <c r="U7" s="1552">
        <f t="shared" ref="U7:U15" si="1">H7</f>
        <v>0</v>
      </c>
      <c r="V7" s="1551" t="s">
        <v>8</v>
      </c>
      <c r="W7" s="1552">
        <f t="shared" ref="W7:W15"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40" si="3">D8/F8</f>
        <v>#DIV/0!</v>
      </c>
      <c r="AB8" s="1554" t="e">
        <f t="shared" ref="AB8:AB40" si="4">D8/H8</f>
        <v>#DIV/0!</v>
      </c>
      <c r="AC8" s="1554" t="e">
        <f t="shared" ref="AC8:AC40" si="5">D8/J8</f>
        <v>#DIV/0!</v>
      </c>
    </row>
    <row r="9" spans="1:29" s="1214" customFormat="1" ht="15">
      <c r="A9" s="2866"/>
      <c r="B9" s="2873" t="s">
        <v>2751</v>
      </c>
      <c r="C9" s="855"/>
      <c r="D9" s="253">
        <v>100</v>
      </c>
      <c r="E9" s="858"/>
      <c r="F9" s="253">
        <f>SUMIF(57:57,E9,58:58)-SUMIF(57:57,C9,58:58)+100</f>
        <v>100</v>
      </c>
      <c r="G9" s="856"/>
      <c r="H9" s="253">
        <f>SUMIF(57:57,G9,58:58)-SUMIF(57:57,C9,58:58)+100</f>
        <v>100</v>
      </c>
      <c r="I9" s="856"/>
      <c r="J9" s="253">
        <f>SUMIF(57:57,I9,58:58)-SUMIF(57:57,C9,58:58)+100</f>
        <v>100</v>
      </c>
      <c r="K9" s="522"/>
      <c r="L9" s="2117"/>
      <c r="M9" s="2118"/>
      <c r="N9" s="2118"/>
      <c r="O9" s="2119"/>
      <c r="P9" s="3383" t="s">
        <v>535</v>
      </c>
      <c r="Q9" s="1145" t="str">
        <f t="shared" ref="Q9:Q15" si="6">B9</f>
        <v>用途</v>
      </c>
      <c r="R9" s="1551" t="s">
        <v>8</v>
      </c>
      <c r="S9" s="1552">
        <f t="shared" si="0"/>
        <v>100</v>
      </c>
      <c r="T9" s="1551" t="s">
        <v>8</v>
      </c>
      <c r="U9" s="1552">
        <f t="shared" si="1"/>
        <v>100</v>
      </c>
      <c r="V9" s="1551" t="s">
        <v>8</v>
      </c>
      <c r="W9" s="1552">
        <f t="shared" si="2"/>
        <v>100</v>
      </c>
      <c r="X9" s="1553"/>
      <c r="Y9" s="3329" t="s">
        <v>536</v>
      </c>
      <c r="Z9" s="1144" t="str">
        <f t="shared" ref="Z9:Z15" si="7">Q9</f>
        <v>用途</v>
      </c>
      <c r="AA9" s="1554">
        <f t="shared" si="3"/>
        <v>1</v>
      </c>
      <c r="AB9" s="1554">
        <f t="shared" si="4"/>
        <v>1</v>
      </c>
      <c r="AC9" s="1554">
        <f t="shared" si="5"/>
        <v>1</v>
      </c>
    </row>
    <row r="10" spans="1:29" s="1332" customFormat="1" ht="27">
      <c r="A10" s="2867"/>
      <c r="B10" s="2872" t="s">
        <v>2752</v>
      </c>
      <c r="C10" s="859"/>
      <c r="D10" s="254">
        <v>100</v>
      </c>
      <c r="E10" s="859"/>
      <c r="F10" s="254">
        <f>SUMIF(59:59,E10,60:60)-SUMIF(59:59,C10,60:60)+100</f>
        <v>100</v>
      </c>
      <c r="G10" s="860"/>
      <c r="H10" s="254">
        <f>SUMIF(59:59,G10,60:60)-SUMIF(59:59,C10,60:60)+100</f>
        <v>100</v>
      </c>
      <c r="I10" s="859"/>
      <c r="J10" s="254">
        <f>SUMIF(59:59,I10,60:60)-SUMIF(59:59,C10,60:60)+100</f>
        <v>100</v>
      </c>
      <c r="K10" s="582"/>
      <c r="L10" s="2120"/>
      <c r="M10" s="2160"/>
      <c r="N10" s="2160"/>
      <c r="O10" s="2121"/>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8"/>
      <c r="B11" s="2872" t="s">
        <v>2753</v>
      </c>
      <c r="C11" s="531"/>
      <c r="D11" s="254">
        <v>100</v>
      </c>
      <c r="E11" s="531"/>
      <c r="F11" s="254" t="e">
        <f>LOOKUP(E11,62:62,63:63)-LOOKUP(C11,62:62,63:63)+100</f>
        <v>#N/A</v>
      </c>
      <c r="G11" s="532"/>
      <c r="H11" s="254" t="e">
        <f>LOOKUP(G11,62:62,63:63)-LOOKUP(C11,62:62,63:63)+100</f>
        <v>#N/A</v>
      </c>
      <c r="I11" s="531"/>
      <c r="J11" s="254" t="e">
        <f>LOOKUP(I11,62:62,63:63)-LOOKUP(C11,62:62,63:63)+100</f>
        <v>#N/A</v>
      </c>
      <c r="K11" s="582"/>
      <c r="L11" s="2122"/>
      <c r="M11" s="2116"/>
      <c r="N11" s="2116"/>
      <c r="O11" s="2123"/>
      <c r="P11" s="3383"/>
      <c r="Q11" s="1145" t="str">
        <f t="shared" si="6"/>
        <v>容积率</v>
      </c>
      <c r="R11" s="1551" t="s">
        <v>8</v>
      </c>
      <c r="S11" s="1552" t="e">
        <f t="shared" si="0"/>
        <v>#N/A</v>
      </c>
      <c r="T11" s="1551" t="s">
        <v>8</v>
      </c>
      <c r="U11" s="1552" t="e">
        <f t="shared" si="1"/>
        <v>#N/A</v>
      </c>
      <c r="V11" s="1551" t="s">
        <v>8</v>
      </c>
      <c r="W11" s="1552" t="e">
        <f t="shared" si="2"/>
        <v>#N/A</v>
      </c>
      <c r="X11" s="1553"/>
      <c r="Y11" s="332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4">
        <f>SUMIF(64:64,E12,65:65)-SUMIF(64:64,C12,65:65)+100</f>
        <v>100</v>
      </c>
      <c r="G12" s="918"/>
      <c r="H12" s="254">
        <f>SUMIF(64:64,G12,65:65)-SUMIF(64:64,C12,65:65)+100</f>
        <v>100</v>
      </c>
      <c r="I12" s="878"/>
      <c r="J12" s="254">
        <f>SUMIF(64:64,I12,65:65)-SUMIF(64:64,C12,65:65)+100</f>
        <v>100</v>
      </c>
      <c r="K12" s="579"/>
      <c r="L12" s="2117"/>
      <c r="M12" s="2118"/>
      <c r="N12" s="2118"/>
      <c r="O12" s="2119"/>
      <c r="P12" s="3383"/>
      <c r="Q12" s="1145">
        <f t="shared" si="6"/>
        <v>111</v>
      </c>
      <c r="R12" s="1551" t="s">
        <v>8</v>
      </c>
      <c r="S12" s="1552">
        <f t="shared" si="0"/>
        <v>100</v>
      </c>
      <c r="T12" s="1551" t="s">
        <v>8</v>
      </c>
      <c r="U12" s="1552">
        <f t="shared" si="1"/>
        <v>100</v>
      </c>
      <c r="V12" s="1551" t="s">
        <v>8</v>
      </c>
      <c r="W12" s="1552">
        <f t="shared" si="2"/>
        <v>100</v>
      </c>
      <c r="X12" s="1553"/>
      <c r="Y12" s="3329"/>
      <c r="Z12" s="1144">
        <f t="shared" si="7"/>
        <v>111</v>
      </c>
      <c r="AA12" s="1554">
        <f>D12/F12</f>
        <v>1</v>
      </c>
      <c r="AB12" s="1554">
        <f>D12/H12</f>
        <v>1</v>
      </c>
      <c r="AC12" s="1554">
        <f>D12/J12</f>
        <v>1</v>
      </c>
    </row>
    <row r="13" spans="1:29" ht="15">
      <c r="A13" s="2869"/>
      <c r="B13" s="2875">
        <v>111</v>
      </c>
      <c r="C13" s="537"/>
      <c r="D13" s="538">
        <v>100</v>
      </c>
      <c r="E13" s="537"/>
      <c r="F13" s="254">
        <f>SUMIF(66:66,E13,67:67)-SUMIF(66:66,C13,67:67)+100</f>
        <v>100</v>
      </c>
      <c r="G13" s="918"/>
      <c r="H13" s="538">
        <f>SUMIF(66:66,G13,67:67)-SUMIF(66:66,C13,67:67)+100</f>
        <v>100</v>
      </c>
      <c r="I13" s="878"/>
      <c r="J13" s="538">
        <f>SUMIF(66:66,I13,67:67)-SUMIF(66:66,C13,67:67)+100</f>
        <v>100</v>
      </c>
      <c r="K13" s="579"/>
      <c r="L13" s="2124"/>
      <c r="M13" s="2116"/>
      <c r="N13" s="2116"/>
      <c r="O13" s="2123"/>
      <c r="P13" s="3383"/>
      <c r="Q13" s="1145">
        <f t="shared" si="6"/>
        <v>111</v>
      </c>
      <c r="R13" s="1551" t="s">
        <v>8</v>
      </c>
      <c r="S13" s="1552">
        <f t="shared" si="0"/>
        <v>100</v>
      </c>
      <c r="T13" s="1551" t="s">
        <v>8</v>
      </c>
      <c r="U13" s="1552">
        <f t="shared" si="1"/>
        <v>100</v>
      </c>
      <c r="V13" s="1551" t="s">
        <v>8</v>
      </c>
      <c r="W13" s="1552">
        <f t="shared" si="2"/>
        <v>100</v>
      </c>
      <c r="X13" s="1553"/>
      <c r="Y13" s="3329"/>
      <c r="Z13" s="1144">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83"/>
      <c r="Q14" s="1145">
        <f t="shared" si="6"/>
        <v>111</v>
      </c>
      <c r="R14" s="1551" t="s">
        <v>8</v>
      </c>
      <c r="S14" s="1552">
        <f t="shared" si="0"/>
        <v>100</v>
      </c>
      <c r="T14" s="1551" t="s">
        <v>8</v>
      </c>
      <c r="U14" s="1552">
        <f t="shared" si="1"/>
        <v>100</v>
      </c>
      <c r="V14" s="1551" t="s">
        <v>8</v>
      </c>
      <c r="W14" s="1552">
        <f t="shared" si="2"/>
        <v>100</v>
      </c>
      <c r="X14" s="1553"/>
      <c r="Y14" s="3329"/>
      <c r="Z14" s="1144">
        <f t="shared" si="7"/>
        <v>111</v>
      </c>
      <c r="AA14" s="1554">
        <f t="shared" si="3"/>
        <v>1</v>
      </c>
      <c r="AB14" s="1554">
        <f t="shared" si="4"/>
        <v>1</v>
      </c>
      <c r="AC14" s="1554">
        <f t="shared" si="5"/>
        <v>1</v>
      </c>
    </row>
    <row r="15" spans="1:29" ht="57">
      <c r="A15" s="2862" t="s">
        <v>2749</v>
      </c>
      <c r="B15" s="165"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17" t="s">
        <v>540</v>
      </c>
      <c r="Q15" s="1555" t="str">
        <f t="shared" si="6"/>
        <v>产业集聚程度</v>
      </c>
      <c r="R15" s="1556" t="s">
        <v>8</v>
      </c>
      <c r="S15" s="1557">
        <f t="shared" si="0"/>
        <v>100</v>
      </c>
      <c r="T15" s="1556" t="s">
        <v>8</v>
      </c>
      <c r="U15" s="1557">
        <f t="shared" si="1"/>
        <v>100</v>
      </c>
      <c r="V15" s="1556" t="s">
        <v>8</v>
      </c>
      <c r="W15" s="1557">
        <f t="shared" si="2"/>
        <v>100</v>
      </c>
      <c r="X15" s="1550"/>
      <c r="Y15" s="3417"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18"/>
      <c r="Q16" s="1555"/>
      <c r="R16" s="1556"/>
      <c r="S16" s="1557"/>
      <c r="T16" s="1556"/>
      <c r="U16" s="1557"/>
      <c r="V16" s="1556"/>
      <c r="W16" s="1557"/>
      <c r="X16" s="1550"/>
      <c r="Y16" s="3418"/>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18"/>
      <c r="Q17" s="1555" t="str">
        <f>B17</f>
        <v>交通便捷度</v>
      </c>
      <c r="R17" s="1556" t="s">
        <v>8</v>
      </c>
      <c r="S17" s="1557">
        <f>F17</f>
        <v>100</v>
      </c>
      <c r="T17" s="1556" t="s">
        <v>8</v>
      </c>
      <c r="U17" s="1557">
        <f>H17</f>
        <v>100</v>
      </c>
      <c r="V17" s="1556" t="s">
        <v>8</v>
      </c>
      <c r="W17" s="1557">
        <f>J17</f>
        <v>100</v>
      </c>
      <c r="X17" s="1550"/>
      <c r="Y17" s="3418"/>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18"/>
      <c r="Q18" s="1555"/>
      <c r="R18" s="1556"/>
      <c r="S18" s="1557"/>
      <c r="T18" s="1556"/>
      <c r="U18" s="1557"/>
      <c r="V18" s="1556"/>
      <c r="W18" s="1557"/>
      <c r="X18" s="1550"/>
      <c r="Y18" s="3418"/>
      <c r="Z18" s="1558"/>
      <c r="AA18" s="1559">
        <v>1</v>
      </c>
      <c r="AB18" s="1559">
        <v>1</v>
      </c>
      <c r="AC18" s="1559">
        <v>1</v>
      </c>
    </row>
    <row r="19" spans="1:29" ht="42.75">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18"/>
      <c r="Q19" s="1555" t="str">
        <f>B19</f>
        <v>公共配套设施</v>
      </c>
      <c r="R19" s="1556" t="s">
        <v>8</v>
      </c>
      <c r="S19" s="1557">
        <f>F19</f>
        <v>100</v>
      </c>
      <c r="T19" s="1556" t="s">
        <v>8</v>
      </c>
      <c r="U19" s="1557">
        <f>H19</f>
        <v>100</v>
      </c>
      <c r="V19" s="1556" t="s">
        <v>8</v>
      </c>
      <c r="W19" s="1557">
        <f>J19</f>
        <v>100</v>
      </c>
      <c r="X19" s="1550"/>
      <c r="Y19" s="3418"/>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18"/>
      <c r="Q20" s="1555"/>
      <c r="R20" s="1556"/>
      <c r="S20" s="1557"/>
      <c r="T20" s="1556"/>
      <c r="U20" s="1557"/>
      <c r="V20" s="1556"/>
      <c r="W20" s="1557"/>
      <c r="X20" s="1550"/>
      <c r="Y20" s="3418"/>
      <c r="Z20" s="1558"/>
      <c r="AA20" s="1559">
        <v>1</v>
      </c>
      <c r="AB20" s="1559">
        <v>1</v>
      </c>
      <c r="AC20" s="1559">
        <v>1</v>
      </c>
    </row>
    <row r="21" spans="1:29" ht="28.5">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18"/>
      <c r="Q21" s="2540" t="str">
        <f>B21</f>
        <v>基础设施水平</v>
      </c>
      <c r="R21" s="1556" t="s">
        <v>8</v>
      </c>
      <c r="S21" s="1557">
        <f>F21</f>
        <v>100</v>
      </c>
      <c r="T21" s="1556" t="s">
        <v>8</v>
      </c>
      <c r="U21" s="1557">
        <f>H21</f>
        <v>100</v>
      </c>
      <c r="V21" s="1556" t="s">
        <v>8</v>
      </c>
      <c r="W21" s="1557">
        <f>J21</f>
        <v>100</v>
      </c>
      <c r="X21" s="2542"/>
      <c r="Y21" s="3418"/>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8"/>
      <c r="Q22" s="2540"/>
      <c r="R22" s="1556"/>
      <c r="S22" s="1557"/>
      <c r="T22" s="1556"/>
      <c r="U22" s="1557"/>
      <c r="V22" s="1556"/>
      <c r="W22" s="1557"/>
      <c r="X22" s="2542"/>
      <c r="Y22" s="3418"/>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18"/>
      <c r="Q23" s="1555" t="str">
        <f>B23</f>
        <v>环境质量</v>
      </c>
      <c r="R23" s="1556" t="s">
        <v>8</v>
      </c>
      <c r="S23" s="1557">
        <f>F23</f>
        <v>100</v>
      </c>
      <c r="T23" s="1556" t="s">
        <v>8</v>
      </c>
      <c r="U23" s="1557">
        <f>H23</f>
        <v>100</v>
      </c>
      <c r="V23" s="1556" t="s">
        <v>8</v>
      </c>
      <c r="W23" s="1557">
        <f>J23</f>
        <v>100</v>
      </c>
      <c r="X23" s="1550"/>
      <c r="Y23" s="3418"/>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18"/>
      <c r="Q24" s="1555"/>
      <c r="R24" s="1556"/>
      <c r="S24" s="1557"/>
      <c r="T24" s="1556"/>
      <c r="U24" s="1557"/>
      <c r="V24" s="1556"/>
      <c r="W24" s="1557"/>
      <c r="X24" s="1550"/>
      <c r="Y24" s="3418"/>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8"/>
      <c r="Q25" s="1555">
        <f>B25</f>
        <v>111</v>
      </c>
      <c r="R25" s="1556" t="s">
        <v>8</v>
      </c>
      <c r="S25" s="1557">
        <f>F25</f>
        <v>100</v>
      </c>
      <c r="T25" s="1556" t="s">
        <v>8</v>
      </c>
      <c r="U25" s="1557">
        <f>H25</f>
        <v>100</v>
      </c>
      <c r="V25" s="1556" t="s">
        <v>8</v>
      </c>
      <c r="W25" s="1557">
        <f>J25</f>
        <v>100</v>
      </c>
      <c r="X25" s="1550"/>
      <c r="Y25" s="3418"/>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8"/>
      <c r="Q26" s="1555">
        <f t="shared" ref="Q26:Q40" si="11">B26</f>
        <v>111</v>
      </c>
      <c r="R26" s="1556" t="s">
        <v>8</v>
      </c>
      <c r="S26" s="1557">
        <f>F26</f>
        <v>100</v>
      </c>
      <c r="T26" s="1556" t="s">
        <v>8</v>
      </c>
      <c r="U26" s="1557">
        <f>H26</f>
        <v>100</v>
      </c>
      <c r="V26" s="1556" t="s">
        <v>8</v>
      </c>
      <c r="W26" s="1557">
        <f>J26</f>
        <v>100</v>
      </c>
      <c r="X26" s="1550"/>
      <c r="Y26" s="3418"/>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8"/>
      <c r="Q27" s="1145">
        <f t="shared" si="11"/>
        <v>111</v>
      </c>
      <c r="R27" s="1551" t="s">
        <v>8</v>
      </c>
      <c r="S27" s="1552">
        <f>F27</f>
        <v>100</v>
      </c>
      <c r="T27" s="1551" t="s">
        <v>8</v>
      </c>
      <c r="U27" s="1552">
        <f>H27</f>
        <v>100</v>
      </c>
      <c r="V27" s="1551" t="s">
        <v>8</v>
      </c>
      <c r="W27" s="1552">
        <f>J27</f>
        <v>100</v>
      </c>
      <c r="X27" s="1553"/>
      <c r="Y27" s="3418"/>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18"/>
      <c r="Q28" s="1555">
        <f t="shared" si="11"/>
        <v>111</v>
      </c>
      <c r="R28" s="1556" t="s">
        <v>8</v>
      </c>
      <c r="S28" s="1557">
        <f t="shared" ref="S28:S40" si="12">F28</f>
        <v>100</v>
      </c>
      <c r="T28" s="1556" t="s">
        <v>8</v>
      </c>
      <c r="U28" s="1557">
        <f t="shared" ref="U28:U40" si="13">H28</f>
        <v>100</v>
      </c>
      <c r="V28" s="1556" t="s">
        <v>8</v>
      </c>
      <c r="W28" s="1557">
        <f t="shared" ref="W28:W40" si="14">J28</f>
        <v>100</v>
      </c>
      <c r="X28" s="1550"/>
      <c r="Y28" s="3418"/>
      <c r="Z28" s="1558">
        <f t="shared" ref="Z28:Z40" si="15">Q28</f>
        <v>111</v>
      </c>
      <c r="AA28" s="1559">
        <f t="shared" si="3"/>
        <v>1</v>
      </c>
      <c r="AB28" s="1559">
        <f t="shared" si="4"/>
        <v>1</v>
      </c>
      <c r="AC28" s="1559">
        <f t="shared" si="5"/>
        <v>1</v>
      </c>
    </row>
    <row r="29" spans="1:29" ht="15">
      <c r="A29" s="2859" t="s">
        <v>2750</v>
      </c>
      <c r="B29" s="171"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19" t="s">
        <v>550</v>
      </c>
      <c r="Q29" s="1555" t="str">
        <f t="shared" si="11"/>
        <v>建筑类型</v>
      </c>
      <c r="R29" s="1556" t="s">
        <v>8</v>
      </c>
      <c r="S29" s="1557">
        <f t="shared" si="12"/>
        <v>100</v>
      </c>
      <c r="T29" s="1556" t="s">
        <v>8</v>
      </c>
      <c r="U29" s="1557">
        <f t="shared" si="13"/>
        <v>100</v>
      </c>
      <c r="V29" s="1556" t="s">
        <v>8</v>
      </c>
      <c r="W29" s="1557">
        <f t="shared" si="14"/>
        <v>100</v>
      </c>
      <c r="X29" s="1550"/>
      <c r="Y29" s="3420" t="s">
        <v>550</v>
      </c>
      <c r="Z29" s="1558" t="str">
        <f t="shared" si="15"/>
        <v>建筑类型</v>
      </c>
      <c r="AA29" s="1559">
        <f t="shared" si="3"/>
        <v>1</v>
      </c>
      <c r="AB29" s="1559">
        <f t="shared" si="4"/>
        <v>1</v>
      </c>
      <c r="AC29" s="1559">
        <f t="shared" si="5"/>
        <v>1</v>
      </c>
    </row>
    <row r="30" spans="1:29" s="1333" customFormat="1" ht="15">
      <c r="A30" s="601"/>
      <c r="B30" s="525" t="s">
        <v>726</v>
      </c>
      <c r="C30" s="878"/>
      <c r="D30" s="254">
        <v>100</v>
      </c>
      <c r="E30" s="532"/>
      <c r="F30" s="861" t="e">
        <f>LOOKUP(E30,91:91,92:92)-LOOKUP(C30,91:91,92:92)+100</f>
        <v>#N/A</v>
      </c>
      <c r="G30" s="531"/>
      <c r="H30" s="254" t="e">
        <f>LOOKUP(G30,91:91,92:92)-LOOKUP(C30,91:91,92:92)+100</f>
        <v>#N/A</v>
      </c>
      <c r="I30" s="531"/>
      <c r="J30" s="254" t="e">
        <f>LOOKUP(I30,91:91,92:92)-LOOKUP(C30,91:91,92:92)+100</f>
        <v>#N/A</v>
      </c>
      <c r="K30" s="579"/>
      <c r="L30" s="2122"/>
      <c r="M30" s="2153"/>
      <c r="N30" s="2153"/>
      <c r="O30" s="2125"/>
      <c r="P30" s="3420"/>
      <c r="Q30" s="1587" t="str">
        <f t="shared" si="11"/>
        <v>项目建筑规模</v>
      </c>
      <c r="R30" s="1560" t="s">
        <v>8</v>
      </c>
      <c r="S30" s="1561" t="e">
        <f t="shared" si="12"/>
        <v>#N/A</v>
      </c>
      <c r="T30" s="1560" t="s">
        <v>8</v>
      </c>
      <c r="U30" s="1561" t="e">
        <f t="shared" si="13"/>
        <v>#N/A</v>
      </c>
      <c r="V30" s="1560" t="s">
        <v>8</v>
      </c>
      <c r="W30" s="1561" t="e">
        <f t="shared" si="14"/>
        <v>#N/A</v>
      </c>
      <c r="X30" s="1562"/>
      <c r="Y30" s="3420"/>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0"/>
      <c r="Q31" s="1555" t="str">
        <f t="shared" si="11"/>
        <v>建筑结构</v>
      </c>
      <c r="R31" s="1556" t="s">
        <v>8</v>
      </c>
      <c r="S31" s="1557">
        <f t="shared" si="12"/>
        <v>100</v>
      </c>
      <c r="T31" s="1556" t="s">
        <v>8</v>
      </c>
      <c r="U31" s="1557">
        <f t="shared" si="13"/>
        <v>100</v>
      </c>
      <c r="V31" s="1556" t="s">
        <v>8</v>
      </c>
      <c r="W31" s="1557">
        <f t="shared" si="14"/>
        <v>100</v>
      </c>
      <c r="X31" s="1550"/>
      <c r="Y31" s="3420"/>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0"/>
      <c r="Q32" s="1555" t="str">
        <f t="shared" si="11"/>
        <v>公共部分装修</v>
      </c>
      <c r="R32" s="1556" t="s">
        <v>8</v>
      </c>
      <c r="S32" s="1557">
        <f t="shared" si="12"/>
        <v>100</v>
      </c>
      <c r="T32" s="1556" t="s">
        <v>8</v>
      </c>
      <c r="U32" s="1557">
        <f t="shared" si="13"/>
        <v>100</v>
      </c>
      <c r="V32" s="1556" t="s">
        <v>8</v>
      </c>
      <c r="W32" s="1557">
        <f t="shared" si="14"/>
        <v>100</v>
      </c>
      <c r="X32" s="1550"/>
      <c r="Y32" s="3420"/>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20"/>
      <c r="Q33" s="1555" t="str">
        <f t="shared" si="11"/>
        <v>成新度</v>
      </c>
      <c r="R33" s="1556" t="s">
        <v>8</v>
      </c>
      <c r="S33" s="1557" t="e">
        <f t="shared" si="12"/>
        <v>#N/A</v>
      </c>
      <c r="T33" s="1556" t="s">
        <v>8</v>
      </c>
      <c r="U33" s="1557" t="e">
        <f t="shared" si="13"/>
        <v>#N/A</v>
      </c>
      <c r="V33" s="1556" t="s">
        <v>8</v>
      </c>
      <c r="W33" s="1557" t="e">
        <f t="shared" si="14"/>
        <v>#N/A</v>
      </c>
      <c r="X33" s="1550"/>
      <c r="Y33" s="3420"/>
      <c r="Z33" s="1558" t="str">
        <f t="shared" si="15"/>
        <v>成新度</v>
      </c>
      <c r="AA33" s="1559" t="e">
        <f t="shared" si="3"/>
        <v>#N/A</v>
      </c>
      <c r="AB33" s="1559" t="e">
        <f t="shared" si="4"/>
        <v>#N/A</v>
      </c>
      <c r="AC33" s="1559" t="e">
        <f t="shared" si="5"/>
        <v>#N/A</v>
      </c>
    </row>
    <row r="34" spans="1:29" s="1214" customFormat="1" ht="15">
      <c r="A34" s="598"/>
      <c r="B34" s="525" t="s">
        <v>782</v>
      </c>
      <c r="C34" s="572"/>
      <c r="D34" s="254">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0"/>
      <c r="Q34" s="1145" t="str">
        <f t="shared" si="11"/>
        <v>物业管理</v>
      </c>
      <c r="R34" s="1551" t="s">
        <v>8</v>
      </c>
      <c r="S34" s="1552">
        <f t="shared" si="12"/>
        <v>100</v>
      </c>
      <c r="T34" s="1551" t="s">
        <v>8</v>
      </c>
      <c r="U34" s="1552">
        <f t="shared" si="13"/>
        <v>100</v>
      </c>
      <c r="V34" s="1551" t="s">
        <v>8</v>
      </c>
      <c r="W34" s="1552">
        <f t="shared" si="14"/>
        <v>100</v>
      </c>
      <c r="X34" s="1553"/>
      <c r="Y34" s="3420"/>
      <c r="Z34" s="1144"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0" t="s">
        <v>550</v>
      </c>
      <c r="Q35" s="1555" t="str">
        <f t="shared" si="11"/>
        <v>市政基础设施</v>
      </c>
      <c r="R35" s="1556" t="s">
        <v>8</v>
      </c>
      <c r="S35" s="1557">
        <f t="shared" si="12"/>
        <v>100</v>
      </c>
      <c r="T35" s="1556" t="s">
        <v>8</v>
      </c>
      <c r="U35" s="1557">
        <f t="shared" si="13"/>
        <v>100</v>
      </c>
      <c r="V35" s="1556" t="s">
        <v>8</v>
      </c>
      <c r="W35" s="1557">
        <f t="shared" si="14"/>
        <v>100</v>
      </c>
      <c r="X35" s="1550"/>
      <c r="Y35" s="3420"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0"/>
      <c r="Q36" s="1555" t="str">
        <f t="shared" si="11"/>
        <v>内部装修</v>
      </c>
      <c r="R36" s="1556" t="s">
        <v>8</v>
      </c>
      <c r="S36" s="1557">
        <f t="shared" si="12"/>
        <v>100</v>
      </c>
      <c r="T36" s="1556" t="s">
        <v>8</v>
      </c>
      <c r="U36" s="1557">
        <f t="shared" si="13"/>
        <v>100</v>
      </c>
      <c r="V36" s="1556" t="s">
        <v>8</v>
      </c>
      <c r="W36" s="1557">
        <f t="shared" si="14"/>
        <v>100</v>
      </c>
      <c r="X36" s="1550"/>
      <c r="Y36" s="3420"/>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0"/>
      <c r="Q37" s="1555" t="str">
        <f t="shared" si="11"/>
        <v>内部装修状况</v>
      </c>
      <c r="R37" s="1556" t="s">
        <v>8</v>
      </c>
      <c r="S37" s="1557">
        <f t="shared" si="12"/>
        <v>100</v>
      </c>
      <c r="T37" s="1556" t="s">
        <v>8</v>
      </c>
      <c r="U37" s="1557">
        <f t="shared" si="13"/>
        <v>100</v>
      </c>
      <c r="V37" s="1556" t="s">
        <v>8</v>
      </c>
      <c r="W37" s="1557">
        <f t="shared" si="14"/>
        <v>100</v>
      </c>
      <c r="X37" s="1550"/>
      <c r="Y37" s="3420"/>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20"/>
      <c r="Q38" s="1587">
        <f t="shared" si="11"/>
        <v>111</v>
      </c>
      <c r="R38" s="1560" t="s">
        <v>8</v>
      </c>
      <c r="S38" s="1561">
        <f t="shared" si="12"/>
        <v>100</v>
      </c>
      <c r="T38" s="1560" t="s">
        <v>8</v>
      </c>
      <c r="U38" s="1561">
        <f t="shared" si="13"/>
        <v>100</v>
      </c>
      <c r="V38" s="1560" t="s">
        <v>8</v>
      </c>
      <c r="W38" s="1561">
        <f t="shared" si="14"/>
        <v>100</v>
      </c>
      <c r="X38" s="1562"/>
      <c r="Y38" s="3420"/>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20"/>
      <c r="Q39" s="1555">
        <f t="shared" si="11"/>
        <v>111</v>
      </c>
      <c r="R39" s="1556" t="s">
        <v>8</v>
      </c>
      <c r="S39" s="1557">
        <f t="shared" si="12"/>
        <v>100</v>
      </c>
      <c r="T39" s="1556" t="s">
        <v>8</v>
      </c>
      <c r="U39" s="1557">
        <f t="shared" si="13"/>
        <v>100</v>
      </c>
      <c r="V39" s="1556" t="s">
        <v>8</v>
      </c>
      <c r="W39" s="1557">
        <f t="shared" si="14"/>
        <v>100</v>
      </c>
      <c r="X39" s="1550"/>
      <c r="Y39" s="3420"/>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1"/>
      <c r="Q40" s="1555">
        <f t="shared" si="11"/>
        <v>111</v>
      </c>
      <c r="R40" s="1556" t="s">
        <v>8</v>
      </c>
      <c r="S40" s="1557">
        <f t="shared" si="12"/>
        <v>100</v>
      </c>
      <c r="T40" s="1556" t="s">
        <v>8</v>
      </c>
      <c r="U40" s="1557">
        <f t="shared" si="13"/>
        <v>100</v>
      </c>
      <c r="V40" s="1556" t="s">
        <v>8</v>
      </c>
      <c r="W40" s="1557">
        <f t="shared" si="14"/>
        <v>100</v>
      </c>
      <c r="X40" s="1550"/>
      <c r="Y40" s="3501"/>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383" t="str">
        <f>A41</f>
        <v>成交单价（元/平方米）</v>
      </c>
      <c r="Q41" s="3383"/>
      <c r="R41" s="3500">
        <f>E41</f>
        <v>0</v>
      </c>
      <c r="S41" s="3500"/>
      <c r="T41" s="3500">
        <f>G41</f>
        <v>0</v>
      </c>
      <c r="U41" s="3500"/>
      <c r="V41" s="3500">
        <f>I41</f>
        <v>0</v>
      </c>
      <c r="W41" s="3500"/>
      <c r="X41" s="1542"/>
      <c r="Y41" s="1564"/>
      <c r="Z41" s="1542"/>
      <c r="AA41" s="1542"/>
      <c r="AB41" s="1542"/>
      <c r="AC41" s="1542"/>
    </row>
    <row r="42" spans="1:29" ht="15.75" thickBot="1">
      <c r="A42" s="613" t="s">
        <v>2755</v>
      </c>
      <c r="B42" s="886"/>
      <c r="C42" s="2594" t="e">
        <f>R43</f>
        <v>#DIV/0!</v>
      </c>
      <c r="D42" s="2595"/>
      <c r="E42" s="2596" t="e">
        <f>R42</f>
        <v>#DIV/0!</v>
      </c>
      <c r="F42" s="2596"/>
      <c r="G42" s="2594" t="e">
        <f>T42</f>
        <v>#DIV/0!</v>
      </c>
      <c r="H42" s="2595"/>
      <c r="I42" s="2596" t="e">
        <f>V42</f>
        <v>#DIV/0!</v>
      </c>
      <c r="J42" s="2595"/>
      <c r="K42" s="1594"/>
      <c r="L42" s="2126"/>
      <c r="M42" s="2127"/>
      <c r="N42" s="2116"/>
      <c r="O42" s="2127"/>
      <c r="P42" s="3383" t="str">
        <f>A42</f>
        <v>比较价格（元/平方米）</v>
      </c>
      <c r="Q42" s="3383"/>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2"/>
      <c r="Y42" s="1542"/>
      <c r="Z42" s="1542"/>
      <c r="AA42" s="1542"/>
      <c r="AB42" s="1542"/>
      <c r="AC42" s="1542"/>
    </row>
    <row r="43" spans="1:29" ht="15.75" thickBot="1">
      <c r="A43" s="619" t="s">
        <v>2923</v>
      </c>
      <c r="B43" s="620"/>
      <c r="C43" s="2597" t="e">
        <f>R43</f>
        <v>#DIV/0!</v>
      </c>
      <c r="D43" s="2597"/>
      <c r="E43" s="2597"/>
      <c r="F43" s="2597"/>
      <c r="G43" s="2597"/>
      <c r="H43" s="2597"/>
      <c r="I43" s="2597"/>
      <c r="J43" s="2597"/>
      <c r="K43" s="1595"/>
      <c r="L43" s="2126"/>
      <c r="M43" s="2127"/>
      <c r="N43" s="2127"/>
      <c r="O43" s="2127"/>
      <c r="P43" s="3380" t="str">
        <f>A43</f>
        <v>估价对象XX用房的比较价格（楼面单价，元/平方米）</v>
      </c>
      <c r="Q43" s="3381"/>
      <c r="R43" s="3499" t="e">
        <f>IF(F1="售价",ROUND(AVERAGE(R42:V42),0),ROUND(AVERAGE(R42:V42),1))</f>
        <v>#DIV/0!</v>
      </c>
      <c r="S43" s="3499"/>
      <c r="T43" s="3499"/>
      <c r="U43" s="3499"/>
      <c r="V43" s="3499"/>
      <c r="W43" s="3499"/>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529</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2554</v>
      </c>
      <c r="C76" s="2559" t="s">
        <v>2555</v>
      </c>
      <c r="D76" s="2559" t="s">
        <v>2556</v>
      </c>
      <c r="E76" s="2559" t="s">
        <v>2557</v>
      </c>
      <c r="F76" s="2559" t="s">
        <v>2558</v>
      </c>
      <c r="G76" s="2559" t="s">
        <v>2559</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IF(B37="元/平方米",C39,ROUND(B2*10000/D3,0))</f>
        <v>#DIV/0!</v>
      </c>
      <c r="C3" s="850" t="s">
        <v>796</v>
      </c>
      <c r="D3" s="849">
        <f>SUMIF('数据-汇总表'!$C19:$C33,D1,'数据-汇总表'!$E19:$E33)</f>
        <v>0</v>
      </c>
      <c r="E3" s="1830" t="s">
        <v>2072</v>
      </c>
      <c r="F3" s="849">
        <f>SUMIF('数据-取费表'!A5:A15,D1,'数据-取费表'!AH5:AH15)</f>
        <v>1660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9" t="s">
        <v>798</v>
      </c>
      <c r="D4" s="3390"/>
      <c r="E4" s="3389" t="s">
        <v>799</v>
      </c>
      <c r="F4" s="3390"/>
      <c r="G4" s="3389" t="s">
        <v>800</v>
      </c>
      <c r="H4" s="3390"/>
      <c r="I4" s="3389" t="s">
        <v>801</v>
      </c>
      <c r="J4" s="3390"/>
      <c r="K4" s="512" t="s">
        <v>802</v>
      </c>
      <c r="L4" s="2115"/>
      <c r="M4" s="2116"/>
      <c r="N4" s="2116"/>
      <c r="O4" s="2116"/>
      <c r="P4" s="3391" t="s">
        <v>803</v>
      </c>
      <c r="Q4" s="3392"/>
      <c r="R4" s="3397" t="s">
        <v>799</v>
      </c>
      <c r="S4" s="3398"/>
      <c r="T4" s="3397" t="s">
        <v>800</v>
      </c>
      <c r="U4" s="3398"/>
      <c r="V4" s="3384" t="s">
        <v>801</v>
      </c>
      <c r="W4" s="3384"/>
      <c r="X4" s="1550"/>
      <c r="Y4" s="3397" t="s">
        <v>803</v>
      </c>
      <c r="Z4" s="3398"/>
      <c r="AA4" s="3386" t="s">
        <v>799</v>
      </c>
      <c r="AB4" s="3387" t="s">
        <v>800</v>
      </c>
      <c r="AC4" s="3386" t="s">
        <v>801</v>
      </c>
    </row>
    <row r="5" spans="1:29" ht="15">
      <c r="A5" s="513"/>
      <c r="B5" s="514"/>
      <c r="C5" s="3405" t="s">
        <v>2917</v>
      </c>
      <c r="D5" s="3406"/>
      <c r="E5" s="3405" t="s">
        <v>2918</v>
      </c>
      <c r="F5" s="3406"/>
      <c r="G5" s="3405" t="s">
        <v>2919</v>
      </c>
      <c r="H5" s="3406"/>
      <c r="I5" s="3405" t="s">
        <v>2920</v>
      </c>
      <c r="J5" s="3406"/>
      <c r="K5" s="512"/>
      <c r="L5" s="2115"/>
      <c r="M5" s="2116"/>
      <c r="N5" s="2116"/>
      <c r="O5" s="2116"/>
      <c r="P5" s="3393"/>
      <c r="Q5" s="3394"/>
      <c r="R5" s="3399"/>
      <c r="S5" s="3400"/>
      <c r="T5" s="3399"/>
      <c r="U5" s="3400"/>
      <c r="V5" s="3384"/>
      <c r="W5" s="3384"/>
      <c r="X5" s="1550"/>
      <c r="Y5" s="3399"/>
      <c r="Z5" s="3400"/>
      <c r="AA5" s="3387"/>
      <c r="AB5" s="3387"/>
      <c r="AC5" s="3387"/>
    </row>
    <row r="6" spans="1:29" ht="15.75" thickBot="1">
      <c r="A6" s="515"/>
      <c r="B6" s="516"/>
      <c r="C6" s="3403" t="s">
        <v>2921</v>
      </c>
      <c r="D6" s="3404"/>
      <c r="E6" s="3407" t="s">
        <v>2921</v>
      </c>
      <c r="F6" s="3408"/>
      <c r="G6" s="3403" t="s">
        <v>2921</v>
      </c>
      <c r="H6" s="3404"/>
      <c r="I6" s="3403" t="s">
        <v>2921</v>
      </c>
      <c r="J6" s="3404"/>
      <c r="K6" s="512" t="s">
        <v>528</v>
      </c>
      <c r="L6" s="2115"/>
      <c r="M6" s="2116"/>
      <c r="N6" s="2116"/>
      <c r="O6" s="2116"/>
      <c r="P6" s="3395"/>
      <c r="Q6" s="3396"/>
      <c r="R6" s="3399"/>
      <c r="S6" s="3400"/>
      <c r="T6" s="3401"/>
      <c r="U6" s="3402"/>
      <c r="V6" s="3384"/>
      <c r="W6" s="3384"/>
      <c r="X6" s="1550"/>
      <c r="Y6" s="3401"/>
      <c r="Z6" s="3402"/>
      <c r="AA6" s="3388"/>
      <c r="AB6" s="3388"/>
      <c r="AC6" s="3388"/>
    </row>
    <row r="7" spans="1:29" s="1214" customFormat="1" ht="15.75" thickBot="1">
      <c r="A7" s="2864"/>
      <c r="B7" s="2871" t="s">
        <v>529</v>
      </c>
      <c r="C7" s="517">
        <f>'数据-取费表'!B2</f>
        <v>43833</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4" t="s">
        <v>530</v>
      </c>
      <c r="Q7" s="3416"/>
      <c r="R7" s="1551" t="s">
        <v>8</v>
      </c>
      <c r="S7" s="1552">
        <f t="shared" ref="S7:S14" si="0">F7</f>
        <v>0</v>
      </c>
      <c r="T7" s="1551" t="s">
        <v>8</v>
      </c>
      <c r="U7" s="1552">
        <f t="shared" ref="U7:U14" si="1">H7</f>
        <v>0</v>
      </c>
      <c r="V7" s="1551" t="s">
        <v>8</v>
      </c>
      <c r="W7" s="1552">
        <f t="shared" ref="W7:W14"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36" si="3">D8/F8</f>
        <v>#DIV/0!</v>
      </c>
      <c r="AB8" s="1554" t="e">
        <f t="shared" ref="AB8:AB36" si="4">D8/H8</f>
        <v>#DIV/0!</v>
      </c>
      <c r="AC8" s="1554" t="e">
        <f t="shared" ref="AC8:AC36" si="5">D8/J8</f>
        <v>#DIV/0!</v>
      </c>
    </row>
    <row r="9" spans="1:29" s="1214" customFormat="1" ht="15">
      <c r="A9" s="2866"/>
      <c r="B9" s="2873" t="s">
        <v>2751</v>
      </c>
      <c r="C9" s="855"/>
      <c r="D9" s="253">
        <v>100</v>
      </c>
      <c r="E9" s="858"/>
      <c r="F9" s="253">
        <f>SUMIF(53:53,E9,54:54)-SUMIF(53:53,C9,54:54)+100</f>
        <v>100</v>
      </c>
      <c r="G9" s="856"/>
      <c r="H9" s="253">
        <f>SUMIF(53:53,G9,54:54)-SUMIF(53:53,C9,54:54)+100</f>
        <v>100</v>
      </c>
      <c r="I9" s="856"/>
      <c r="J9" s="253">
        <f>SUMIF(53:53,I9,54:54)-SUMIF(53:53,C9,54:54)+100</f>
        <v>100</v>
      </c>
      <c r="K9" s="522"/>
      <c r="L9" s="2117"/>
      <c r="M9" s="2118"/>
      <c r="N9" s="2118"/>
      <c r="O9" s="2119"/>
      <c r="P9" s="3383" t="s">
        <v>535</v>
      </c>
      <c r="Q9" s="1145" t="str">
        <f t="shared" ref="Q9:Q14" si="6">B9</f>
        <v>用途</v>
      </c>
      <c r="R9" s="1551" t="s">
        <v>8</v>
      </c>
      <c r="S9" s="1552">
        <f t="shared" si="0"/>
        <v>100</v>
      </c>
      <c r="T9" s="1551" t="s">
        <v>8</v>
      </c>
      <c r="U9" s="1552">
        <f t="shared" si="1"/>
        <v>100</v>
      </c>
      <c r="V9" s="1551" t="s">
        <v>8</v>
      </c>
      <c r="W9" s="1552">
        <f t="shared" si="2"/>
        <v>100</v>
      </c>
      <c r="X9" s="1553"/>
      <c r="Y9" s="3329" t="s">
        <v>536</v>
      </c>
      <c r="Z9" s="1144" t="str">
        <f t="shared" ref="Z9:Z14" si="7">Q9</f>
        <v>用途</v>
      </c>
      <c r="AA9" s="1554">
        <f t="shared" si="3"/>
        <v>1</v>
      </c>
      <c r="AB9" s="1554">
        <f t="shared" si="4"/>
        <v>1</v>
      </c>
      <c r="AC9" s="1554">
        <f t="shared" si="5"/>
        <v>1</v>
      </c>
    </row>
    <row r="10" spans="1:29" s="1332" customFormat="1" ht="27">
      <c r="A10" s="2867"/>
      <c r="B10" s="2872" t="s">
        <v>2752</v>
      </c>
      <c r="C10" s="859"/>
      <c r="D10" s="254">
        <v>100</v>
      </c>
      <c r="E10" s="859"/>
      <c r="F10" s="254">
        <f>SUMIF(55:55,E10,56:56)-SUMIF(55:55,C10,56:56)+100</f>
        <v>100</v>
      </c>
      <c r="G10" s="860"/>
      <c r="H10" s="254">
        <f>SUMIF(55:55,G10,56:56)-SUMIF(55:55,C10,56:56)+100</f>
        <v>100</v>
      </c>
      <c r="I10" s="859"/>
      <c r="J10" s="254">
        <f>SUMIF(55:55,I10,56:56)-SUMIF(55:55,C10,56:56)+100</f>
        <v>100</v>
      </c>
      <c r="K10" s="582"/>
      <c r="L10" s="2120"/>
      <c r="M10" s="2160"/>
      <c r="N10" s="2160"/>
      <c r="O10" s="2121"/>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9"/>
      <c r="B11" s="2875">
        <v>111</v>
      </c>
      <c r="C11" s="526"/>
      <c r="D11" s="254">
        <v>100</v>
      </c>
      <c r="E11" s="526"/>
      <c r="F11" s="254">
        <f>SUMIF(57:57,E11,58:58)-SUMIF(57:57,C11,58:58)+100</f>
        <v>100</v>
      </c>
      <c r="G11" s="526"/>
      <c r="H11" s="254">
        <f>SUMIF(57:57,G11,58:58)-SUMIF(57:57,C11,58:58)+100</f>
        <v>100</v>
      </c>
      <c r="I11" s="526"/>
      <c r="J11" s="254">
        <f>SUMIF(57:57,I11,58:58)-SUMIF(57:57,C11,58:58)+100</f>
        <v>100</v>
      </c>
      <c r="K11" s="579"/>
      <c r="L11" s="2122"/>
      <c r="M11" s="2116"/>
      <c r="N11" s="2116"/>
      <c r="O11" s="2123"/>
      <c r="P11" s="3383"/>
      <c r="Q11" s="1145">
        <f t="shared" si="6"/>
        <v>111</v>
      </c>
      <c r="R11" s="1551" t="s">
        <v>8</v>
      </c>
      <c r="S11" s="1552">
        <f t="shared" si="0"/>
        <v>100</v>
      </c>
      <c r="T11" s="1551" t="s">
        <v>8</v>
      </c>
      <c r="U11" s="1552">
        <f t="shared" si="1"/>
        <v>100</v>
      </c>
      <c r="V11" s="1551" t="s">
        <v>8</v>
      </c>
      <c r="W11" s="1552">
        <f t="shared" si="2"/>
        <v>100</v>
      </c>
      <c r="X11" s="1553"/>
      <c r="Y11" s="3329"/>
      <c r="Z11" s="1144">
        <f t="shared" si="7"/>
        <v>111</v>
      </c>
      <c r="AA11" s="1554">
        <f t="shared" si="3"/>
        <v>1</v>
      </c>
      <c r="AB11" s="1554">
        <f t="shared" si="4"/>
        <v>1</v>
      </c>
      <c r="AC11" s="1554">
        <f t="shared" si="5"/>
        <v>1</v>
      </c>
    </row>
    <row r="12" spans="1:29" s="1214" customFormat="1" ht="15">
      <c r="A12" s="2869"/>
      <c r="B12" s="2875">
        <v>111</v>
      </c>
      <c r="C12" s="526"/>
      <c r="D12" s="536">
        <v>100</v>
      </c>
      <c r="E12" s="526"/>
      <c r="F12" s="254">
        <f>SUMIF(59:59,E12,60:60)-SUMIF(59:59,C12,60:60)+100</f>
        <v>100</v>
      </c>
      <c r="G12" s="526"/>
      <c r="H12" s="254">
        <f>SUMIF(59:59,G12,60:60)-SUMIF(59:59,C12,60:60)+100</f>
        <v>100</v>
      </c>
      <c r="I12" s="526"/>
      <c r="J12" s="254">
        <f>SUMIF(59:59,I12,60:60)-SUMIF(59:59,C12,60:60)+100</f>
        <v>100</v>
      </c>
      <c r="K12" s="579"/>
      <c r="L12" s="2117"/>
      <c r="M12" s="2118"/>
      <c r="N12" s="2118"/>
      <c r="O12" s="2119"/>
      <c r="P12" s="3383"/>
      <c r="Q12" s="1145">
        <f t="shared" si="6"/>
        <v>111</v>
      </c>
      <c r="R12" s="1551" t="s">
        <v>8</v>
      </c>
      <c r="S12" s="1552">
        <f t="shared" si="0"/>
        <v>100</v>
      </c>
      <c r="T12" s="1551" t="s">
        <v>8</v>
      </c>
      <c r="U12" s="1552">
        <f t="shared" si="1"/>
        <v>100</v>
      </c>
      <c r="V12" s="1551" t="s">
        <v>8</v>
      </c>
      <c r="W12" s="1552">
        <f t="shared" si="2"/>
        <v>100</v>
      </c>
      <c r="X12" s="1553"/>
      <c r="Y12" s="3329"/>
      <c r="Z12" s="1144">
        <f t="shared" si="7"/>
        <v>111</v>
      </c>
      <c r="AA12" s="1554">
        <f>D12/F12</f>
        <v>1</v>
      </c>
      <c r="AB12" s="1554">
        <f>D12/H12</f>
        <v>1</v>
      </c>
      <c r="AC12" s="1554">
        <f>D12/J12</f>
        <v>1</v>
      </c>
    </row>
    <row r="13" spans="1:29" ht="15.75" thickBot="1">
      <c r="A13" s="2870"/>
      <c r="B13" s="2876">
        <v>111</v>
      </c>
      <c r="C13" s="537"/>
      <c r="D13" s="538">
        <v>100</v>
      </c>
      <c r="E13" s="526"/>
      <c r="F13" s="254">
        <f>SUMIF(61:61,E13,62:62)-SUMIF(61:61,C13,62:62)+100</f>
        <v>100</v>
      </c>
      <c r="G13" s="526"/>
      <c r="H13" s="538">
        <f>SUMIF(61:61,G13,62:62)-SUMIF(61:61,C13,62:62)+100</f>
        <v>100</v>
      </c>
      <c r="I13" s="526"/>
      <c r="J13" s="538">
        <f>SUMIF(61:61,I13,62:62)-SUMIF(61:61,C13,62:62)+100</f>
        <v>100</v>
      </c>
      <c r="K13" s="579"/>
      <c r="L13" s="2124"/>
      <c r="M13" s="2116"/>
      <c r="N13" s="2116"/>
      <c r="O13" s="2123"/>
      <c r="P13" s="3383"/>
      <c r="Q13" s="1145">
        <f t="shared" si="6"/>
        <v>111</v>
      </c>
      <c r="R13" s="1551" t="s">
        <v>8</v>
      </c>
      <c r="S13" s="1552">
        <f t="shared" si="0"/>
        <v>100</v>
      </c>
      <c r="T13" s="1551" t="s">
        <v>8</v>
      </c>
      <c r="U13" s="1552">
        <f t="shared" si="1"/>
        <v>100</v>
      </c>
      <c r="V13" s="1551" t="s">
        <v>8</v>
      </c>
      <c r="W13" s="1552">
        <f t="shared" si="2"/>
        <v>100</v>
      </c>
      <c r="X13" s="1553"/>
      <c r="Y13" s="3329"/>
      <c r="Z13" s="1144">
        <f t="shared" si="7"/>
        <v>111</v>
      </c>
      <c r="AA13" s="1554">
        <f t="shared" si="3"/>
        <v>1</v>
      </c>
      <c r="AB13" s="1554">
        <f t="shared" si="4"/>
        <v>1</v>
      </c>
      <c r="AC13" s="1554">
        <f t="shared" si="5"/>
        <v>1</v>
      </c>
    </row>
    <row r="14" spans="1:29" ht="85.5">
      <c r="A14" s="2862" t="s">
        <v>2749</v>
      </c>
      <c r="B14" s="545" t="s">
        <v>543</v>
      </c>
      <c r="C14" s="919" t="str">
        <f>IF(B1="工业",估价对象房地状况!G4,估价对象房地状况!C6)</f>
        <v>估价对象周边道路状况较通达、公共交通通达情况一般、停车较便捷，综合评价交通便捷度一般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417" t="s">
        <v>540</v>
      </c>
      <c r="Q14" s="1555" t="str">
        <f t="shared" si="6"/>
        <v>交通便捷度</v>
      </c>
      <c r="R14" s="1556" t="s">
        <v>8</v>
      </c>
      <c r="S14" s="1557">
        <f t="shared" si="0"/>
        <v>100</v>
      </c>
      <c r="T14" s="1556" t="s">
        <v>8</v>
      </c>
      <c r="U14" s="1557">
        <f t="shared" si="1"/>
        <v>100</v>
      </c>
      <c r="V14" s="1556" t="s">
        <v>8</v>
      </c>
      <c r="W14" s="1557">
        <f t="shared" si="2"/>
        <v>100</v>
      </c>
      <c r="X14" s="1550"/>
      <c r="Y14" s="3417" t="s">
        <v>540</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418"/>
      <c r="Q15" s="1555"/>
      <c r="R15" s="1556"/>
      <c r="S15" s="1557"/>
      <c r="T15" s="1556"/>
      <c r="U15" s="1557"/>
      <c r="V15" s="1556"/>
      <c r="W15" s="1557"/>
      <c r="X15" s="1550"/>
      <c r="Y15" s="3418"/>
      <c r="Z15" s="1558"/>
      <c r="AA15" s="1559">
        <v>1</v>
      </c>
      <c r="AB15" s="1559">
        <v>1</v>
      </c>
      <c r="AC15" s="1559">
        <v>1</v>
      </c>
    </row>
    <row r="16" spans="1:29" ht="42.75">
      <c r="A16" s="513"/>
      <c r="B16" s="2564" t="s">
        <v>2542</v>
      </c>
      <c r="C16" s="870" t="str">
        <f>IF(B1="工业",估价对象房地状况!G5,估价对象房地状况!C7)</f>
        <v>估价对象所在区域公共配套设施程度一般</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418"/>
      <c r="Q16" s="1555" t="str">
        <f>B16</f>
        <v>公共配套设施</v>
      </c>
      <c r="R16" s="1556" t="s">
        <v>8</v>
      </c>
      <c r="S16" s="1557">
        <f>F16</f>
        <v>100</v>
      </c>
      <c r="T16" s="1556" t="s">
        <v>8</v>
      </c>
      <c r="U16" s="1557">
        <f>H16</f>
        <v>100</v>
      </c>
      <c r="V16" s="1556" t="s">
        <v>8</v>
      </c>
      <c r="W16" s="1557">
        <f>J16</f>
        <v>100</v>
      </c>
      <c r="X16" s="1550"/>
      <c r="Y16" s="3418"/>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418"/>
      <c r="Q17" s="1555"/>
      <c r="R17" s="1556"/>
      <c r="S17" s="1557"/>
      <c r="T17" s="1556"/>
      <c r="U17" s="1557"/>
      <c r="V17" s="1556"/>
      <c r="W17" s="1557"/>
      <c r="X17" s="1550"/>
      <c r="Y17" s="3418"/>
      <c r="Z17" s="1558"/>
      <c r="AA17" s="1559">
        <v>1</v>
      </c>
      <c r="AB17" s="1559">
        <v>1</v>
      </c>
      <c r="AC17" s="1559">
        <v>1</v>
      </c>
    </row>
    <row r="18" spans="1:29" ht="42.75">
      <c r="A18" s="513"/>
      <c r="B18" s="2552" t="s">
        <v>2554</v>
      </c>
      <c r="C18" s="870" t="str">
        <f>IF(B1="工业",估价对象房地状况!G6,估价对象房地状况!C8)</f>
        <v>估价对象所在区域基础设施水平七通</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418"/>
      <c r="Q18" s="2540" t="str">
        <f>B18</f>
        <v>基础设施水平</v>
      </c>
      <c r="R18" s="1556" t="s">
        <v>8</v>
      </c>
      <c r="S18" s="1557">
        <f>F18</f>
        <v>100</v>
      </c>
      <c r="T18" s="1556" t="s">
        <v>8</v>
      </c>
      <c r="U18" s="1557">
        <f>H18</f>
        <v>100</v>
      </c>
      <c r="V18" s="1556" t="s">
        <v>8</v>
      </c>
      <c r="W18" s="1557">
        <f>J18</f>
        <v>100</v>
      </c>
      <c r="X18" s="2542"/>
      <c r="Y18" s="3418"/>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18"/>
      <c r="Q19" s="2540"/>
      <c r="R19" s="1556"/>
      <c r="S19" s="1557"/>
      <c r="T19" s="1556"/>
      <c r="U19" s="1557"/>
      <c r="V19" s="1556"/>
      <c r="W19" s="1557"/>
      <c r="X19" s="2542"/>
      <c r="Y19" s="3418"/>
      <c r="Z19" s="2541"/>
      <c r="AA19" s="1559">
        <v>1</v>
      </c>
      <c r="AB19" s="1559">
        <v>1</v>
      </c>
      <c r="AC19" s="1559">
        <v>1</v>
      </c>
    </row>
    <row r="20" spans="1:29" ht="57">
      <c r="A20" s="513"/>
      <c r="B20" s="558" t="s">
        <v>804</v>
      </c>
      <c r="C20" s="870" t="str">
        <f>IF(B1="工业",估价对象房地状况!G7,估价对象房地状况!C9)</f>
        <v>区域自然环境较好；人文环境一般；综合评价环境状况较好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418"/>
      <c r="Q20" s="1555" t="str">
        <f>B20</f>
        <v>自然及人文环境</v>
      </c>
      <c r="R20" s="1556" t="s">
        <v>8</v>
      </c>
      <c r="S20" s="1557">
        <f>F20</f>
        <v>100</v>
      </c>
      <c r="T20" s="1556" t="s">
        <v>8</v>
      </c>
      <c r="U20" s="1557">
        <f>H20</f>
        <v>100</v>
      </c>
      <c r="V20" s="1556" t="s">
        <v>8</v>
      </c>
      <c r="W20" s="1557">
        <f>J20</f>
        <v>100</v>
      </c>
      <c r="X20" s="1550"/>
      <c r="Y20" s="3418"/>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418"/>
      <c r="Q21" s="1555"/>
      <c r="R21" s="1556"/>
      <c r="S21" s="1557"/>
      <c r="T21" s="1556"/>
      <c r="U21" s="1557"/>
      <c r="V21" s="1556"/>
      <c r="W21" s="1557"/>
      <c r="X21" s="1550"/>
      <c r="Y21" s="3418"/>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8"/>
      <c r="Q22" s="1555" t="str">
        <f>B22</f>
        <v>楼层</v>
      </c>
      <c r="R22" s="1556" t="s">
        <v>8</v>
      </c>
      <c r="S22" s="1557">
        <f>F22</f>
        <v>100</v>
      </c>
      <c r="T22" s="1556" t="s">
        <v>8</v>
      </c>
      <c r="U22" s="1557">
        <f>H22</f>
        <v>100</v>
      </c>
      <c r="V22" s="1556" t="s">
        <v>8</v>
      </c>
      <c r="W22" s="1557">
        <f>J22</f>
        <v>100</v>
      </c>
      <c r="X22" s="1550"/>
      <c r="Y22" s="3418"/>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8"/>
      <c r="Q23" s="1555">
        <f>B23</f>
        <v>111</v>
      </c>
      <c r="R23" s="1556" t="s">
        <v>8</v>
      </c>
      <c r="S23" s="1557">
        <f>F23</f>
        <v>100</v>
      </c>
      <c r="T23" s="1556" t="s">
        <v>8</v>
      </c>
      <c r="U23" s="1557">
        <f>H23</f>
        <v>100</v>
      </c>
      <c r="V23" s="1556" t="s">
        <v>8</v>
      </c>
      <c r="W23" s="1557">
        <f>J23</f>
        <v>100</v>
      </c>
      <c r="X23" s="1550"/>
      <c r="Y23" s="3418"/>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8"/>
      <c r="Q24" s="1555">
        <f t="shared" ref="Q24:Q36" si="11">B24</f>
        <v>111</v>
      </c>
      <c r="R24" s="1556" t="s">
        <v>8</v>
      </c>
      <c r="S24" s="1557">
        <f>F24</f>
        <v>100</v>
      </c>
      <c r="T24" s="1556" t="s">
        <v>8</v>
      </c>
      <c r="U24" s="1557">
        <f>H24</f>
        <v>100</v>
      </c>
      <c r="V24" s="1556" t="s">
        <v>8</v>
      </c>
      <c r="W24" s="1557">
        <f>J24</f>
        <v>100</v>
      </c>
      <c r="X24" s="1550"/>
      <c r="Y24" s="3418"/>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18"/>
      <c r="Q25" s="1145">
        <f t="shared" si="11"/>
        <v>111</v>
      </c>
      <c r="R25" s="1551" t="s">
        <v>8</v>
      </c>
      <c r="S25" s="1552">
        <f>F25</f>
        <v>100</v>
      </c>
      <c r="T25" s="1551" t="s">
        <v>8</v>
      </c>
      <c r="U25" s="1552">
        <f>H25</f>
        <v>100</v>
      </c>
      <c r="V25" s="1551" t="s">
        <v>8</v>
      </c>
      <c r="W25" s="1552">
        <f>J25</f>
        <v>100</v>
      </c>
      <c r="X25" s="1553"/>
      <c r="Y25" s="3418"/>
      <c r="Z25" s="1144">
        <f>Q25</f>
        <v>111</v>
      </c>
      <c r="AA25" s="1559">
        <f>D25/F25</f>
        <v>1</v>
      </c>
      <c r="AB25" s="1559">
        <f>D25/H25</f>
        <v>1</v>
      </c>
      <c r="AC25" s="1559">
        <f>D25/J25</f>
        <v>1</v>
      </c>
    </row>
    <row r="26" spans="1:29" ht="15">
      <c r="A26" s="2859" t="s">
        <v>2750</v>
      </c>
      <c r="B26" s="169"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19"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0" t="s">
        <v>550</v>
      </c>
      <c r="Z26" s="1558" t="str">
        <f t="shared" ref="Z26:Z36" si="15">Q26</f>
        <v>配套类型</v>
      </c>
      <c r="AA26" s="1559">
        <f t="shared" si="3"/>
        <v>1</v>
      </c>
      <c r="AB26" s="1559">
        <f t="shared" si="4"/>
        <v>1</v>
      </c>
      <c r="AC26" s="1559">
        <f t="shared" si="5"/>
        <v>1</v>
      </c>
    </row>
    <row r="27" spans="1:29" s="1333" customFormat="1" ht="15">
      <c r="A27" s="927"/>
      <c r="B27" s="580" t="s">
        <v>807</v>
      </c>
      <c r="C27" s="928"/>
      <c r="D27" s="254">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20"/>
      <c r="Q27" s="1587" t="str">
        <f t="shared" si="11"/>
        <v>项目停车位配比</v>
      </c>
      <c r="R27" s="1560" t="s">
        <v>8</v>
      </c>
      <c r="S27" s="1561">
        <f t="shared" si="12"/>
        <v>100</v>
      </c>
      <c r="T27" s="1560" t="s">
        <v>8</v>
      </c>
      <c r="U27" s="1561">
        <f t="shared" si="13"/>
        <v>100</v>
      </c>
      <c r="V27" s="1560" t="s">
        <v>8</v>
      </c>
      <c r="W27" s="1561">
        <f t="shared" si="14"/>
        <v>100</v>
      </c>
      <c r="X27" s="1562"/>
      <c r="Y27" s="3420"/>
      <c r="Z27" s="1563" t="str">
        <f t="shared" si="15"/>
        <v>项目停车位配比</v>
      </c>
      <c r="AA27" s="1559">
        <f t="shared" si="3"/>
        <v>1</v>
      </c>
      <c r="AB27" s="1559">
        <f t="shared" si="4"/>
        <v>1</v>
      </c>
      <c r="AC27" s="1559">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0"/>
      <c r="Q28" s="1555" t="str">
        <f t="shared" si="11"/>
        <v>公共部分装修</v>
      </c>
      <c r="R28" s="1556" t="s">
        <v>8</v>
      </c>
      <c r="S28" s="1557">
        <f t="shared" si="12"/>
        <v>100</v>
      </c>
      <c r="T28" s="1556" t="s">
        <v>8</v>
      </c>
      <c r="U28" s="1557">
        <f t="shared" si="13"/>
        <v>100</v>
      </c>
      <c r="V28" s="1556" t="s">
        <v>8</v>
      </c>
      <c r="W28" s="1557">
        <f t="shared" si="14"/>
        <v>100</v>
      </c>
      <c r="X28" s="1550"/>
      <c r="Y28" s="3420"/>
      <c r="Z28" s="1558" t="str">
        <f t="shared" si="15"/>
        <v>公共部分装修</v>
      </c>
      <c r="AA28" s="1559">
        <f t="shared" si="3"/>
        <v>1</v>
      </c>
      <c r="AB28" s="1559">
        <f t="shared" si="4"/>
        <v>1</v>
      </c>
      <c r="AC28" s="1559">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420"/>
      <c r="Q29" s="1555" t="str">
        <f t="shared" si="11"/>
        <v>成新率</v>
      </c>
      <c r="R29" s="1556" t="s">
        <v>8</v>
      </c>
      <c r="S29" s="1557" t="e">
        <f t="shared" si="12"/>
        <v>#N/A</v>
      </c>
      <c r="T29" s="1556" t="s">
        <v>8</v>
      </c>
      <c r="U29" s="1557" t="e">
        <f t="shared" si="13"/>
        <v>#N/A</v>
      </c>
      <c r="V29" s="1556" t="s">
        <v>8</v>
      </c>
      <c r="W29" s="1557" t="e">
        <f t="shared" si="14"/>
        <v>#N/A</v>
      </c>
      <c r="X29" s="1550"/>
      <c r="Y29" s="3420"/>
      <c r="Z29" s="1558" t="str">
        <f t="shared" si="15"/>
        <v>成新率</v>
      </c>
      <c r="AA29" s="1559" t="e">
        <f t="shared" si="3"/>
        <v>#N/A</v>
      </c>
      <c r="AB29" s="1559" t="e">
        <f t="shared" si="4"/>
        <v>#N/A</v>
      </c>
      <c r="AC29" s="1559"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420"/>
      <c r="Q30" s="1555" t="str">
        <f t="shared" si="11"/>
        <v>物业等级</v>
      </c>
      <c r="R30" s="1556" t="s">
        <v>8</v>
      </c>
      <c r="S30" s="1557">
        <f t="shared" si="12"/>
        <v>100</v>
      </c>
      <c r="T30" s="1556" t="s">
        <v>8</v>
      </c>
      <c r="U30" s="1557">
        <f t="shared" si="13"/>
        <v>100</v>
      </c>
      <c r="V30" s="1556" t="s">
        <v>8</v>
      </c>
      <c r="W30" s="1557">
        <f t="shared" si="14"/>
        <v>100</v>
      </c>
      <c r="X30" s="1550"/>
      <c r="Y30" s="3420"/>
      <c r="Z30" s="1558" t="str">
        <f t="shared" si="15"/>
        <v>物业等级</v>
      </c>
      <c r="AA30" s="1559">
        <f t="shared" si="3"/>
        <v>1</v>
      </c>
      <c r="AB30" s="1559">
        <f t="shared" si="4"/>
        <v>1</v>
      </c>
      <c r="AC30" s="1559">
        <f t="shared" si="5"/>
        <v>1</v>
      </c>
    </row>
    <row r="31" spans="1:29" s="1214" customFormat="1" ht="15">
      <c r="A31" s="931"/>
      <c r="B31" s="580" t="s">
        <v>811</v>
      </c>
      <c r="C31" s="878"/>
      <c r="D31" s="254">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420"/>
      <c r="Q31" s="1145" t="str">
        <f t="shared" si="11"/>
        <v>停车位面积</v>
      </c>
      <c r="R31" s="1551" t="s">
        <v>8</v>
      </c>
      <c r="S31" s="1552" t="e">
        <f t="shared" si="12"/>
        <v>#N/A</v>
      </c>
      <c r="T31" s="1551" t="s">
        <v>8</v>
      </c>
      <c r="U31" s="1552" t="e">
        <f t="shared" si="13"/>
        <v>#N/A</v>
      </c>
      <c r="V31" s="1551" t="s">
        <v>8</v>
      </c>
      <c r="W31" s="1552" t="e">
        <f t="shared" si="14"/>
        <v>#N/A</v>
      </c>
      <c r="X31" s="1553"/>
      <c r="Y31" s="3420"/>
      <c r="Z31" s="1144" t="str">
        <f t="shared" si="15"/>
        <v>停车位面积</v>
      </c>
      <c r="AA31" s="1554" t="e">
        <f t="shared" si="3"/>
        <v>#N/A</v>
      </c>
      <c r="AB31" s="1554" t="e">
        <f t="shared" si="4"/>
        <v>#N/A</v>
      </c>
      <c r="AC31" s="1554"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0" t="s">
        <v>550</v>
      </c>
      <c r="Q32" s="1555" t="str">
        <f t="shared" si="11"/>
        <v>车位类型</v>
      </c>
      <c r="R32" s="1556" t="s">
        <v>8</v>
      </c>
      <c r="S32" s="1557">
        <f t="shared" si="12"/>
        <v>100</v>
      </c>
      <c r="T32" s="1556" t="s">
        <v>8</v>
      </c>
      <c r="U32" s="1557">
        <f t="shared" si="13"/>
        <v>100</v>
      </c>
      <c r="V32" s="1556" t="s">
        <v>8</v>
      </c>
      <c r="W32" s="1557">
        <f t="shared" si="14"/>
        <v>100</v>
      </c>
      <c r="X32" s="1550"/>
      <c r="Y32" s="3420" t="s">
        <v>550</v>
      </c>
      <c r="Z32" s="1558" t="str">
        <f t="shared" si="15"/>
        <v>车位类型</v>
      </c>
      <c r="AA32" s="1559">
        <f t="shared" si="3"/>
        <v>1</v>
      </c>
      <c r="AB32" s="1559">
        <f t="shared" si="4"/>
        <v>1</v>
      </c>
      <c r="AC32" s="1559">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0"/>
      <c r="Q33" s="1555" t="str">
        <f t="shared" si="11"/>
        <v>是否直接入户</v>
      </c>
      <c r="R33" s="1556" t="s">
        <v>8</v>
      </c>
      <c r="S33" s="1557">
        <f t="shared" si="12"/>
        <v>100</v>
      </c>
      <c r="T33" s="1556" t="s">
        <v>8</v>
      </c>
      <c r="U33" s="1557">
        <f t="shared" si="13"/>
        <v>100</v>
      </c>
      <c r="V33" s="1556" t="s">
        <v>8</v>
      </c>
      <c r="W33" s="1557">
        <f t="shared" si="14"/>
        <v>100</v>
      </c>
      <c r="X33" s="1550"/>
      <c r="Y33" s="3420"/>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0"/>
      <c r="Q34" s="1555">
        <f t="shared" si="11"/>
        <v>111</v>
      </c>
      <c r="R34" s="1556" t="s">
        <v>8</v>
      </c>
      <c r="S34" s="1557">
        <f t="shared" si="12"/>
        <v>100</v>
      </c>
      <c r="T34" s="1556" t="s">
        <v>8</v>
      </c>
      <c r="U34" s="1557">
        <f t="shared" si="13"/>
        <v>100</v>
      </c>
      <c r="V34" s="1556" t="s">
        <v>8</v>
      </c>
      <c r="W34" s="1557">
        <f t="shared" si="14"/>
        <v>100</v>
      </c>
      <c r="X34" s="1550"/>
      <c r="Y34" s="3420"/>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0"/>
      <c r="Q35" s="1587">
        <f t="shared" si="11"/>
        <v>111</v>
      </c>
      <c r="R35" s="1560" t="s">
        <v>8</v>
      </c>
      <c r="S35" s="1561">
        <f t="shared" si="12"/>
        <v>100</v>
      </c>
      <c r="T35" s="1560" t="s">
        <v>8</v>
      </c>
      <c r="U35" s="1561">
        <f t="shared" si="13"/>
        <v>100</v>
      </c>
      <c r="V35" s="1560" t="s">
        <v>8</v>
      </c>
      <c r="W35" s="1561">
        <f t="shared" si="14"/>
        <v>100</v>
      </c>
      <c r="X35" s="1562"/>
      <c r="Y35" s="3420"/>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0"/>
      <c r="Q36" s="1555">
        <f t="shared" si="11"/>
        <v>111</v>
      </c>
      <c r="R36" s="1556" t="s">
        <v>8</v>
      </c>
      <c r="S36" s="1557">
        <f t="shared" si="12"/>
        <v>100</v>
      </c>
      <c r="T36" s="1556" t="s">
        <v>8</v>
      </c>
      <c r="U36" s="1557">
        <f t="shared" si="13"/>
        <v>100</v>
      </c>
      <c r="V36" s="1556" t="s">
        <v>8</v>
      </c>
      <c r="W36" s="1557">
        <f t="shared" si="14"/>
        <v>100</v>
      </c>
      <c r="X36" s="1550"/>
      <c r="Y36" s="3420"/>
      <c r="Z36" s="1558">
        <f t="shared" si="15"/>
        <v>111</v>
      </c>
      <c r="AA36" s="1559">
        <f t="shared" si="3"/>
        <v>1</v>
      </c>
      <c r="AB36" s="1559">
        <f t="shared" si="4"/>
        <v>1</v>
      </c>
      <c r="AC36" s="1559">
        <f t="shared" si="5"/>
        <v>1</v>
      </c>
    </row>
    <row r="37" spans="1:29" ht="15">
      <c r="A37" s="1828" t="s">
        <v>2073</v>
      </c>
      <c r="B37" s="1829" t="s">
        <v>2074</v>
      </c>
      <c r="C37" s="2588" t="s">
        <v>1</v>
      </c>
      <c r="D37" s="2589"/>
      <c r="E37" s="2590"/>
      <c r="F37" s="2591"/>
      <c r="G37" s="2592"/>
      <c r="H37" s="2593"/>
      <c r="I37" s="2590"/>
      <c r="J37" s="2593"/>
      <c r="K37" s="1593"/>
      <c r="L37" s="2126"/>
      <c r="M37" s="2127"/>
      <c r="N37" s="2116"/>
      <c r="O37" s="2127"/>
      <c r="P37" s="3383" t="str">
        <f>A37</f>
        <v>成交单价</v>
      </c>
      <c r="Q37" s="3383"/>
      <c r="R37" s="3500">
        <f>E37</f>
        <v>0</v>
      </c>
      <c r="S37" s="3500"/>
      <c r="T37" s="3500">
        <f>G37</f>
        <v>0</v>
      </c>
      <c r="U37" s="3500"/>
      <c r="V37" s="3500">
        <f>I37</f>
        <v>0</v>
      </c>
      <c r="W37" s="3500"/>
      <c r="X37" s="1542"/>
      <c r="Y37" s="1564"/>
      <c r="Z37" s="1542"/>
      <c r="AA37" s="1542"/>
      <c r="AB37" s="1542"/>
      <c r="AC37" s="1542"/>
    </row>
    <row r="38" spans="1:29" ht="15.75" thickBot="1">
      <c r="A38" s="613" t="s">
        <v>2755</v>
      </c>
      <c r="B38" s="886"/>
      <c r="C38" s="2594" t="e">
        <f>R39</f>
        <v>#DIV/0!</v>
      </c>
      <c r="D38" s="2595"/>
      <c r="E38" s="2596" t="e">
        <f>R38</f>
        <v>#DIV/0!</v>
      </c>
      <c r="F38" s="2596"/>
      <c r="G38" s="2594" t="e">
        <f>T38</f>
        <v>#DIV/0!</v>
      </c>
      <c r="H38" s="2595"/>
      <c r="I38" s="2596" t="e">
        <f>V38</f>
        <v>#DIV/0!</v>
      </c>
      <c r="J38" s="2595"/>
      <c r="K38" s="1594"/>
      <c r="L38" s="2126"/>
      <c r="M38" s="2127"/>
      <c r="N38" s="2127"/>
      <c r="O38" s="2127"/>
      <c r="P38" s="3383" t="str">
        <f>A38</f>
        <v>比较价格（元/平方米）</v>
      </c>
      <c r="Q38" s="3383"/>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2"/>
      <c r="Y38" s="1542"/>
      <c r="Z38" s="1542"/>
      <c r="AA38" s="1542"/>
      <c r="AB38" s="1542"/>
      <c r="AC38" s="1542"/>
    </row>
    <row r="39" spans="1:29" ht="15.75" thickBot="1">
      <c r="A39" s="619" t="s">
        <v>2923</v>
      </c>
      <c r="B39" s="620"/>
      <c r="C39" s="2597" t="e">
        <f>R39</f>
        <v>#DIV/0!</v>
      </c>
      <c r="D39" s="2597"/>
      <c r="E39" s="2597"/>
      <c r="F39" s="2597"/>
      <c r="G39" s="2597"/>
      <c r="H39" s="2597"/>
      <c r="I39" s="2597"/>
      <c r="J39" s="2597"/>
      <c r="K39" s="1595"/>
      <c r="L39" s="2126"/>
      <c r="M39" s="2127"/>
      <c r="N39" s="2127"/>
      <c r="O39" s="2127"/>
      <c r="P39" s="3380" t="str">
        <f>A39</f>
        <v>估价对象XX用房的比较价格（楼面单价，元/平方米）</v>
      </c>
      <c r="Q39" s="3381"/>
      <c r="R39" s="3499" t="e">
        <f>IF(F1="售价",ROUND(AVERAGE(R38:V38),0),ROUND(AVERAGE(R38:V38),1))</f>
        <v>#DIV/0!</v>
      </c>
      <c r="S39" s="3499"/>
      <c r="T39" s="3499"/>
      <c r="U39" s="3499"/>
      <c r="V39" s="3499"/>
      <c r="W39" s="3499"/>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529</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9" t="s">
        <v>798</v>
      </c>
      <c r="D4" s="3390"/>
      <c r="E4" s="3423" t="s">
        <v>799</v>
      </c>
      <c r="F4" s="3424"/>
      <c r="G4" s="3389" t="s">
        <v>800</v>
      </c>
      <c r="H4" s="3390"/>
      <c r="I4" s="3389" t="s">
        <v>801</v>
      </c>
      <c r="J4" s="3390"/>
      <c r="K4" s="512" t="s">
        <v>802</v>
      </c>
      <c r="L4" s="2115"/>
      <c r="M4" s="2116"/>
      <c r="N4" s="2116"/>
      <c r="O4" s="2116"/>
      <c r="P4" s="3391" t="s">
        <v>803</v>
      </c>
      <c r="Q4" s="3392"/>
      <c r="R4" s="3397" t="s">
        <v>799</v>
      </c>
      <c r="S4" s="3398"/>
      <c r="T4" s="3397" t="s">
        <v>800</v>
      </c>
      <c r="U4" s="3398"/>
      <c r="V4" s="3384" t="s">
        <v>801</v>
      </c>
      <c r="W4" s="3384"/>
      <c r="X4" s="1550"/>
      <c r="Y4" s="3397" t="s">
        <v>803</v>
      </c>
      <c r="Z4" s="3398"/>
      <c r="AA4" s="3386" t="s">
        <v>799</v>
      </c>
      <c r="AB4" s="3387" t="s">
        <v>800</v>
      </c>
      <c r="AC4" s="3386" t="s">
        <v>801</v>
      </c>
    </row>
    <row r="5" spans="1:29" ht="15">
      <c r="A5" s="513"/>
      <c r="B5" s="514"/>
      <c r="C5" s="3405" t="s">
        <v>2917</v>
      </c>
      <c r="D5" s="3406"/>
      <c r="E5" s="3425" t="s">
        <v>2918</v>
      </c>
      <c r="F5" s="3426"/>
      <c r="G5" s="3405" t="s">
        <v>2919</v>
      </c>
      <c r="H5" s="3406"/>
      <c r="I5" s="3405" t="s">
        <v>2920</v>
      </c>
      <c r="J5" s="3406"/>
      <c r="K5" s="512"/>
      <c r="L5" s="2115"/>
      <c r="M5" s="2116"/>
      <c r="N5" s="2116"/>
      <c r="O5" s="2116"/>
      <c r="P5" s="3393"/>
      <c r="Q5" s="3394"/>
      <c r="R5" s="3399"/>
      <c r="S5" s="3400"/>
      <c r="T5" s="3399"/>
      <c r="U5" s="3400"/>
      <c r="V5" s="3384"/>
      <c r="W5" s="3384"/>
      <c r="X5" s="1550"/>
      <c r="Y5" s="3399"/>
      <c r="Z5" s="3400"/>
      <c r="AA5" s="3387"/>
      <c r="AB5" s="3387"/>
      <c r="AC5" s="3387"/>
    </row>
    <row r="6" spans="1:29" ht="15.75" thickBot="1">
      <c r="A6" s="515"/>
      <c r="B6" s="516"/>
      <c r="C6" s="3403" t="s">
        <v>2921</v>
      </c>
      <c r="D6" s="3404"/>
      <c r="E6" s="3421" t="s">
        <v>2921</v>
      </c>
      <c r="F6" s="3422"/>
      <c r="G6" s="3403" t="s">
        <v>2921</v>
      </c>
      <c r="H6" s="3404"/>
      <c r="I6" s="3403" t="s">
        <v>2921</v>
      </c>
      <c r="J6" s="3404"/>
      <c r="K6" s="512" t="s">
        <v>528</v>
      </c>
      <c r="L6" s="2115"/>
      <c r="M6" s="2116"/>
      <c r="N6" s="2116"/>
      <c r="O6" s="2116"/>
      <c r="P6" s="3395"/>
      <c r="Q6" s="3396"/>
      <c r="R6" s="3399"/>
      <c r="S6" s="3400"/>
      <c r="T6" s="3401"/>
      <c r="U6" s="3402"/>
      <c r="V6" s="3384"/>
      <c r="W6" s="3384"/>
      <c r="X6" s="1550"/>
      <c r="Y6" s="3401"/>
      <c r="Z6" s="3402"/>
      <c r="AA6" s="3388"/>
      <c r="AB6" s="3388"/>
      <c r="AC6" s="3388"/>
    </row>
    <row r="7" spans="1:29" s="1214" customFormat="1" ht="15.75" thickBot="1">
      <c r="A7" s="2864"/>
      <c r="B7" s="2871" t="s">
        <v>529</v>
      </c>
      <c r="C7" s="517">
        <f>'数据-取费表'!B2</f>
        <v>43833</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4" t="s">
        <v>530</v>
      </c>
      <c r="Q7" s="3416"/>
      <c r="R7" s="1551" t="s">
        <v>8</v>
      </c>
      <c r="S7" s="1552">
        <f t="shared" ref="S7:S14" si="0">F7</f>
        <v>0</v>
      </c>
      <c r="T7" s="1551" t="s">
        <v>8</v>
      </c>
      <c r="U7" s="1552">
        <f t="shared" ref="U7:U14" si="1">H7</f>
        <v>0</v>
      </c>
      <c r="V7" s="1551" t="s">
        <v>8</v>
      </c>
      <c r="W7" s="1552">
        <f t="shared" ref="W7:W14" si="2">J7</f>
        <v>0</v>
      </c>
      <c r="X7" s="1553"/>
      <c r="Y7" s="3414" t="s">
        <v>530</v>
      </c>
      <c r="Z7" s="3415"/>
      <c r="AA7" s="1554" t="e">
        <f>D7/F7</f>
        <v>#DIV/0!</v>
      </c>
      <c r="AB7" s="1554" t="e">
        <f>D7/H7</f>
        <v>#DIV/0!</v>
      </c>
      <c r="AC7" s="1554" t="e">
        <f>D7/J7</f>
        <v>#DIV/0!</v>
      </c>
    </row>
    <row r="8" spans="1:29" s="1214"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4" t="s">
        <v>533</v>
      </c>
      <c r="Q8" s="3415"/>
      <c r="R8" s="1551" t="s">
        <v>8</v>
      </c>
      <c r="S8" s="1552">
        <f t="shared" si="0"/>
        <v>0</v>
      </c>
      <c r="T8" s="1551" t="s">
        <v>8</v>
      </c>
      <c r="U8" s="1552">
        <f t="shared" si="1"/>
        <v>0</v>
      </c>
      <c r="V8" s="1551" t="s">
        <v>8</v>
      </c>
      <c r="W8" s="1552">
        <f t="shared" si="2"/>
        <v>0</v>
      </c>
      <c r="X8" s="1553"/>
      <c r="Y8" s="3414" t="s">
        <v>533</v>
      </c>
      <c r="Z8" s="3415"/>
      <c r="AA8" s="1554" t="e">
        <f t="shared" ref="AA8:AA34" si="3">D8/F8</f>
        <v>#DIV/0!</v>
      </c>
      <c r="AB8" s="1554" t="e">
        <f t="shared" ref="AB8:AB34" si="4">D8/H8</f>
        <v>#DIV/0!</v>
      </c>
      <c r="AC8" s="1554" t="e">
        <f t="shared" ref="AC8:AC34" si="5">D8/J8</f>
        <v>#DIV/0!</v>
      </c>
    </row>
    <row r="9" spans="1:29" s="1214" customFormat="1" ht="15">
      <c r="A9" s="2866"/>
      <c r="B9" s="2873" t="s">
        <v>2751</v>
      </c>
      <c r="C9" s="855"/>
      <c r="D9" s="253">
        <v>100</v>
      </c>
      <c r="E9" s="858"/>
      <c r="F9" s="253">
        <f>SUMIF(51:51,E9,52:52)-SUMIF(51:51,C9,52:52)+100</f>
        <v>100</v>
      </c>
      <c r="G9" s="858"/>
      <c r="H9" s="253">
        <f>SUMIF(51:51,G9,52:52)-SUMIF(51:51,C9,52:52)+100</f>
        <v>100</v>
      </c>
      <c r="I9" s="858"/>
      <c r="J9" s="253">
        <f>SUMIF(51:51,I9,52:52)-SUMIF(51:51,C9,52:52)+100</f>
        <v>100</v>
      </c>
      <c r="K9" s="522"/>
      <c r="L9" s="2117"/>
      <c r="M9" s="2118"/>
      <c r="N9" s="2118"/>
      <c r="O9" s="2119"/>
      <c r="P9" s="3383" t="s">
        <v>535</v>
      </c>
      <c r="Q9" s="1145" t="str">
        <f t="shared" ref="Q9:Q14" si="6">B9</f>
        <v>用途</v>
      </c>
      <c r="R9" s="1551" t="s">
        <v>8</v>
      </c>
      <c r="S9" s="1552">
        <f t="shared" si="0"/>
        <v>100</v>
      </c>
      <c r="T9" s="1551" t="s">
        <v>8</v>
      </c>
      <c r="U9" s="1552">
        <f t="shared" si="1"/>
        <v>100</v>
      </c>
      <c r="V9" s="1551" t="s">
        <v>8</v>
      </c>
      <c r="W9" s="1552">
        <f t="shared" si="2"/>
        <v>100</v>
      </c>
      <c r="X9" s="1553"/>
      <c r="Y9" s="3329" t="s">
        <v>536</v>
      </c>
      <c r="Z9" s="1144" t="str">
        <f t="shared" ref="Z9:Z14" si="7">Q9</f>
        <v>用途</v>
      </c>
      <c r="AA9" s="1554">
        <f t="shared" si="3"/>
        <v>1</v>
      </c>
      <c r="AB9" s="1554">
        <f t="shared" si="4"/>
        <v>1</v>
      </c>
      <c r="AC9" s="1554">
        <f t="shared" si="5"/>
        <v>1</v>
      </c>
    </row>
    <row r="10" spans="1:29" s="1332" customFormat="1" ht="27">
      <c r="A10" s="2867"/>
      <c r="B10" s="2872" t="s">
        <v>2752</v>
      </c>
      <c r="C10" s="859"/>
      <c r="D10" s="254">
        <v>100</v>
      </c>
      <c r="E10" s="859"/>
      <c r="F10" s="254">
        <f>SUMIF(53:53,E10,54:54)-SUMIF(53:53,C10,54:54)+100</f>
        <v>100</v>
      </c>
      <c r="G10" s="860"/>
      <c r="H10" s="254">
        <f>SUMIF(53:53,G10,54:54)-SUMIF(53:53,C10,54:54)+100</f>
        <v>100</v>
      </c>
      <c r="I10" s="859"/>
      <c r="J10" s="254">
        <f>SUMIF(53:53,I10,54:54)-SUMIF(53:53,C10,54:54)+100</f>
        <v>100</v>
      </c>
      <c r="K10" s="582"/>
      <c r="L10" s="2120"/>
      <c r="M10" s="2160"/>
      <c r="N10" s="2160"/>
      <c r="O10" s="2121"/>
      <c r="P10" s="3383"/>
      <c r="Q10" s="1145" t="str">
        <f t="shared" si="6"/>
        <v>土地使用年限（年）</v>
      </c>
      <c r="R10" s="1551" t="s">
        <v>8</v>
      </c>
      <c r="S10" s="1552">
        <f t="shared" si="0"/>
        <v>100</v>
      </c>
      <c r="T10" s="1551" t="s">
        <v>8</v>
      </c>
      <c r="U10" s="1552">
        <f t="shared" si="1"/>
        <v>100</v>
      </c>
      <c r="V10" s="1551" t="s">
        <v>8</v>
      </c>
      <c r="W10" s="1552">
        <f t="shared" si="2"/>
        <v>100</v>
      </c>
      <c r="X10" s="1553"/>
      <c r="Y10" s="3329"/>
      <c r="Z10" s="1144" t="str">
        <f t="shared" si="7"/>
        <v>土地使用年限（年）</v>
      </c>
      <c r="AA10" s="1554">
        <f t="shared" si="3"/>
        <v>1</v>
      </c>
      <c r="AB10" s="1554">
        <f t="shared" si="4"/>
        <v>1</v>
      </c>
      <c r="AC10" s="1554">
        <f t="shared" si="5"/>
        <v>1</v>
      </c>
    </row>
    <row r="11" spans="1:29" ht="15">
      <c r="A11" s="2869"/>
      <c r="B11" s="2875">
        <v>111</v>
      </c>
      <c r="C11" s="526"/>
      <c r="D11" s="254">
        <v>100</v>
      </c>
      <c r="E11" s="878"/>
      <c r="F11" s="254">
        <f>SUMIF(55:55,E11,56:56)-SUMIF(55:55,C11,56:56)+100</f>
        <v>100</v>
      </c>
      <c r="G11" s="878"/>
      <c r="H11" s="254">
        <f>SUMIF(55:55,G11,56:56)-SUMIF(55:55,C11,56:56)+100</f>
        <v>100</v>
      </c>
      <c r="I11" s="878"/>
      <c r="J11" s="254">
        <f>SUMIF(55:55,I11,56:56)-SUMIF(55:55,C11,56:56)+100</f>
        <v>100</v>
      </c>
      <c r="K11" s="579"/>
      <c r="L11" s="2122"/>
      <c r="M11" s="2116"/>
      <c r="N11" s="2116"/>
      <c r="O11" s="2123"/>
      <c r="P11" s="3383"/>
      <c r="Q11" s="1145">
        <f t="shared" si="6"/>
        <v>111</v>
      </c>
      <c r="R11" s="1551" t="s">
        <v>8</v>
      </c>
      <c r="S11" s="1552">
        <f t="shared" si="0"/>
        <v>100</v>
      </c>
      <c r="T11" s="1551" t="s">
        <v>8</v>
      </c>
      <c r="U11" s="1552">
        <f t="shared" si="1"/>
        <v>100</v>
      </c>
      <c r="V11" s="1551" t="s">
        <v>8</v>
      </c>
      <c r="W11" s="1552">
        <f t="shared" si="2"/>
        <v>100</v>
      </c>
      <c r="X11" s="1553"/>
      <c r="Y11" s="3329"/>
      <c r="Z11" s="1144">
        <f t="shared" si="7"/>
        <v>111</v>
      </c>
      <c r="AA11" s="1554">
        <f t="shared" si="3"/>
        <v>1</v>
      </c>
      <c r="AB11" s="1554">
        <f t="shared" si="4"/>
        <v>1</v>
      </c>
      <c r="AC11" s="1554">
        <f t="shared" si="5"/>
        <v>1</v>
      </c>
    </row>
    <row r="12" spans="1:29" s="1214" customFormat="1" ht="15">
      <c r="A12" s="2869"/>
      <c r="B12" s="2875">
        <v>111</v>
      </c>
      <c r="C12" s="526"/>
      <c r="D12" s="536">
        <v>100</v>
      </c>
      <c r="E12" s="878"/>
      <c r="F12" s="254">
        <f>SUMIF(57:57,E12,58:58)-SUMIF(57:57,C12,58:58)+100</f>
        <v>100</v>
      </c>
      <c r="G12" s="878"/>
      <c r="H12" s="254">
        <f>SUMIF(57:57,G12,58:58)-SUMIF(57:57,C12,58:58)+100</f>
        <v>100</v>
      </c>
      <c r="I12" s="878"/>
      <c r="J12" s="254">
        <f>SUMIF(57:57,I12,58:58)-SUMIF(57:57,C12,58:58)+100</f>
        <v>100</v>
      </c>
      <c r="K12" s="579"/>
      <c r="L12" s="2117"/>
      <c r="M12" s="2118"/>
      <c r="N12" s="2118"/>
      <c r="O12" s="2119"/>
      <c r="P12" s="3383"/>
      <c r="Q12" s="1145">
        <f t="shared" si="6"/>
        <v>111</v>
      </c>
      <c r="R12" s="1551" t="s">
        <v>8</v>
      </c>
      <c r="S12" s="1552">
        <f t="shared" si="0"/>
        <v>100</v>
      </c>
      <c r="T12" s="1551" t="s">
        <v>8</v>
      </c>
      <c r="U12" s="1552">
        <f t="shared" si="1"/>
        <v>100</v>
      </c>
      <c r="V12" s="1551" t="s">
        <v>8</v>
      </c>
      <c r="W12" s="1552">
        <f t="shared" si="2"/>
        <v>100</v>
      </c>
      <c r="X12" s="1553"/>
      <c r="Y12" s="3329"/>
      <c r="Z12" s="1144">
        <f t="shared" si="7"/>
        <v>111</v>
      </c>
      <c r="AA12" s="1554">
        <f>D12/F12</f>
        <v>1</v>
      </c>
      <c r="AB12" s="1554">
        <f>D12/H12</f>
        <v>1</v>
      </c>
      <c r="AC12" s="1554">
        <f>D12/J12</f>
        <v>1</v>
      </c>
    </row>
    <row r="13" spans="1:29" ht="15.75" thickBot="1">
      <c r="A13" s="2870"/>
      <c r="B13" s="2876">
        <v>111</v>
      </c>
      <c r="C13" s="537"/>
      <c r="D13" s="538">
        <v>100</v>
      </c>
      <c r="E13" s="878"/>
      <c r="F13" s="254">
        <f>SUMIF(59:59,E13,60:60)-SUMIF(59:59,C13,60:60)+100</f>
        <v>100</v>
      </c>
      <c r="G13" s="878"/>
      <c r="H13" s="538">
        <f>SUMIF(59:59,G13,60:60)-SUMIF(59:59,C13,60:60)+100</f>
        <v>100</v>
      </c>
      <c r="I13" s="878"/>
      <c r="J13" s="538">
        <f>SUMIF(59:59,I13,60:60)-SUMIF(59:59,C13,60:60)+100</f>
        <v>100</v>
      </c>
      <c r="K13" s="579"/>
      <c r="L13" s="2124"/>
      <c r="M13" s="2116"/>
      <c r="N13" s="2116"/>
      <c r="O13" s="2123"/>
      <c r="P13" s="3383"/>
      <c r="Q13" s="1145">
        <f t="shared" si="6"/>
        <v>111</v>
      </c>
      <c r="R13" s="1551" t="s">
        <v>8</v>
      </c>
      <c r="S13" s="1552">
        <f t="shared" si="0"/>
        <v>100</v>
      </c>
      <c r="T13" s="1551" t="s">
        <v>8</v>
      </c>
      <c r="U13" s="1552">
        <f t="shared" si="1"/>
        <v>100</v>
      </c>
      <c r="V13" s="1551" t="s">
        <v>8</v>
      </c>
      <c r="W13" s="1552">
        <f t="shared" si="2"/>
        <v>100</v>
      </c>
      <c r="X13" s="1553"/>
      <c r="Y13" s="3329"/>
      <c r="Z13" s="1144">
        <f t="shared" si="7"/>
        <v>111</v>
      </c>
      <c r="AA13" s="1554">
        <f t="shared" si="3"/>
        <v>1</v>
      </c>
      <c r="AB13" s="1554">
        <f t="shared" si="4"/>
        <v>1</v>
      </c>
      <c r="AC13" s="1554">
        <f t="shared" si="5"/>
        <v>1</v>
      </c>
    </row>
    <row r="14" spans="1:29" ht="85.5">
      <c r="A14" s="2862" t="s">
        <v>2749</v>
      </c>
      <c r="B14" s="165" t="s">
        <v>543</v>
      </c>
      <c r="C14" s="919" t="str">
        <f>IF(B1="工业",估价对象房地状况!G4,估价对象房地状况!C6)</f>
        <v>估价对象周边道路状况较通达、公共交通通达情况一般、停车较便捷，综合评价交通便捷度一般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17" t="s">
        <v>540</v>
      </c>
      <c r="Q14" s="1555" t="str">
        <f t="shared" si="6"/>
        <v>交通便捷度</v>
      </c>
      <c r="R14" s="1556" t="s">
        <v>8</v>
      </c>
      <c r="S14" s="1557">
        <f t="shared" si="0"/>
        <v>100</v>
      </c>
      <c r="T14" s="1556" t="s">
        <v>8</v>
      </c>
      <c r="U14" s="1557">
        <f t="shared" si="1"/>
        <v>100</v>
      </c>
      <c r="V14" s="1556" t="s">
        <v>8</v>
      </c>
      <c r="W14" s="1557">
        <f t="shared" si="2"/>
        <v>100</v>
      </c>
      <c r="X14" s="1550"/>
      <c r="Y14" s="3417"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18"/>
      <c r="Q15" s="1555"/>
      <c r="R15" s="1556"/>
      <c r="S15" s="1557"/>
      <c r="T15" s="1556"/>
      <c r="U15" s="1557"/>
      <c r="V15" s="1556"/>
      <c r="W15" s="1557"/>
      <c r="X15" s="1550"/>
      <c r="Y15" s="3418"/>
      <c r="Z15" s="1558"/>
      <c r="AA15" s="1559">
        <v>1</v>
      </c>
      <c r="AB15" s="1559">
        <v>1</v>
      </c>
      <c r="AC15" s="1559">
        <v>1</v>
      </c>
    </row>
    <row r="16" spans="1:29" ht="42.75">
      <c r="A16" s="530"/>
      <c r="B16" s="2564" t="s">
        <v>2542</v>
      </c>
      <c r="C16" s="870" t="str">
        <f>IF(B1="工业",估价对象房地状况!G5,估价对象房地状况!C7)</f>
        <v>估价对象所在区域公共配套设施程度一般</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18"/>
      <c r="Q16" s="1555" t="str">
        <f>B16</f>
        <v>公共配套设施</v>
      </c>
      <c r="R16" s="1556" t="s">
        <v>8</v>
      </c>
      <c r="S16" s="1557">
        <f>F16</f>
        <v>100</v>
      </c>
      <c r="T16" s="1556" t="s">
        <v>8</v>
      </c>
      <c r="U16" s="1557">
        <f>H16</f>
        <v>100</v>
      </c>
      <c r="V16" s="1556" t="s">
        <v>8</v>
      </c>
      <c r="W16" s="1557">
        <f>J16</f>
        <v>100</v>
      </c>
      <c r="X16" s="1550"/>
      <c r="Y16" s="3418"/>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18"/>
      <c r="Q17" s="1555"/>
      <c r="R17" s="1556"/>
      <c r="S17" s="1557"/>
      <c r="T17" s="1556"/>
      <c r="U17" s="1557"/>
      <c r="V17" s="1556"/>
      <c r="W17" s="1557"/>
      <c r="X17" s="1550"/>
      <c r="Y17" s="3418"/>
      <c r="Z17" s="1558"/>
      <c r="AA17" s="1559">
        <v>1</v>
      </c>
      <c r="AB17" s="1559">
        <v>1</v>
      </c>
      <c r="AC17" s="1559">
        <v>1</v>
      </c>
    </row>
    <row r="18" spans="1:29" ht="42.75">
      <c r="A18" s="530"/>
      <c r="B18" s="2552" t="s">
        <v>2554</v>
      </c>
      <c r="C18" s="870" t="str">
        <f>IF(B1="工业",估价对象房地状况!G6,估价对象房地状况!C8)</f>
        <v>估价对象所在区域基础设施水平七通</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18"/>
      <c r="Q18" s="2540" t="str">
        <f>B18</f>
        <v>基础设施水平</v>
      </c>
      <c r="R18" s="1556" t="s">
        <v>8</v>
      </c>
      <c r="S18" s="1557">
        <f>F18</f>
        <v>100</v>
      </c>
      <c r="T18" s="1556" t="s">
        <v>8</v>
      </c>
      <c r="U18" s="1557">
        <f>H18</f>
        <v>100</v>
      </c>
      <c r="V18" s="1556" t="s">
        <v>8</v>
      </c>
      <c r="W18" s="1557">
        <f>J18</f>
        <v>100</v>
      </c>
      <c r="X18" s="2542"/>
      <c r="Y18" s="3418"/>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8"/>
      <c r="Q19" s="2540"/>
      <c r="R19" s="1556"/>
      <c r="S19" s="1557"/>
      <c r="T19" s="1556"/>
      <c r="U19" s="1557"/>
      <c r="V19" s="1556"/>
      <c r="W19" s="1557"/>
      <c r="X19" s="2542"/>
      <c r="Y19" s="3418"/>
      <c r="Z19" s="2541"/>
      <c r="AA19" s="1559">
        <v>1</v>
      </c>
      <c r="AB19" s="1559">
        <v>1</v>
      </c>
      <c r="AC19" s="1559">
        <v>1</v>
      </c>
    </row>
    <row r="20" spans="1:29" ht="57">
      <c r="A20" s="530"/>
      <c r="B20" s="869" t="s">
        <v>804</v>
      </c>
      <c r="C20" s="870" t="str">
        <f>IF(B1="工业",估价对象房地状况!G7,估价对象房地状况!C9)</f>
        <v>区域自然环境较好；人文环境一般；综合评价环境状况较好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18"/>
      <c r="Q20" s="1555" t="str">
        <f>B20</f>
        <v>自然及人文环境</v>
      </c>
      <c r="R20" s="1556" t="s">
        <v>8</v>
      </c>
      <c r="S20" s="1557">
        <f>F20</f>
        <v>100</v>
      </c>
      <c r="T20" s="1556" t="s">
        <v>8</v>
      </c>
      <c r="U20" s="1557">
        <f>H20</f>
        <v>100</v>
      </c>
      <c r="V20" s="1556" t="s">
        <v>8</v>
      </c>
      <c r="W20" s="1557">
        <f>J20</f>
        <v>100</v>
      </c>
      <c r="X20" s="1550"/>
      <c r="Y20" s="3418"/>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18"/>
      <c r="Q21" s="1555"/>
      <c r="R21" s="1556"/>
      <c r="S21" s="1557"/>
      <c r="T21" s="1556"/>
      <c r="U21" s="1557"/>
      <c r="V21" s="1556"/>
      <c r="W21" s="1557"/>
      <c r="X21" s="1550"/>
      <c r="Y21" s="3418"/>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8"/>
      <c r="Q22" s="1555" t="str">
        <f>B22</f>
        <v>楼层</v>
      </c>
      <c r="R22" s="1556" t="s">
        <v>8</v>
      </c>
      <c r="S22" s="1557">
        <f>F22</f>
        <v>100</v>
      </c>
      <c r="T22" s="1556" t="s">
        <v>8</v>
      </c>
      <c r="U22" s="1557">
        <f>H22</f>
        <v>100</v>
      </c>
      <c r="V22" s="1556" t="s">
        <v>8</v>
      </c>
      <c r="W22" s="1557">
        <f>J22</f>
        <v>100</v>
      </c>
      <c r="X22" s="1550"/>
      <c r="Y22" s="3418"/>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8"/>
      <c r="Q23" s="1555">
        <f>B23</f>
        <v>111</v>
      </c>
      <c r="R23" s="1556" t="s">
        <v>8</v>
      </c>
      <c r="S23" s="1557">
        <f>F23</f>
        <v>100</v>
      </c>
      <c r="T23" s="1556" t="s">
        <v>8</v>
      </c>
      <c r="U23" s="1557">
        <f>H23</f>
        <v>100</v>
      </c>
      <c r="V23" s="1556" t="s">
        <v>8</v>
      </c>
      <c r="W23" s="1557">
        <f>J23</f>
        <v>100</v>
      </c>
      <c r="X23" s="1550"/>
      <c r="Y23" s="3418"/>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8"/>
      <c r="Q24" s="1555">
        <f t="shared" ref="Q24:Q34" si="11">B24</f>
        <v>111</v>
      </c>
      <c r="R24" s="1556" t="s">
        <v>8</v>
      </c>
      <c r="S24" s="1557">
        <f>F24</f>
        <v>100</v>
      </c>
      <c r="T24" s="1556" t="s">
        <v>8</v>
      </c>
      <c r="U24" s="1557">
        <f>H24</f>
        <v>100</v>
      </c>
      <c r="V24" s="1556" t="s">
        <v>8</v>
      </c>
      <c r="W24" s="1557">
        <f>J24</f>
        <v>100</v>
      </c>
      <c r="X24" s="1550"/>
      <c r="Y24" s="3418"/>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18"/>
      <c r="Q25" s="1145">
        <f t="shared" si="11"/>
        <v>111</v>
      </c>
      <c r="R25" s="1551" t="s">
        <v>8</v>
      </c>
      <c r="S25" s="1552">
        <f>F25</f>
        <v>100</v>
      </c>
      <c r="T25" s="1551" t="s">
        <v>8</v>
      </c>
      <c r="U25" s="1552">
        <f>H25</f>
        <v>100</v>
      </c>
      <c r="V25" s="1551" t="s">
        <v>8</v>
      </c>
      <c r="W25" s="1552">
        <f>J25</f>
        <v>100</v>
      </c>
      <c r="X25" s="1553"/>
      <c r="Y25" s="3418"/>
      <c r="Z25" s="1144">
        <f>Q25</f>
        <v>111</v>
      </c>
      <c r="AA25" s="1559">
        <f>D25/F25</f>
        <v>1</v>
      </c>
      <c r="AB25" s="1559">
        <f>D25/H25</f>
        <v>1</v>
      </c>
      <c r="AC25" s="1559">
        <f>D25/J25</f>
        <v>1</v>
      </c>
    </row>
    <row r="26" spans="1:29" ht="15">
      <c r="A26" s="2859" t="s">
        <v>2750</v>
      </c>
      <c r="B26" s="171"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19"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0" t="s">
        <v>821</v>
      </c>
      <c r="Z26" s="1558" t="str">
        <f t="shared" ref="Z26:Z34" si="15">Q26</f>
        <v>公共部分装修</v>
      </c>
      <c r="AA26" s="1559">
        <f t="shared" si="3"/>
        <v>1</v>
      </c>
      <c r="AB26" s="1559">
        <f t="shared" si="4"/>
        <v>1</v>
      </c>
      <c r="AC26" s="1559">
        <f t="shared" si="5"/>
        <v>1</v>
      </c>
    </row>
    <row r="27" spans="1:29" s="1333" customFormat="1" ht="15">
      <c r="A27" s="601"/>
      <c r="B27" s="525" t="s">
        <v>809</v>
      </c>
      <c r="C27" s="881"/>
      <c r="D27" s="254">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20"/>
      <c r="Q27" s="1587" t="str">
        <f t="shared" si="11"/>
        <v>成新率</v>
      </c>
      <c r="R27" s="1560" t="s">
        <v>8</v>
      </c>
      <c r="S27" s="1561" t="e">
        <f t="shared" si="12"/>
        <v>#N/A</v>
      </c>
      <c r="T27" s="1560" t="s">
        <v>8</v>
      </c>
      <c r="U27" s="1561" t="e">
        <f t="shared" si="13"/>
        <v>#N/A</v>
      </c>
      <c r="V27" s="1560" t="s">
        <v>8</v>
      </c>
      <c r="W27" s="1561" t="e">
        <f t="shared" si="14"/>
        <v>#N/A</v>
      </c>
      <c r="X27" s="1562"/>
      <c r="Y27" s="3420"/>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0"/>
      <c r="Q28" s="1555" t="str">
        <f t="shared" si="11"/>
        <v>物业等级</v>
      </c>
      <c r="R28" s="1556" t="s">
        <v>8</v>
      </c>
      <c r="S28" s="1557">
        <f t="shared" si="12"/>
        <v>100</v>
      </c>
      <c r="T28" s="1556" t="s">
        <v>8</v>
      </c>
      <c r="U28" s="1557">
        <f t="shared" si="13"/>
        <v>100</v>
      </c>
      <c r="V28" s="1556" t="s">
        <v>8</v>
      </c>
      <c r="W28" s="1557">
        <f t="shared" si="14"/>
        <v>100</v>
      </c>
      <c r="X28" s="1550"/>
      <c r="Y28" s="3420"/>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20"/>
      <c r="Q29" s="1555" t="str">
        <f t="shared" si="11"/>
        <v>有无电梯</v>
      </c>
      <c r="R29" s="1556" t="s">
        <v>8</v>
      </c>
      <c r="S29" s="1557">
        <f t="shared" si="12"/>
        <v>100</v>
      </c>
      <c r="T29" s="1556" t="s">
        <v>8</v>
      </c>
      <c r="U29" s="1557">
        <f t="shared" si="13"/>
        <v>100</v>
      </c>
      <c r="V29" s="1556" t="s">
        <v>8</v>
      </c>
      <c r="W29" s="1557">
        <f t="shared" si="14"/>
        <v>100</v>
      </c>
      <c r="X29" s="1550"/>
      <c r="Y29" s="3420"/>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20"/>
      <c r="Q30" s="1555" t="str">
        <f t="shared" si="11"/>
        <v>建筑面积</v>
      </c>
      <c r="R30" s="1556" t="s">
        <v>8</v>
      </c>
      <c r="S30" s="1557" t="e">
        <f t="shared" si="12"/>
        <v>#N/A</v>
      </c>
      <c r="T30" s="1556" t="s">
        <v>8</v>
      </c>
      <c r="U30" s="1557" t="e">
        <f t="shared" si="13"/>
        <v>#N/A</v>
      </c>
      <c r="V30" s="1556" t="s">
        <v>8</v>
      </c>
      <c r="W30" s="1557" t="e">
        <f t="shared" si="14"/>
        <v>#N/A</v>
      </c>
      <c r="X30" s="1550"/>
      <c r="Y30" s="3420"/>
      <c r="Z30" s="1558" t="str">
        <f t="shared" si="15"/>
        <v>建筑面积</v>
      </c>
      <c r="AA30" s="1559" t="e">
        <f t="shared" si="3"/>
        <v>#N/A</v>
      </c>
      <c r="AB30" s="1559" t="e">
        <f t="shared" si="4"/>
        <v>#N/A</v>
      </c>
      <c r="AC30" s="1559" t="e">
        <f t="shared" si="5"/>
        <v>#N/A</v>
      </c>
    </row>
    <row r="31" spans="1:29" s="1214" customFormat="1" ht="15">
      <c r="A31" s="598"/>
      <c r="B31" s="525" t="s">
        <v>824</v>
      </c>
      <c r="C31" s="930"/>
      <c r="D31" s="254">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20"/>
      <c r="Q31" s="1145" t="str">
        <f t="shared" si="11"/>
        <v>是否封闭</v>
      </c>
      <c r="R31" s="1551" t="s">
        <v>8</v>
      </c>
      <c r="S31" s="1552">
        <f t="shared" si="12"/>
        <v>100</v>
      </c>
      <c r="T31" s="1551" t="s">
        <v>8</v>
      </c>
      <c r="U31" s="1552">
        <f t="shared" si="13"/>
        <v>100</v>
      </c>
      <c r="V31" s="1551" t="s">
        <v>8</v>
      </c>
      <c r="W31" s="1552">
        <f t="shared" si="14"/>
        <v>100</v>
      </c>
      <c r="X31" s="1553"/>
      <c r="Y31" s="3420"/>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20" t="s">
        <v>550</v>
      </c>
      <c r="Q32" s="1555">
        <f t="shared" si="11"/>
        <v>111</v>
      </c>
      <c r="R32" s="1556" t="s">
        <v>8</v>
      </c>
      <c r="S32" s="1557">
        <f t="shared" si="12"/>
        <v>100</v>
      </c>
      <c r="T32" s="1556" t="s">
        <v>8</v>
      </c>
      <c r="U32" s="1557">
        <f t="shared" si="13"/>
        <v>100</v>
      </c>
      <c r="V32" s="1556" t="s">
        <v>8</v>
      </c>
      <c r="W32" s="1557">
        <f t="shared" si="14"/>
        <v>100</v>
      </c>
      <c r="X32" s="1550"/>
      <c r="Y32" s="3420"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20"/>
      <c r="Q33" s="1555">
        <f t="shared" si="11"/>
        <v>111</v>
      </c>
      <c r="R33" s="1556" t="s">
        <v>8</v>
      </c>
      <c r="S33" s="1557">
        <f t="shared" si="12"/>
        <v>100</v>
      </c>
      <c r="T33" s="1556" t="s">
        <v>8</v>
      </c>
      <c r="U33" s="1557">
        <f t="shared" si="13"/>
        <v>100</v>
      </c>
      <c r="V33" s="1556" t="s">
        <v>8</v>
      </c>
      <c r="W33" s="1557">
        <f t="shared" si="14"/>
        <v>100</v>
      </c>
      <c r="X33" s="1550"/>
      <c r="Y33" s="3420"/>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20"/>
      <c r="Q34" s="1555">
        <f t="shared" si="11"/>
        <v>111</v>
      </c>
      <c r="R34" s="1556" t="s">
        <v>8</v>
      </c>
      <c r="S34" s="1557">
        <f t="shared" si="12"/>
        <v>100</v>
      </c>
      <c r="T34" s="1556" t="s">
        <v>8</v>
      </c>
      <c r="U34" s="1557">
        <f t="shared" si="13"/>
        <v>100</v>
      </c>
      <c r="V34" s="1556" t="s">
        <v>8</v>
      </c>
      <c r="W34" s="1557">
        <f t="shared" si="14"/>
        <v>100</v>
      </c>
      <c r="X34" s="1550"/>
      <c r="Y34" s="3420"/>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383" t="str">
        <f>A35</f>
        <v>成交单价（元/平方米）</v>
      </c>
      <c r="Q35" s="3383"/>
      <c r="R35" s="3500">
        <f>E35</f>
        <v>0</v>
      </c>
      <c r="S35" s="3500"/>
      <c r="T35" s="3500">
        <f>G35</f>
        <v>0</v>
      </c>
      <c r="U35" s="3500"/>
      <c r="V35" s="3500">
        <f>I35</f>
        <v>0</v>
      </c>
      <c r="W35" s="3500"/>
      <c r="X35" s="1542"/>
      <c r="Y35" s="1564"/>
      <c r="Z35" s="1542"/>
      <c r="AA35" s="1542"/>
      <c r="AB35" s="1542"/>
      <c r="AC35" s="1542"/>
    </row>
    <row r="36" spans="1:29" ht="15.75" thickBot="1">
      <c r="A36" s="613" t="s">
        <v>2755</v>
      </c>
      <c r="B36" s="886"/>
      <c r="C36" s="2594" t="e">
        <f>R37</f>
        <v>#DIV/0!</v>
      </c>
      <c r="D36" s="2595"/>
      <c r="E36" s="2596" t="e">
        <f>R36</f>
        <v>#DIV/0!</v>
      </c>
      <c r="F36" s="2596"/>
      <c r="G36" s="2594" t="e">
        <f>T36</f>
        <v>#DIV/0!</v>
      </c>
      <c r="H36" s="2595"/>
      <c r="I36" s="2596" t="e">
        <f>V36</f>
        <v>#DIV/0!</v>
      </c>
      <c r="J36" s="2595"/>
      <c r="K36" s="1594"/>
      <c r="L36" s="2126"/>
      <c r="M36" s="2127"/>
      <c r="N36" s="2116"/>
      <c r="O36" s="2127"/>
      <c r="P36" s="3383" t="str">
        <f>A36</f>
        <v>比较价格（元/平方米）</v>
      </c>
      <c r="Q36" s="3383"/>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2"/>
      <c r="Y36" s="1542"/>
      <c r="Z36" s="1542"/>
      <c r="AA36" s="1542"/>
      <c r="AB36" s="1542"/>
      <c r="AC36" s="1542"/>
    </row>
    <row r="37" spans="1:29" ht="15.75" thickBot="1">
      <c r="A37" s="619" t="s">
        <v>2923</v>
      </c>
      <c r="B37" s="620"/>
      <c r="C37" s="2597" t="e">
        <f>R37</f>
        <v>#DIV/0!</v>
      </c>
      <c r="D37" s="2597"/>
      <c r="E37" s="2597"/>
      <c r="F37" s="2597"/>
      <c r="G37" s="2597"/>
      <c r="H37" s="2597"/>
      <c r="I37" s="2597"/>
      <c r="J37" s="2597"/>
      <c r="K37" s="1595"/>
      <c r="L37" s="2126"/>
      <c r="M37" s="2127"/>
      <c r="N37" s="2127"/>
      <c r="O37" s="2127"/>
      <c r="P37" s="3380" t="str">
        <f>A37</f>
        <v>估价对象XX用房的比较价格（楼面单价，元/平方米）</v>
      </c>
      <c r="Q37" s="3381"/>
      <c r="R37" s="3499" t="e">
        <f>IF(F1="售价",ROUND(AVERAGE(R36:V36),0),ROUND(AVERAGE(R36:V36),1))</f>
        <v>#DIV/0!</v>
      </c>
      <c r="S37" s="3499"/>
      <c r="T37" s="3499"/>
      <c r="U37" s="3499"/>
      <c r="V37" s="3499"/>
      <c r="W37" s="3499"/>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529</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北京京投兴海房地产有限公司：</v>
      </c>
    </row>
    <row r="4" spans="1:4" ht="75">
      <c r="A4" s="1773" t="str">
        <f>"受贵公司委托，我公司对"&amp;项目基本情况!K2&amp;项目基本情况!B9&amp;"进行了预评估。"</f>
        <v>受贵公司委托，我公司对北京市海淀区地铁16号线北安河 车辆段综合利用项目HD00-0700-0001、0002、0003、0004地块A334托幼用地、F3其他类多功能用地、R2二类居住用地项目（现状结构转换层）出让国有建设用地使用权市场价格进行了预评估。</v>
      </c>
    </row>
    <row r="5" spans="1:4" ht="18.75">
      <c r="A5" s="1776" t="s">
        <v>1905</v>
      </c>
    </row>
    <row r="6" spans="1:4" ht="150">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 车辆段综合利用项目HD00-0700-0001、0002、0003、0004地块A334托幼用地、F3其他类多功能用地、R2二类居住用地项目（现状结构转换层）出让国有建设用地使用权。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7" spans="1:4" ht="93.75">
      <c r="A7" s="2825" t="s">
        <v>2743</v>
      </c>
    </row>
    <row r="8" spans="1:4" ht="18.75">
      <c r="A8" s="1776" t="s">
        <v>1906</v>
      </c>
    </row>
    <row r="9" spans="1:4" ht="75">
      <c r="A9" s="1778" t="str">
        <f>IF(项目基本情况!B8="抵押",IF(项目基本情况!B5=项目基本情况!B6,定义!C51,定义!B51),定义!D51)</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2022</v>
      </c>
    </row>
    <row r="11" spans="1:4" ht="18.75">
      <c r="A11" s="1762" t="str">
        <f>TEXT(项目基本情况!D3,"yyyy年m月d日;;")&amp;IF(项目基本情况!B3=项目基本情况!D3,"（评估专业人员勘察现场之日）","")</f>
        <v>2020年1月3日（评估专业人员勘察现场之日）</v>
      </c>
    </row>
    <row r="12" spans="1:4" ht="18.75">
      <c r="A12" s="1779" t="s">
        <v>2021</v>
      </c>
    </row>
    <row r="13" spans="1:4" ht="18.75">
      <c r="A13" s="1773" t="s">
        <v>2067</v>
      </c>
    </row>
    <row r="14" spans="1:4" ht="56.25">
      <c r="A14" s="1773" t="str">
        <f>"根据"&amp;项目基本情况!F12&amp;"，本次评估估价对象证载（地类）用途为"&amp;项目基本情况!B12&amp;"。"</f>
        <v>根据《国有土地使用证》[京（2019）海不动产权第0034866、0034867、0034868号]，本次评估估价对象证载（地类）用途为住宅、商业、办公、地下车库。</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本次评估设定用途即为证载用途住宅、商业、办公、地下车库。</v>
      </c>
      <c r="C15" s="1763"/>
      <c r="D15" s="1764"/>
    </row>
    <row r="16" spans="1:4" ht="18.75">
      <c r="A16" s="1773" t="s">
        <v>2068</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2069</v>
      </c>
    </row>
    <row r="20" spans="1:1" ht="9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2019）海不动产权第0034866、0034867、0034868号]，估价对象（分摊）出让国有建设用地使用权面积为83137.16平方米。根据《建设工程规划许可证》[建字第2019规自（海）建字0077、0078号]及附件附图、《总平面图》，估价对象规划建筑面积为138941.48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2070</v>
      </c>
    </row>
    <row r="23" spans="1:1" ht="18.75">
      <c r="A23" s="2827" t="s">
        <v>2744</v>
      </c>
    </row>
    <row r="24" spans="1:1" ht="18.75">
      <c r="A24" s="1773" t="s">
        <v>2071</v>
      </c>
    </row>
    <row r="25" spans="1:1" ht="112.5">
      <c r="A25" s="1773" t="str">
        <f>定义!C53</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2023</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3"/>
      <c r="B1" s="2216" t="s">
        <v>2299</v>
      </c>
      <c r="C1" s="3509" t="s">
        <v>2300</v>
      </c>
      <c r="D1" s="3510"/>
      <c r="E1" s="3510"/>
      <c r="F1" s="3510"/>
      <c r="G1" s="3510"/>
      <c r="H1" s="3510"/>
      <c r="I1" s="3510"/>
      <c r="J1" s="3510"/>
      <c r="K1" s="3510"/>
      <c r="L1" s="3510"/>
      <c r="M1" s="3510"/>
      <c r="N1" s="3510"/>
      <c r="O1" s="3510"/>
      <c r="P1" s="3510"/>
      <c r="Q1" s="3510"/>
      <c r="R1" s="3510"/>
      <c r="S1" s="3511"/>
      <c r="T1" s="2216" t="s">
        <v>2301</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2916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2915</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2914</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2913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2912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06" t="s">
        <v>20</v>
      </c>
      <c r="D22" s="3507"/>
      <c r="E22" s="3507"/>
      <c r="F22" s="3507"/>
      <c r="G22" s="3507"/>
      <c r="H22" s="3507"/>
      <c r="I22" s="3507"/>
      <c r="J22" s="3507"/>
      <c r="K22" s="3507"/>
      <c r="L22" s="3507"/>
      <c r="M22" s="3507"/>
      <c r="N22" s="3507"/>
      <c r="O22" s="3507"/>
      <c r="P22" s="3507"/>
      <c r="Q22" s="3508"/>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2782</v>
      </c>
      <c r="C1" s="2956">
        <f>项目基本情况!D3</f>
        <v>43833</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2813</v>
      </c>
      <c r="C2" s="2957">
        <f>'数据-取费表'!B22</f>
        <v>3</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4:L67"/>
  <sheetViews>
    <sheetView tabSelected="1" topLeftCell="A52" workbookViewId="0">
      <selection activeCell="D68" sqref="D68"/>
    </sheetView>
  </sheetViews>
  <sheetFormatPr defaultRowHeight="13.5"/>
  <cols>
    <col min="3" max="5" width="9.375" bestFit="1" customWidth="1"/>
  </cols>
  <sheetData>
    <row r="54" spans="1:12" ht="14.25" thickBot="1"/>
    <row r="55" spans="1:12" ht="14.25" thickBot="1">
      <c r="A55" s="3517"/>
      <c r="B55" s="3520" t="s">
        <v>3719</v>
      </c>
      <c r="C55" s="3522" t="s">
        <v>3707</v>
      </c>
      <c r="D55" s="3524" t="s">
        <v>3040</v>
      </c>
      <c r="E55" s="3525"/>
      <c r="F55" s="3525"/>
      <c r="G55" s="3525"/>
      <c r="H55" s="3526"/>
      <c r="I55" s="3512" t="s">
        <v>3708</v>
      </c>
      <c r="J55" s="3513"/>
      <c r="K55" s="3513"/>
      <c r="L55" s="3514"/>
    </row>
    <row r="56" spans="1:12" ht="26.25" thickBot="1">
      <c r="A56" s="3518"/>
      <c r="B56" s="3521"/>
      <c r="C56" s="3523"/>
      <c r="D56" s="3207" t="s">
        <v>27</v>
      </c>
      <c r="E56" s="3207" t="s">
        <v>3710</v>
      </c>
      <c r="F56" s="3207" t="s">
        <v>3711</v>
      </c>
      <c r="G56" s="3208" t="s">
        <v>3712</v>
      </c>
      <c r="H56" s="3208" t="s">
        <v>3713</v>
      </c>
      <c r="I56" s="3207" t="s">
        <v>27</v>
      </c>
      <c r="J56" s="3207" t="s">
        <v>3711</v>
      </c>
      <c r="K56" s="3207" t="s">
        <v>3712</v>
      </c>
      <c r="L56" s="3209" t="s">
        <v>3714</v>
      </c>
    </row>
    <row r="57" spans="1:12" ht="26.25" thickBot="1">
      <c r="A57" s="3515" t="s">
        <v>3715</v>
      </c>
      <c r="B57" s="3210" t="s">
        <v>25</v>
      </c>
      <c r="C57" s="3208">
        <f>D57+I57</f>
        <v>86615.51</v>
      </c>
      <c r="D57" s="3208">
        <f>F57+G57</f>
        <v>51339.009999999995</v>
      </c>
      <c r="E57" s="3208" t="s">
        <v>3720</v>
      </c>
      <c r="F57" s="3208">
        <v>3501.7</v>
      </c>
      <c r="G57" s="3208">
        <v>47837.31</v>
      </c>
      <c r="H57" s="3208" t="s">
        <v>3720</v>
      </c>
      <c r="I57" s="3208">
        <f>J57+L57</f>
        <v>35276.5</v>
      </c>
      <c r="J57" s="3208">
        <v>17254.59</v>
      </c>
      <c r="K57" s="3208" t="s">
        <v>3720</v>
      </c>
      <c r="L57" s="3208">
        <v>18021.91</v>
      </c>
    </row>
    <row r="58" spans="1:12" ht="26.25" thickBot="1">
      <c r="A58" s="3516"/>
      <c r="B58" s="3210" t="s">
        <v>3709</v>
      </c>
      <c r="C58" s="3208">
        <f>D58+I58</f>
        <v>6057.24</v>
      </c>
      <c r="D58" s="3208">
        <v>2450.4899999999998</v>
      </c>
      <c r="E58" s="3208" t="s">
        <v>3720</v>
      </c>
      <c r="F58" s="3208" t="s">
        <v>3720</v>
      </c>
      <c r="G58" s="3208" t="s">
        <v>3720</v>
      </c>
      <c r="H58" s="3208" t="s">
        <v>3720</v>
      </c>
      <c r="I58" s="3208">
        <v>3606.75</v>
      </c>
      <c r="J58" s="3208" t="s">
        <v>3720</v>
      </c>
      <c r="K58" s="3208" t="s">
        <v>3720</v>
      </c>
      <c r="L58" s="3208" t="s">
        <v>3720</v>
      </c>
    </row>
    <row r="59" spans="1:12" ht="26.25" thickBot="1">
      <c r="A59" s="3519" t="s">
        <v>3716</v>
      </c>
      <c r="B59" s="3210" t="s">
        <v>25</v>
      </c>
      <c r="C59" s="3208">
        <f>G59</f>
        <v>19206.48</v>
      </c>
      <c r="D59" s="3208">
        <f>G59</f>
        <v>19206.48</v>
      </c>
      <c r="E59" s="3208" t="s">
        <v>3720</v>
      </c>
      <c r="F59" s="3208" t="s">
        <v>3720</v>
      </c>
      <c r="G59" s="3208">
        <v>19206.48</v>
      </c>
      <c r="H59" s="3208" t="s">
        <v>3720</v>
      </c>
      <c r="I59" s="3208">
        <v>0</v>
      </c>
      <c r="J59" s="3208" t="s">
        <v>3720</v>
      </c>
      <c r="K59" s="3208" t="s">
        <v>3720</v>
      </c>
      <c r="L59" s="3208" t="s">
        <v>3720</v>
      </c>
    </row>
    <row r="60" spans="1:12" ht="26.25" thickBot="1">
      <c r="A60" s="3516"/>
      <c r="B60" s="3210" t="s">
        <v>3709</v>
      </c>
      <c r="C60" s="3208">
        <f>D60</f>
        <v>793.52</v>
      </c>
      <c r="D60" s="3208">
        <v>793.52</v>
      </c>
      <c r="E60" s="3208" t="s">
        <v>3720</v>
      </c>
      <c r="F60" s="3208" t="s">
        <v>3720</v>
      </c>
      <c r="G60" s="3208" t="s">
        <v>3720</v>
      </c>
      <c r="H60" s="3208" t="s">
        <v>3720</v>
      </c>
      <c r="I60" s="3208">
        <v>0</v>
      </c>
      <c r="J60" s="3208" t="s">
        <v>3720</v>
      </c>
      <c r="K60" s="3208" t="s">
        <v>3720</v>
      </c>
      <c r="L60" s="3208" t="s">
        <v>3720</v>
      </c>
    </row>
    <row r="61" spans="1:12" ht="26.25" thickBot="1">
      <c r="A61" s="3519" t="s">
        <v>3717</v>
      </c>
      <c r="B61" s="3210" t="s">
        <v>25</v>
      </c>
      <c r="C61" s="3208">
        <f>E61+H61</f>
        <v>203941.47999999998</v>
      </c>
      <c r="D61" s="3208">
        <f>E61+H61</f>
        <v>203941.47999999998</v>
      </c>
      <c r="E61" s="3208">
        <v>138941.47999999998</v>
      </c>
      <c r="F61" s="3208" t="s">
        <v>3720</v>
      </c>
      <c r="G61" s="3208" t="s">
        <v>3720</v>
      </c>
      <c r="H61" s="3208">
        <v>65000</v>
      </c>
      <c r="I61" s="3208">
        <v>0</v>
      </c>
      <c r="J61" s="3208" t="s">
        <v>3720</v>
      </c>
      <c r="K61" s="3208" t="s">
        <v>3720</v>
      </c>
      <c r="L61" s="3208" t="s">
        <v>3720</v>
      </c>
    </row>
    <row r="62" spans="1:12" ht="26.25" thickBot="1">
      <c r="A62" s="3516"/>
      <c r="B62" s="3210" t="s">
        <v>3709</v>
      </c>
      <c r="C62" s="3208">
        <f>I62</f>
        <v>20758.52</v>
      </c>
      <c r="D62" s="3208">
        <v>0</v>
      </c>
      <c r="E62" s="3208" t="s">
        <v>3720</v>
      </c>
      <c r="F62" s="3208" t="s">
        <v>3720</v>
      </c>
      <c r="G62" s="3208" t="s">
        <v>3720</v>
      </c>
      <c r="H62" s="3208" t="s">
        <v>3720</v>
      </c>
      <c r="I62" s="3208">
        <v>20758.52</v>
      </c>
      <c r="J62" s="3208" t="s">
        <v>3720</v>
      </c>
      <c r="K62" s="3208" t="s">
        <v>3720</v>
      </c>
      <c r="L62" s="3208" t="s">
        <v>3720</v>
      </c>
    </row>
    <row r="63" spans="1:12" ht="14.25" thickBot="1">
      <c r="A63" s="3208" t="s">
        <v>3718</v>
      </c>
      <c r="B63" s="3208"/>
      <c r="C63" s="3208">
        <f>D63+I63</f>
        <v>337372.75</v>
      </c>
      <c r="D63" s="3208">
        <f>D61+D60+D59+D58+D57</f>
        <v>277730.98</v>
      </c>
      <c r="E63" s="3208"/>
      <c r="F63" s="3208"/>
      <c r="G63" s="3208"/>
      <c r="H63" s="3208">
        <f>H61</f>
        <v>65000</v>
      </c>
      <c r="I63" s="3208">
        <f>I62+I58+I57</f>
        <v>59641.770000000004</v>
      </c>
      <c r="J63" s="3208"/>
      <c r="K63" s="3208"/>
      <c r="L63" s="3208"/>
    </row>
    <row r="65" spans="3:9" ht="14.25" thickBot="1">
      <c r="C65" s="3208"/>
    </row>
    <row r="66" spans="3:9">
      <c r="D66">
        <f>D63-H61</f>
        <v>212730.97999999998</v>
      </c>
      <c r="I66">
        <f>I57+I58</f>
        <v>38883.25</v>
      </c>
    </row>
    <row r="67" spans="3:9">
      <c r="D67">
        <f>D66+I66</f>
        <v>251614.22999999998</v>
      </c>
    </row>
  </sheetData>
  <mergeCells count="8">
    <mergeCell ref="I55:L55"/>
    <mergeCell ref="A57:A58"/>
    <mergeCell ref="A55:A56"/>
    <mergeCell ref="A59:A60"/>
    <mergeCell ref="A61:A62"/>
    <mergeCell ref="B55:B56"/>
    <mergeCell ref="C55:C56"/>
    <mergeCell ref="D55:H55"/>
  </mergeCells>
  <phoneticPr fontId="228" type="noConversion"/>
  <pageMargins left="0.25" right="0.25" top="0.75" bottom="0.75"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2034</v>
      </c>
      <c r="B1" s="3216"/>
      <c r="C1" s="3216"/>
      <c r="D1" s="3216"/>
      <c r="E1" s="3216"/>
      <c r="F1" s="3216"/>
      <c r="G1" s="3216"/>
      <c r="H1" s="3216"/>
      <c r="I1" s="3216"/>
      <c r="J1" s="3216"/>
      <c r="K1" s="3216"/>
      <c r="L1" s="3216"/>
      <c r="M1" s="3216"/>
      <c r="N1" s="3216"/>
      <c r="O1" s="3216"/>
      <c r="P1" s="3216"/>
      <c r="Q1" s="3216"/>
      <c r="R1" s="3216"/>
    </row>
    <row r="2" spans="1:18">
      <c r="A2" s="1789" t="s">
        <v>2036</v>
      </c>
      <c r="B2" s="1789"/>
      <c r="C2" s="1789"/>
      <c r="D2" s="1789"/>
      <c r="E2" s="1789"/>
      <c r="F2" s="1789"/>
      <c r="G2" s="1789"/>
      <c r="H2" s="1789"/>
      <c r="I2" s="1790"/>
      <c r="J2" s="1790"/>
      <c r="K2" s="1791" t="str">
        <f>"估价期日："&amp;TEXT(项目基本情况!D3,"yyyy年m月d日;;")</f>
        <v>估价期日：2020年1月3日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7" t="s">
        <v>2025</v>
      </c>
      <c r="B3" s="3217" t="s">
        <v>2726</v>
      </c>
      <c r="C3" s="3218" t="s">
        <v>2026</v>
      </c>
      <c r="D3" s="3217" t="s">
        <v>2730</v>
      </c>
      <c r="E3" s="3220" t="s">
        <v>2027</v>
      </c>
      <c r="F3" s="3220"/>
      <c r="G3" s="3220"/>
      <c r="H3" s="3220" t="s">
        <v>2028</v>
      </c>
      <c r="I3" s="3220"/>
      <c r="J3" s="3220"/>
      <c r="K3" s="3218" t="s">
        <v>2029</v>
      </c>
      <c r="L3" s="3218" t="s">
        <v>2030</v>
      </c>
      <c r="M3" s="3217" t="s">
        <v>2727</v>
      </c>
      <c r="N3" s="3219" t="str">
        <f>"（分摊）"&amp;项目基本情况!B16&amp;"国有建设用地使用权面积/㎡"</f>
        <v>（分摊）出让国有建设用地使用权面积/㎡</v>
      </c>
      <c r="O3" s="3217" t="s">
        <v>2059</v>
      </c>
      <c r="P3" s="3218" t="s">
        <v>2039</v>
      </c>
      <c r="Q3" s="3218" t="s">
        <v>2060</v>
      </c>
      <c r="R3" s="3218" t="s">
        <v>2031</v>
      </c>
    </row>
    <row r="4" spans="1:18" ht="36.75" customHeight="1">
      <c r="A4" s="3217"/>
      <c r="B4" s="3217"/>
      <c r="C4" s="3218"/>
      <c r="D4" s="3217"/>
      <c r="E4" s="2610" t="s">
        <v>2038</v>
      </c>
      <c r="F4" s="2610" t="s">
        <v>2739</v>
      </c>
      <c r="G4" s="2610" t="s">
        <v>2032</v>
      </c>
      <c r="H4" s="2610" t="s">
        <v>2033</v>
      </c>
      <c r="I4" s="2610" t="s">
        <v>2740</v>
      </c>
      <c r="J4" s="2610" t="s">
        <v>2032</v>
      </c>
      <c r="K4" s="3218"/>
      <c r="L4" s="3218"/>
      <c r="M4" s="3217"/>
      <c r="N4" s="3219"/>
      <c r="O4" s="3217"/>
      <c r="P4" s="3218"/>
      <c r="Q4" s="3218"/>
      <c r="R4" s="3218"/>
    </row>
    <row r="5" spans="1:18" ht="135" customHeight="1">
      <c r="A5" s="1925" t="s">
        <v>2650</v>
      </c>
      <c r="B5" s="2819" t="s">
        <v>2648</v>
      </c>
      <c r="C5" s="2609">
        <v>22</v>
      </c>
      <c r="D5" s="2608" t="s">
        <v>2649</v>
      </c>
      <c r="E5" s="1792" t="str">
        <f>项目基本情况!B12</f>
        <v>住宅、商业、办公、地下车库</v>
      </c>
      <c r="F5" s="2608">
        <v>258</v>
      </c>
      <c r="G5" s="1792" t="str">
        <f>项目基本情况!B13</f>
        <v>住宅、商业、办公、地下车库</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住宅69.2年、商业39.2年、办公、地下车库49.2年</v>
      </c>
      <c r="N5" s="1792">
        <f>项目基本情况!C22</f>
        <v>83137.16</v>
      </c>
      <c r="O5" s="1792">
        <f>项目基本情况!C21</f>
        <v>138941.47999999998</v>
      </c>
      <c r="P5" s="1792">
        <f ca="1">结果表!E42</f>
        <v>52140</v>
      </c>
      <c r="Q5" s="1792">
        <f ca="1">结果表!D42</f>
        <v>31199</v>
      </c>
      <c r="R5" s="1793">
        <f ca="1">结果表!C42</f>
        <v>433477</v>
      </c>
    </row>
    <row r="6" spans="1:18">
      <c r="A6" s="3221" t="str">
        <f>IF(项目基本情况!B9="市场价格","——","抵押价格")</f>
        <v>——</v>
      </c>
      <c r="B6" s="3222"/>
      <c r="C6" s="3222"/>
      <c r="D6" s="3222"/>
      <c r="E6" s="3222"/>
      <c r="F6" s="3222"/>
      <c r="G6" s="3222"/>
      <c r="H6" s="3222"/>
      <c r="I6" s="3222"/>
      <c r="J6" s="3222"/>
      <c r="K6" s="3222"/>
      <c r="L6" s="3222"/>
      <c r="M6" s="3222"/>
      <c r="N6" s="3222"/>
      <c r="O6" s="3222"/>
      <c r="P6" s="3222"/>
      <c r="Q6" s="3223"/>
      <c r="R6" s="1794">
        <f ca="1">结果表!O39</f>
        <v>433477</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794"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794" t="str">
        <f>结果表!O41</f>
        <v>——</v>
      </c>
    </row>
    <row r="9" spans="1:18">
      <c r="A9" s="1795" t="s">
        <v>2037</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2024</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5" t="s">
        <v>2061</v>
      </c>
      <c r="B1" s="3225"/>
      <c r="C1" s="3225"/>
      <c r="D1" s="3225"/>
    </row>
    <row r="2" spans="1:4" ht="47.25" customHeight="1">
      <c r="A2" s="3226" t="str">
        <f>"1.权利限制："&amp;项目基本情况!L24&amp;"未设定租赁等其他他项权利。"</f>
        <v>1.权利限制：根据估价对象《不动产权证书》复印件、《国有土地使用权》——，截至估价期日，估价对象抵押权未见登记。未设定租赁等其他他项权利。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5"/>
      <c r="C3" s="3225"/>
      <c r="D3" s="3225"/>
    </row>
    <row r="4" spans="1:4" ht="36.75" customHeight="1">
      <c r="A4" s="3225" t="str">
        <f>"3.估价规划限制条件：详见"&amp;项目基本情况!E21&amp;"。"</f>
        <v>3.估价规划限制条件：详见《建设工程规划许可证》[建字第2019规自（海）建字0077、0078号]及附件附图、《总平面图》。</v>
      </c>
      <c r="B4" s="3225"/>
      <c r="C4" s="3225"/>
      <c r="D4" s="3225"/>
    </row>
    <row r="5" spans="1:4">
      <c r="A5" s="3224" t="s">
        <v>2062</v>
      </c>
      <c r="B5" s="3224"/>
      <c r="C5" s="3224"/>
      <c r="D5" s="3224"/>
    </row>
    <row r="6" spans="1:4">
      <c r="A6" s="3225" t="s">
        <v>2040</v>
      </c>
      <c r="B6" s="3225"/>
      <c r="C6" s="3225"/>
      <c r="D6" s="3225"/>
    </row>
    <row r="7" spans="1:4" ht="33" customHeight="1">
      <c r="A7" s="3225" t="s">
        <v>2570</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（1）根据估价对象《不动产权证书》复印件、《国有土地使用权》——，截至估价期日，估价对象抵押权未见登记。</v>
      </c>
      <c r="B11" s="3227"/>
      <c r="C11" s="3227"/>
      <c r="D11" s="3227"/>
    </row>
    <row r="12" spans="1:4" ht="168" customHeight="1">
      <c r="A12" s="3224" t="s">
        <v>2064</v>
      </c>
      <c r="B12" s="3224"/>
      <c r="C12" s="3224"/>
      <c r="D12" s="3224"/>
    </row>
    <row r="13" spans="1:4">
      <c r="A13" s="3228" t="s">
        <v>2741</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2697</v>
      </c>
      <c r="B17" s="3225"/>
      <c r="C17" s="3225"/>
      <c r="D17" s="3225"/>
    </row>
    <row r="18" spans="1:4">
      <c r="A18" s="3225" t="s">
        <v>2689</v>
      </c>
      <c r="B18" s="3225"/>
      <c r="C18" s="3225"/>
      <c r="D18" s="3225"/>
    </row>
    <row r="19" spans="1:4">
      <c r="A19" s="2820" t="s">
        <v>2690</v>
      </c>
      <c r="B19" s="2820" t="s">
        <v>2691</v>
      </c>
      <c r="C19" s="2820" t="s">
        <v>2692</v>
      </c>
      <c r="D19" s="2820" t="s">
        <v>2693</v>
      </c>
    </row>
    <row r="20" spans="1:4">
      <c r="A20" s="2820" t="str">
        <f>项目基本情况!B4</f>
        <v>吴薇</v>
      </c>
      <c r="B20" s="2820">
        <f ca="1">项目基本情况!C4</f>
        <v>2002110125</v>
      </c>
      <c r="C20" s="2822"/>
      <c r="D20" s="1782" t="s">
        <v>2698</v>
      </c>
    </row>
    <row r="21" spans="1:4">
      <c r="A21" s="2820" t="str">
        <f>项目基本情况!D4</f>
        <v>郑燚</v>
      </c>
      <c r="B21" s="2820">
        <f ca="1">项目基本情况!E4</f>
        <v>2014110011</v>
      </c>
      <c r="C21" s="2822"/>
      <c r="D21" s="1782" t="s">
        <v>2699</v>
      </c>
    </row>
    <row r="23" spans="1:4">
      <c r="A23" s="3225" t="s">
        <v>2694</v>
      </c>
      <c r="B23" s="3225"/>
      <c r="C23" s="3225"/>
      <c r="D23" s="3225"/>
    </row>
    <row r="24" spans="1:4">
      <c r="A24" s="2820" t="s">
        <v>2690</v>
      </c>
      <c r="B24" s="2820" t="s">
        <v>2695</v>
      </c>
      <c r="C24" s="2820" t="s">
        <v>2692</v>
      </c>
      <c r="D24" s="2820" t="s">
        <v>2693</v>
      </c>
    </row>
    <row r="25" spans="1:4">
      <c r="A25" s="2823" t="s">
        <v>2696</v>
      </c>
      <c r="B25" s="2820" t="s">
        <v>952</v>
      </c>
      <c r="C25" s="2822"/>
      <c r="D25" s="1782" t="s">
        <v>2699</v>
      </c>
    </row>
    <row r="29" spans="1:4">
      <c r="D29" s="2821" t="s">
        <v>2035</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36" t="s">
        <v>53</v>
      </c>
      <c r="B15" s="3237" t="s">
        <v>846</v>
      </c>
      <c r="C15" s="3233"/>
    </row>
    <row r="16" spans="1:7" ht="14.25">
      <c r="A16" s="3236"/>
      <c r="B16" s="3234" t="s">
        <v>54</v>
      </c>
      <c r="C16" s="1166" t="s">
        <v>53</v>
      </c>
    </row>
    <row r="17" spans="1:3" ht="14.25">
      <c r="A17" s="3236"/>
      <c r="B17" s="3234"/>
      <c r="C17" s="1166" t="s">
        <v>55</v>
      </c>
    </row>
    <row r="18" spans="1:3" ht="14.25">
      <c r="A18" s="3236"/>
      <c r="B18" s="3234"/>
      <c r="C18" s="1166" t="s">
        <v>56</v>
      </c>
    </row>
    <row r="19" spans="1:3" ht="14.25">
      <c r="A19" s="3236"/>
      <c r="B19" s="3232" t="s">
        <v>57</v>
      </c>
      <c r="C19" s="3233"/>
    </row>
    <row r="20" spans="1:3" ht="14.25">
      <c r="A20" s="1167" t="s">
        <v>58</v>
      </c>
      <c r="B20" s="1168"/>
      <c r="C20" s="1169"/>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0" t="s">
        <v>837</v>
      </c>
    </row>
    <row r="25" spans="1:3" ht="14.25">
      <c r="A25" s="3235"/>
      <c r="B25" s="3239"/>
      <c r="C25" s="1170" t="s">
        <v>838</v>
      </c>
    </row>
    <row r="26" spans="1:3" ht="14.25">
      <c r="A26" s="3235"/>
      <c r="B26" s="3239"/>
      <c r="C26" s="1170" t="s">
        <v>839</v>
      </c>
    </row>
    <row r="27" spans="1:3" ht="14.25">
      <c r="A27" s="3235"/>
      <c r="B27" s="3239"/>
      <c r="C27" s="1170" t="s">
        <v>840</v>
      </c>
    </row>
    <row r="28" spans="1:3" ht="14.25">
      <c r="A28" s="3235"/>
      <c r="B28" s="3239"/>
      <c r="C28" s="1170" t="s">
        <v>841</v>
      </c>
    </row>
    <row r="29" spans="1:3" ht="14.25">
      <c r="A29" s="3235"/>
      <c r="B29" s="3239"/>
      <c r="C29" s="1170" t="s">
        <v>842</v>
      </c>
    </row>
    <row r="30" spans="1:3" ht="14.25">
      <c r="A30" s="3235"/>
      <c r="B30" s="3239"/>
      <c r="C30" s="1170" t="s">
        <v>843</v>
      </c>
    </row>
    <row r="31" spans="1:3" ht="14.25">
      <c r="A31" s="3235"/>
      <c r="B31" s="3239"/>
      <c r="C31" s="1170" t="s">
        <v>844</v>
      </c>
    </row>
    <row r="32" spans="1:3" ht="14.25">
      <c r="A32" s="3235"/>
      <c r="B32" s="3239"/>
      <c r="C32" s="1170" t="s">
        <v>1646</v>
      </c>
    </row>
    <row r="33" spans="1:3" ht="14.25">
      <c r="A33" s="3235"/>
      <c r="B33" s="3229" t="s">
        <v>1652</v>
      </c>
      <c r="C33" s="1170" t="s">
        <v>1647</v>
      </c>
    </row>
    <row r="34" spans="1:3" ht="14.25">
      <c r="A34" s="3235"/>
      <c r="B34" s="3230"/>
      <c r="C34" s="1175" t="s">
        <v>1648</v>
      </c>
    </row>
    <row r="35" spans="1:3" ht="14.25">
      <c r="A35" s="3235"/>
      <c r="B35" s="3230"/>
      <c r="C35" s="1176" t="s">
        <v>1649</v>
      </c>
    </row>
    <row r="36" spans="1:3" ht="14.25">
      <c r="A36" s="3235"/>
      <c r="B36" s="3230"/>
      <c r="C36" s="1176" t="s">
        <v>1650</v>
      </c>
    </row>
    <row r="37" spans="1:3" ht="14.25">
      <c r="A37" s="3235"/>
      <c r="B37" s="323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1907</v>
      </c>
      <c r="B2" s="3121">
        <f ca="1">TODAY()</f>
        <v>43845</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c r="B5" s="3125"/>
      <c r="C5" s="3127"/>
      <c r="D5" s="3125"/>
      <c r="E5" s="3125"/>
      <c r="F5" s="3128"/>
    </row>
    <row r="6" spans="1:6" ht="20.25" customHeight="1">
      <c r="A6" s="3125" t="s">
        <v>1915</v>
      </c>
      <c r="B6" s="3125">
        <f ca="1">IF(C6&lt;B2,"已过期",1119970111)</f>
        <v>1119970111</v>
      </c>
      <c r="C6" s="3127">
        <v>44876</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44849</v>
      </c>
      <c r="D13" s="3125" t="s">
        <v>1921</v>
      </c>
      <c r="E13" s="3125">
        <f ca="1">IF(F13&lt;B2,"已过期",2014110011)</f>
        <v>2014110011</v>
      </c>
      <c r="F13" s="3128">
        <v>49302</v>
      </c>
    </row>
    <row r="14" spans="1:6" ht="20.25" customHeight="1">
      <c r="A14" s="3125" t="s">
        <v>2968</v>
      </c>
      <c r="B14" s="3125">
        <f ca="1">IF(C14&lt;B2,"已过期",1120040230)</f>
        <v>1120040230</v>
      </c>
      <c r="C14" s="3129">
        <v>44864</v>
      </c>
      <c r="D14" s="3130" t="s">
        <v>2969</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2982</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1922</v>
      </c>
      <c r="E21" s="3125">
        <f ca="1">IF(F21&lt;B2,"已过期",2011110090)</f>
        <v>2011110090</v>
      </c>
      <c r="F21" s="3128">
        <v>48302</v>
      </c>
    </row>
    <row r="22" spans="1:7" ht="20.25" customHeight="1">
      <c r="A22" s="3125" t="s">
        <v>1923</v>
      </c>
      <c r="B22" s="3125">
        <f ca="1">IF(C22&lt;B2,"已过期",1120020033)</f>
        <v>1120020033</v>
      </c>
      <c r="C22" s="3127">
        <v>44339</v>
      </c>
      <c r="D22" s="3125" t="s">
        <v>1923</v>
      </c>
      <c r="E22" s="3125">
        <f ca="1">IF(F22&lt;B2,"已过期",2000110137)</f>
        <v>2000110137</v>
      </c>
      <c r="F22" s="3128">
        <v>46387</v>
      </c>
    </row>
    <row r="23" spans="1:7" ht="20.25" customHeight="1">
      <c r="A23" s="3125" t="s">
        <v>2984</v>
      </c>
      <c r="B23" s="3125">
        <v>1119980106</v>
      </c>
      <c r="C23" s="3127">
        <v>43916</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40" t="s">
        <v>1924</v>
      </c>
      <c r="B25" s="3240"/>
      <c r="C25" s="3240"/>
      <c r="D25" s="3240"/>
      <c r="E25" s="3240"/>
      <c r="F25" s="3240"/>
      <c r="G25" s="3240"/>
    </row>
    <row r="26" spans="1:7" ht="20.25" customHeight="1">
      <c r="A26" s="3241" t="s">
        <v>1925</v>
      </c>
      <c r="B26" s="3241"/>
      <c r="C26" s="3241"/>
      <c r="D26" s="3241" t="s">
        <v>1926</v>
      </c>
      <c r="E26" s="3241"/>
      <c r="F26" s="3241"/>
    </row>
    <row r="27" spans="1:7" s="3120" customFormat="1" ht="20.25" customHeight="1">
      <c r="A27" s="3134" t="s">
        <v>1927</v>
      </c>
      <c r="B27" s="3135" t="s">
        <v>1928</v>
      </c>
      <c r="C27" s="3135" t="s">
        <v>1929</v>
      </c>
      <c r="D27" s="3125" t="s">
        <v>1927</v>
      </c>
      <c r="E27" s="3135" t="s">
        <v>1928</v>
      </c>
      <c r="F27" s="3135" t="s">
        <v>1929</v>
      </c>
    </row>
    <row r="28" spans="1:7" s="3120" customFormat="1" ht="20.25" customHeight="1">
      <c r="A28" s="3136" t="s">
        <v>1930</v>
      </c>
      <c r="B28" s="3136" t="s">
        <v>1931</v>
      </c>
      <c r="C28" s="3128">
        <v>44820</v>
      </c>
      <c r="D28" s="3136" t="s">
        <v>1932</v>
      </c>
      <c r="E28" s="3136" t="s">
        <v>1933</v>
      </c>
      <c r="F28" s="3137">
        <v>44377</v>
      </c>
    </row>
    <row r="29" spans="1:7" s="3120" customFormat="1" ht="20.25" customHeight="1">
      <c r="A29" s="3136"/>
      <c r="B29" s="3136"/>
      <c r="C29" s="3138"/>
      <c r="D29" s="3136" t="s">
        <v>1934</v>
      </c>
      <c r="E29" s="3136" t="s">
        <v>2983</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2"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2536</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876</v>
      </c>
    </row>
    <row r="4" spans="1:23">
      <c r="A4" s="8" t="s">
        <v>87</v>
      </c>
      <c r="B4" s="8" t="s">
        <v>152</v>
      </c>
      <c r="C4" s="1534" t="s">
        <v>1711</v>
      </c>
      <c r="D4" s="9" t="s">
        <v>1991</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878</v>
      </c>
    </row>
    <row r="6" spans="1:23">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2540</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8" t="s">
        <v>2942</v>
      </c>
      <c r="C18" s="1537"/>
    </row>
    <row r="19" spans="1:3">
      <c r="A19" s="8" t="s">
        <v>120</v>
      </c>
      <c r="B19" s="3058" t="s">
        <v>2950</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1940</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公主坟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北京京投兴海房地产有限公司拟使用北京市海淀区地铁16号线北安河 车辆段综合利用项目HD00-0700-0001、0002、0003、0004地块A334托幼用地、F3其他类多功能用地、R2二类居住用地项目（现状结构转换层）出让国有建设用地使用权作为抵押担保物，向交行公主坟支行办理贷款手续。交行公主坟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42"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3日，在规划利用条件下、设定土地开发程度为红线外“七通”、宗地内场地平整，设定用途为住宅、商业、办公、地下车库，剩余土地使用年限为住宅69.2年、商业39.2年、办公、地下车库49.2年的出让国有建设用地使用权价格。</v>
      </c>
      <c r="D53" s="1749"/>
      <c r="E53" s="1749"/>
    </row>
    <row r="54" spans="1:5">
      <c r="A54" s="3242"/>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2"/>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2"/>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2"/>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2045</v>
      </c>
      <c r="B58" s="1748"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总平图面积指标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2020-01-08T01:49:15Z</cp:lastPrinted>
  <dcterms:created xsi:type="dcterms:W3CDTF">2015-07-13T07:17:23Z</dcterms:created>
  <dcterms:modified xsi:type="dcterms:W3CDTF">2020-01-15T02:54:39Z</dcterms:modified>
</cp:coreProperties>
</file>