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G62" i="43"/>
  <c r="G63" i="43"/>
  <c r="G64" i="43"/>
  <c r="G65" i="43"/>
  <c r="G66" i="43"/>
  <c r="G67" i="43"/>
  <c r="G68" i="43"/>
  <c r="G69" i="43"/>
  <c r="G61" i="43"/>
  <c r="D33" i="43"/>
  <c r="F19" i="6" l="1"/>
  <c r="T18" i="1" l="1"/>
  <c r="V18" i="1" s="1"/>
  <c r="B24" i="31" l="1"/>
  <c r="A24" i="31"/>
  <c r="G23" i="4" l="1"/>
  <c r="G24" i="4" s="1"/>
  <c r="D3" i="4"/>
  <c r="F59" i="33" l="1"/>
  <c r="G59" i="33"/>
  <c r="H59" i="33"/>
  <c r="I59" i="33" s="1"/>
  <c r="J59" i="33" s="1"/>
  <c r="K59" i="33" s="1"/>
  <c r="E59" i="33"/>
  <c r="C33" i="33"/>
  <c r="O97" i="33"/>
  <c r="P97" i="33"/>
  <c r="D104" i="33"/>
  <c r="E104" i="33" s="1"/>
  <c r="F104" i="33" s="1"/>
  <c r="P93" i="33"/>
  <c r="P92" i="33"/>
  <c r="O96"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C88" i="71"/>
  <c r="D88" i="71" s="1"/>
  <c r="B88" i="71"/>
  <c r="F87" i="71"/>
  <c r="F86" i="71" s="1"/>
  <c r="D87" i="71"/>
  <c r="C87" i="71"/>
  <c r="B87" i="71"/>
  <c r="B86" i="71" s="1"/>
  <c r="E86" i="71"/>
  <c r="D86" i="71"/>
  <c r="C86" i="71"/>
  <c r="D85" i="71"/>
  <c r="F84" i="71"/>
  <c r="E84" i="71"/>
  <c r="E83" i="71" s="1"/>
  <c r="C84" i="71"/>
  <c r="D84" i="71" s="1"/>
  <c r="B84" i="71"/>
  <c r="F83" i="71"/>
  <c r="F82" i="71" s="1"/>
  <c r="D83" i="71"/>
  <c r="C83" i="71"/>
  <c r="B83" i="71"/>
  <c r="B82" i="71" s="1"/>
  <c r="E82" i="71"/>
  <c r="D82" i="71"/>
  <c r="C82" i="71"/>
  <c r="D81" i="71"/>
  <c r="V80" i="71"/>
  <c r="Q80" i="71"/>
  <c r="P80" i="71"/>
  <c r="O80" i="71"/>
  <c r="N80" i="71"/>
  <c r="F80" i="71"/>
  <c r="E80" i="71"/>
  <c r="C80" i="71"/>
  <c r="B80" i="71"/>
  <c r="S80" i="71" s="1"/>
  <c r="Q79" i="71"/>
  <c r="P79" i="71"/>
  <c r="O79" i="71"/>
  <c r="N79" i="71"/>
  <c r="F79" i="71"/>
  <c r="F78" i="71" s="1"/>
  <c r="B79" i="71"/>
  <c r="B78" i="71" s="1"/>
  <c r="Q78" i="71"/>
  <c r="P78" i="71"/>
  <c r="O78" i="71"/>
  <c r="N78" i="71"/>
  <c r="Q77" i="71"/>
  <c r="P77" i="71"/>
  <c r="O77" i="71"/>
  <c r="N77" i="71"/>
  <c r="D77" i="71"/>
  <c r="V76" i="71"/>
  <c r="U76" i="71"/>
  <c r="Q76" i="71"/>
  <c r="P76" i="71"/>
  <c r="O76" i="71"/>
  <c r="N76" i="71"/>
  <c r="F76" i="71"/>
  <c r="E76" i="71"/>
  <c r="E75" i="71" s="1"/>
  <c r="E74" i="71" s="1"/>
  <c r="C76" i="71"/>
  <c r="B76" i="71"/>
  <c r="B75" i="71" s="1"/>
  <c r="B74" i="71" s="1"/>
  <c r="Q75" i="71"/>
  <c r="P75" i="71"/>
  <c r="O75" i="71"/>
  <c r="N75" i="71"/>
  <c r="F75" i="71"/>
  <c r="F74" i="71" s="1"/>
  <c r="C75" i="71"/>
  <c r="Q74" i="71"/>
  <c r="P74" i="71"/>
  <c r="O74" i="71"/>
  <c r="N74" i="71"/>
  <c r="Q73" i="71"/>
  <c r="P73" i="71"/>
  <c r="O73" i="71"/>
  <c r="N73" i="71"/>
  <c r="D73" i="71"/>
  <c r="U72" i="71"/>
  <c r="Q72" i="71"/>
  <c r="P72" i="71"/>
  <c r="O72" i="71"/>
  <c r="N72" i="71"/>
  <c r="F72" i="71"/>
  <c r="V72" i="71" s="1"/>
  <c r="E72" i="71"/>
  <c r="E71" i="71" s="1"/>
  <c r="C72" i="71"/>
  <c r="B72" i="71"/>
  <c r="S72" i="71" s="1"/>
  <c r="Q71" i="71"/>
  <c r="P71" i="71"/>
  <c r="O71" i="71"/>
  <c r="N71" i="71"/>
  <c r="F71" i="71"/>
  <c r="F70" i="71" s="1"/>
  <c r="B71" i="71"/>
  <c r="B70" i="71" s="1"/>
  <c r="Q70" i="71"/>
  <c r="P70" i="71"/>
  <c r="O70" i="71"/>
  <c r="N70" i="71"/>
  <c r="E70" i="71"/>
  <c r="Q69" i="71"/>
  <c r="P69" i="71"/>
  <c r="O69" i="71"/>
  <c r="N69" i="71"/>
  <c r="D69" i="71"/>
  <c r="S68" i="71"/>
  <c r="P68" i="71"/>
  <c r="F68" i="71"/>
  <c r="E68" i="71"/>
  <c r="C68" i="71"/>
  <c r="B68" i="71"/>
  <c r="N68" i="71" s="1"/>
  <c r="N67" i="71"/>
  <c r="C67" i="71"/>
  <c r="B67" i="71"/>
  <c r="B66" i="71" s="1"/>
  <c r="N65" i="71" s="1"/>
  <c r="N66" i="71"/>
  <c r="D65" i="71"/>
  <c r="Q64" i="71"/>
  <c r="P64" i="71"/>
  <c r="O64" i="71"/>
  <c r="N64" i="71"/>
  <c r="F64" i="71"/>
  <c r="V64" i="71" s="1"/>
  <c r="Q63" i="71"/>
  <c r="P63" i="71"/>
  <c r="O63" i="71"/>
  <c r="N63" i="71"/>
  <c r="F63" i="71"/>
  <c r="Q62" i="71"/>
  <c r="P62" i="71"/>
  <c r="O62" i="71"/>
  <c r="N62" i="71"/>
  <c r="C62" i="71"/>
  <c r="D62" i="71" s="1"/>
  <c r="Q61" i="71"/>
  <c r="F62" i="71" s="1"/>
  <c r="P61" i="71"/>
  <c r="E62" i="71" s="1"/>
  <c r="E63" i="71" s="1"/>
  <c r="E64" i="71" s="1"/>
  <c r="U64" i="71" s="1"/>
  <c r="O61" i="71"/>
  <c r="N61" i="71"/>
  <c r="B62" i="71" s="1"/>
  <c r="B63" i="71" s="1"/>
  <c r="B64" i="71" s="1"/>
  <c r="S64" i="71" s="1"/>
  <c r="D61" i="71"/>
  <c r="Q60" i="71"/>
  <c r="P60" i="71"/>
  <c r="O60" i="71"/>
  <c r="N60" i="71"/>
  <c r="Q59" i="71"/>
  <c r="P59" i="71"/>
  <c r="O59" i="71"/>
  <c r="N59" i="71"/>
  <c r="Q58" i="71"/>
  <c r="P58" i="71"/>
  <c r="O58" i="71"/>
  <c r="N58" i="71"/>
  <c r="C58" i="71"/>
  <c r="Q57" i="71"/>
  <c r="F58" i="71" s="1"/>
  <c r="F59" i="71" s="1"/>
  <c r="F60" i="71" s="1"/>
  <c r="V60" i="71" s="1"/>
  <c r="P57" i="71"/>
  <c r="E58" i="71" s="1"/>
  <c r="O57" i="71"/>
  <c r="N57" i="71"/>
  <c r="B58" i="71" s="1"/>
  <c r="B59" i="71" s="1"/>
  <c r="B60" i="71" s="1"/>
  <c r="S60" i="71" s="1"/>
  <c r="D57" i="71"/>
  <c r="Q56" i="71"/>
  <c r="P56" i="71"/>
  <c r="O56" i="71"/>
  <c r="N56" i="71"/>
  <c r="Q55" i="71"/>
  <c r="P55" i="71"/>
  <c r="O55" i="71"/>
  <c r="N55" i="71"/>
  <c r="C55" i="71"/>
  <c r="D55" i="71" s="1"/>
  <c r="Q54" i="71"/>
  <c r="P54" i="71"/>
  <c r="O54" i="71"/>
  <c r="N54" i="71"/>
  <c r="B55" i="71" s="1"/>
  <c r="B56" i="71" s="1"/>
  <c r="S56" i="71" s="1"/>
  <c r="C54" i="71"/>
  <c r="D54" i="71" s="1"/>
  <c r="Q53" i="71"/>
  <c r="F54" i="71" s="1"/>
  <c r="F55" i="71" s="1"/>
  <c r="F56" i="71" s="1"/>
  <c r="V56" i="71" s="1"/>
  <c r="P53" i="71"/>
  <c r="E54" i="71" s="1"/>
  <c r="E55" i="71" s="1"/>
  <c r="E56" i="71" s="1"/>
  <c r="U56" i="71" s="1"/>
  <c r="O53" i="71"/>
  <c r="N53" i="71"/>
  <c r="B54" i="71" s="1"/>
  <c r="D53" i="71"/>
  <c r="V52" i="71"/>
  <c r="Q52" i="71"/>
  <c r="P52" i="71"/>
  <c r="O52" i="71"/>
  <c r="N52" i="71"/>
  <c r="Q51" i="71"/>
  <c r="P51" i="71"/>
  <c r="O51" i="71"/>
  <c r="N51" i="71"/>
  <c r="Q50" i="71"/>
  <c r="P50" i="71"/>
  <c r="O50" i="71"/>
  <c r="N50" i="71"/>
  <c r="B51" i="71" s="1"/>
  <c r="B52" i="71" s="1"/>
  <c r="S52" i="71" s="1"/>
  <c r="E50" i="71"/>
  <c r="E51" i="71" s="1"/>
  <c r="E52" i="71" s="1"/>
  <c r="U52" i="71" s="1"/>
  <c r="Q49" i="71"/>
  <c r="F50" i="71" s="1"/>
  <c r="F51" i="71" s="1"/>
  <c r="F52" i="71" s="1"/>
  <c r="P49" i="71"/>
  <c r="O49" i="71"/>
  <c r="C50" i="71" s="1"/>
  <c r="N49" i="71"/>
  <c r="B50" i="71" s="1"/>
  <c r="D49" i="71"/>
  <c r="U48" i="71"/>
  <c r="T48" i="71"/>
  <c r="Q48" i="71"/>
  <c r="P48" i="71"/>
  <c r="O48" i="71"/>
  <c r="N48" i="71"/>
  <c r="E48" i="71"/>
  <c r="D48" i="71"/>
  <c r="Q47" i="71"/>
  <c r="P47" i="71"/>
  <c r="O47" i="71"/>
  <c r="N47" i="71"/>
  <c r="F47" i="71"/>
  <c r="F48" i="71" s="1"/>
  <c r="V48" i="71" s="1"/>
  <c r="E47" i="71"/>
  <c r="Q46" i="71"/>
  <c r="P46" i="71"/>
  <c r="O46" i="71"/>
  <c r="N46" i="71"/>
  <c r="F46" i="71"/>
  <c r="D46" i="71"/>
  <c r="Q45" i="71"/>
  <c r="P45" i="71"/>
  <c r="E46" i="71" s="1"/>
  <c r="O45" i="71"/>
  <c r="C46" i="71" s="1"/>
  <c r="C47" i="71" s="1"/>
  <c r="D47" i="71" s="1"/>
  <c r="N45" i="71"/>
  <c r="B46" i="71" s="1"/>
  <c r="B47" i="71" s="1"/>
  <c r="B48" i="71" s="1"/>
  <c r="S48" i="71" s="1"/>
  <c r="D45" i="71"/>
  <c r="Q44" i="71"/>
  <c r="P44" i="71"/>
  <c r="O44" i="71"/>
  <c r="N44" i="71"/>
  <c r="Q43" i="71"/>
  <c r="P43" i="71"/>
  <c r="O43" i="71"/>
  <c r="N43" i="71"/>
  <c r="F43" i="71"/>
  <c r="F44" i="71" s="1"/>
  <c r="V44" i="71" s="1"/>
  <c r="E43" i="71"/>
  <c r="E44" i="71" s="1"/>
  <c r="U44" i="71" s="1"/>
  <c r="Q42" i="71"/>
  <c r="P42" i="71"/>
  <c r="O42" i="71"/>
  <c r="N42" i="71"/>
  <c r="F42" i="71"/>
  <c r="Q41" i="71"/>
  <c r="P41" i="71"/>
  <c r="E42" i="71" s="1"/>
  <c r="O41" i="71"/>
  <c r="C42" i="71" s="1"/>
  <c r="C43" i="71" s="1"/>
  <c r="N41" i="71"/>
  <c r="B42" i="71" s="1"/>
  <c r="B43" i="71" s="1"/>
  <c r="B44" i="71" s="1"/>
  <c r="S44" i="71" s="1"/>
  <c r="D41" i="71"/>
  <c r="AH40" i="71"/>
  <c r="AG40" i="71"/>
  <c r="AF40" i="71"/>
  <c r="AE40" i="71"/>
  <c r="AD40" i="71"/>
  <c r="U40" i="71"/>
  <c r="S40" i="71"/>
  <c r="Q40" i="71"/>
  <c r="P40" i="71"/>
  <c r="O40" i="71"/>
  <c r="N40" i="71"/>
  <c r="AH39" i="71"/>
  <c r="AG39" i="71"/>
  <c r="AE39" i="71"/>
  <c r="AF39" i="71" s="1"/>
  <c r="AD39" i="71"/>
  <c r="Y39" i="71"/>
  <c r="Z39" i="71" s="1"/>
  <c r="Q39" i="71"/>
  <c r="P39" i="71"/>
  <c r="AA39" i="71" s="1"/>
  <c r="O39" i="71"/>
  <c r="N39" i="71"/>
  <c r="X39" i="71" s="1"/>
  <c r="AH38" i="71"/>
  <c r="AG38" i="71"/>
  <c r="AE38" i="71"/>
  <c r="AF38" i="71" s="1"/>
  <c r="AD38" i="71"/>
  <c r="Q38" i="71"/>
  <c r="P38" i="71"/>
  <c r="AA38" i="71" s="1"/>
  <c r="O38" i="71"/>
  <c r="Y35" i="71" s="1"/>
  <c r="Z35" i="71" s="1"/>
  <c r="N38" i="71"/>
  <c r="X38" i="71" s="1"/>
  <c r="E38" i="71"/>
  <c r="E39" i="71" s="1"/>
  <c r="E40" i="71" s="1"/>
  <c r="AH37" i="71"/>
  <c r="AG37" i="71"/>
  <c r="AF37" i="71"/>
  <c r="AE37" i="71"/>
  <c r="AD37" i="71"/>
  <c r="AA37" i="71"/>
  <c r="Q37" i="71"/>
  <c r="P37" i="71"/>
  <c r="O37" i="71"/>
  <c r="C38" i="71" s="1"/>
  <c r="N37" i="71"/>
  <c r="B38" i="71" s="1"/>
  <c r="B39" i="71" s="1"/>
  <c r="B40" i="71" s="1"/>
  <c r="D37" i="71"/>
  <c r="AH36" i="71"/>
  <c r="AG36" i="71"/>
  <c r="AF36" i="71"/>
  <c r="AE36" i="71"/>
  <c r="AD36" i="71"/>
  <c r="AA36" i="71"/>
  <c r="S36" i="71"/>
  <c r="Q36" i="71"/>
  <c r="P36" i="71"/>
  <c r="O36" i="71"/>
  <c r="N36" i="71"/>
  <c r="AH35" i="71"/>
  <c r="AG35" i="71"/>
  <c r="AE35" i="71"/>
  <c r="AF35" i="71" s="1"/>
  <c r="AD35" i="71"/>
  <c r="Q35" i="71"/>
  <c r="P35" i="71"/>
  <c r="AA35" i="71" s="1"/>
  <c r="O35" i="71"/>
  <c r="N35" i="71"/>
  <c r="E35" i="71"/>
  <c r="AH34" i="71"/>
  <c r="AG34" i="71"/>
  <c r="AE34" i="71"/>
  <c r="AF34" i="71" s="1"/>
  <c r="AD34" i="71"/>
  <c r="Q34" i="71"/>
  <c r="P34" i="71"/>
  <c r="O34" i="71"/>
  <c r="Y34" i="71" s="1"/>
  <c r="Z34" i="71" s="1"/>
  <c r="N34" i="71"/>
  <c r="E34" i="71"/>
  <c r="C34" i="71"/>
  <c r="AH33" i="71"/>
  <c r="AG33" i="71"/>
  <c r="AF33" i="71"/>
  <c r="AE33" i="71"/>
  <c r="AD33" i="71"/>
  <c r="Q33" i="71"/>
  <c r="F34" i="71" s="1"/>
  <c r="F35" i="71" s="1"/>
  <c r="F36" i="71" s="1"/>
  <c r="V36" i="71" s="1"/>
  <c r="P33" i="71"/>
  <c r="O33" i="71"/>
  <c r="Y33" i="71" s="1"/>
  <c r="Z33" i="71" s="1"/>
  <c r="N33" i="71"/>
  <c r="B34" i="71" s="1"/>
  <c r="B35" i="71" s="1"/>
  <c r="B36" i="71" s="1"/>
  <c r="D33" i="71"/>
  <c r="AH32" i="71"/>
  <c r="AG32" i="71"/>
  <c r="AF32" i="71"/>
  <c r="AE32" i="71"/>
  <c r="AD32" i="71"/>
  <c r="Q32" i="71"/>
  <c r="P32" i="71"/>
  <c r="O32" i="71"/>
  <c r="N32" i="71"/>
  <c r="F32" i="71"/>
  <c r="V32" i="71" s="1"/>
  <c r="AH31" i="71"/>
  <c r="AG31" i="71"/>
  <c r="AF31" i="71"/>
  <c r="AE31" i="71"/>
  <c r="AD31" i="71"/>
  <c r="Z31" i="71"/>
  <c r="Q31" i="71"/>
  <c r="P31" i="71"/>
  <c r="O31" i="71"/>
  <c r="Y31" i="71" s="1"/>
  <c r="N31" i="71"/>
  <c r="AH30" i="71"/>
  <c r="AG30" i="71"/>
  <c r="AE30" i="71"/>
  <c r="AF30" i="71" s="1"/>
  <c r="AD30" i="71"/>
  <c r="Q30" i="71"/>
  <c r="P30" i="71"/>
  <c r="O30" i="71"/>
  <c r="Y30" i="71" s="1"/>
  <c r="Z30" i="71" s="1"/>
  <c r="N30" i="71"/>
  <c r="X30" i="71" s="1"/>
  <c r="E30" i="71"/>
  <c r="AH29" i="71"/>
  <c r="AG29" i="71"/>
  <c r="AF29" i="71"/>
  <c r="AE29" i="71"/>
  <c r="AD29" i="71"/>
  <c r="Y29" i="71"/>
  <c r="Z29" i="71" s="1"/>
  <c r="Q29" i="71"/>
  <c r="F30" i="71" s="1"/>
  <c r="F31" i="71" s="1"/>
  <c r="P29" i="71"/>
  <c r="O29" i="71"/>
  <c r="C30" i="71" s="1"/>
  <c r="N29" i="71"/>
  <c r="D29" i="71"/>
  <c r="AH28" i="71"/>
  <c r="AG28" i="71"/>
  <c r="AF28" i="71"/>
  <c r="AE28" i="71"/>
  <c r="AD28" i="71"/>
  <c r="AB28" i="71"/>
  <c r="Q28" i="71"/>
  <c r="P28" i="71"/>
  <c r="O28" i="71"/>
  <c r="N28" i="71"/>
  <c r="F28" i="71"/>
  <c r="E28" i="71"/>
  <c r="C28" i="71"/>
  <c r="B28" i="71"/>
  <c r="S28" i="71" s="1"/>
  <c r="AH27" i="71"/>
  <c r="AG27" i="71"/>
  <c r="AF27" i="71"/>
  <c r="AE27" i="71"/>
  <c r="AD27" i="71"/>
  <c r="AA27" i="71"/>
  <c r="Q27" i="71"/>
  <c r="P27" i="71"/>
  <c r="O27" i="71"/>
  <c r="N27" i="71"/>
  <c r="F27" i="71"/>
  <c r="F26" i="71" s="1"/>
  <c r="B27" i="71"/>
  <c r="AH26" i="71"/>
  <c r="AG26" i="71"/>
  <c r="AE26" i="71"/>
  <c r="AF26" i="71" s="1"/>
  <c r="AD26" i="71"/>
  <c r="Q26" i="71"/>
  <c r="P26" i="71"/>
  <c r="O26" i="71"/>
  <c r="N26" i="71"/>
  <c r="AH25" i="71"/>
  <c r="AG25" i="71"/>
  <c r="AF25" i="71"/>
  <c r="AE25" i="71"/>
  <c r="AD25" i="71"/>
  <c r="Q25" i="71"/>
  <c r="P25" i="71"/>
  <c r="O25" i="71"/>
  <c r="N25" i="71"/>
  <c r="D25" i="71"/>
  <c r="AH24" i="71"/>
  <c r="AG24" i="71"/>
  <c r="AE24" i="71"/>
  <c r="AF24" i="71" s="1"/>
  <c r="AD24" i="71"/>
  <c r="AB24" i="71"/>
  <c r="Q24" i="71"/>
  <c r="P24" i="71"/>
  <c r="O24" i="71"/>
  <c r="N24" i="71"/>
  <c r="F24" i="71"/>
  <c r="E24" i="71"/>
  <c r="V24" i="71" s="1"/>
  <c r="C24" i="71"/>
  <c r="B24" i="71"/>
  <c r="S24" i="71" s="1"/>
  <c r="AH23" i="71"/>
  <c r="AG23" i="71"/>
  <c r="AE23" i="71"/>
  <c r="AF23" i="71" s="1"/>
  <c r="AD23" i="71"/>
  <c r="Q23" i="71"/>
  <c r="P23" i="71"/>
  <c r="O23" i="71"/>
  <c r="N23" i="71"/>
  <c r="F23" i="71"/>
  <c r="F22" i="71" s="1"/>
  <c r="F21" i="71" s="1"/>
  <c r="F20" i="71" s="1"/>
  <c r="F19" i="71" s="1"/>
  <c r="F18" i="71" s="1"/>
  <c r="F17" i="71" s="1"/>
  <c r="F16" i="71" s="1"/>
  <c r="F15" i="71" s="1"/>
  <c r="F14" i="71" s="1"/>
  <c r="F13" i="71" s="1"/>
  <c r="F12" i="71" s="1"/>
  <c r="F11" i="71" s="1"/>
  <c r="F10" i="71" s="1"/>
  <c r="F9" i="71" s="1"/>
  <c r="F8" i="71" s="1"/>
  <c r="F7" i="71" s="1"/>
  <c r="F6" i="71" s="1"/>
  <c r="F5" i="71" s="1"/>
  <c r="E23" i="71"/>
  <c r="B23" i="71"/>
  <c r="AH22" i="71"/>
  <c r="AG22" i="71"/>
  <c r="AE22" i="71"/>
  <c r="AF22" i="71" s="1"/>
  <c r="AD22" i="71"/>
  <c r="Q22" i="71"/>
  <c r="P22" i="71"/>
  <c r="O22" i="71"/>
  <c r="N22" i="71"/>
  <c r="AH21" i="71"/>
  <c r="AG21" i="71"/>
  <c r="AF21" i="71"/>
  <c r="AE21" i="71"/>
  <c r="AD21" i="71"/>
  <c r="Q21" i="71"/>
  <c r="P21" i="71"/>
  <c r="O21" i="71"/>
  <c r="N21" i="71"/>
  <c r="X21" i="71" s="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X15" i="71" s="1"/>
  <c r="AH14" i="71"/>
  <c r="AG14" i="71"/>
  <c r="AF14" i="71"/>
  <c r="AE14" i="71"/>
  <c r="AD14" i="71"/>
  <c r="AA14" i="71"/>
  <c r="Q14" i="71"/>
  <c r="P14" i="71"/>
  <c r="O14" i="71"/>
  <c r="Y14" i="71" s="1"/>
  <c r="Z14" i="71" s="1"/>
  <c r="N14" i="71"/>
  <c r="X14" i="71" s="1"/>
  <c r="AH13" i="71"/>
  <c r="AG13" i="71"/>
  <c r="AE13" i="71"/>
  <c r="AF13" i="71" s="1"/>
  <c r="AD13" i="71"/>
  <c r="Q13" i="71"/>
  <c r="P13" i="71"/>
  <c r="O13" i="71"/>
  <c r="N13" i="71"/>
  <c r="X13" i="71" s="1"/>
  <c r="AH12" i="71"/>
  <c r="AG12" i="71"/>
  <c r="AE12" i="71"/>
  <c r="AF12" i="71" s="1"/>
  <c r="AD12" i="71"/>
  <c r="Y12" i="71"/>
  <c r="Z12" i="71" s="1"/>
  <c r="Q12" i="71"/>
  <c r="P12" i="71"/>
  <c r="O12" i="71"/>
  <c r="N12" i="71"/>
  <c r="AH11" i="71"/>
  <c r="AG11" i="71"/>
  <c r="AF11" i="71"/>
  <c r="AE11" i="71"/>
  <c r="AD11" i="71"/>
  <c r="Q11" i="71"/>
  <c r="P11" i="71"/>
  <c r="O11" i="71"/>
  <c r="N11" i="71"/>
  <c r="X11" i="71" s="1"/>
  <c r="AH10" i="71"/>
  <c r="AG10" i="71"/>
  <c r="AF10" i="71"/>
  <c r="AE10" i="71"/>
  <c r="AD10" i="71"/>
  <c r="Y10" i="71"/>
  <c r="Z10" i="71" s="1"/>
  <c r="Q10" i="71"/>
  <c r="P10" i="71"/>
  <c r="O10" i="71"/>
  <c r="N10" i="71"/>
  <c r="X10" i="71" s="1"/>
  <c r="AH9" i="71"/>
  <c r="AG9" i="71"/>
  <c r="AF9" i="71"/>
  <c r="AE9" i="71"/>
  <c r="AD9" i="71"/>
  <c r="Y9" i="71"/>
  <c r="Z9" i="71" s="1"/>
  <c r="Q9" i="71"/>
  <c r="P9" i="71"/>
  <c r="O9" i="71"/>
  <c r="N9" i="71"/>
  <c r="X9" i="71" s="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F3" i="71"/>
  <c r="AE3" i="71"/>
  <c r="X3" i="71"/>
  <c r="L3" i="71"/>
  <c r="AH3" i="71" s="1"/>
  <c r="K3" i="71"/>
  <c r="AG3" i="71" s="1"/>
  <c r="J3" i="71"/>
  <c r="I3" i="71"/>
  <c r="AD3" i="71" s="1"/>
  <c r="AN52" i="79"/>
  <c r="AD52" i="79"/>
  <c r="AB52" i="79"/>
  <c r="AA52" i="79"/>
  <c r="Z52" i="79"/>
  <c r="W52" i="79"/>
  <c r="N52" i="79"/>
  <c r="M52" i="79"/>
  <c r="P52" i="79" s="1"/>
  <c r="L52" i="79"/>
  <c r="I52" i="79"/>
  <c r="AB51" i="79"/>
  <c r="AA51" i="79"/>
  <c r="Z51" i="79"/>
  <c r="U51" i="79"/>
  <c r="AI51" i="79" s="1"/>
  <c r="N51" i="79"/>
  <c r="M51" i="79"/>
  <c r="L51" i="79"/>
  <c r="S45" i="79" s="1"/>
  <c r="AG45" i="79" s="1"/>
  <c r="I51" i="79"/>
  <c r="AD51" i="79" s="1"/>
  <c r="AB50" i="79"/>
  <c r="AA50" i="79"/>
  <c r="Z50" i="79"/>
  <c r="P50" i="79"/>
  <c r="N50" i="79"/>
  <c r="U50" i="79" s="1"/>
  <c r="AI50" i="79" s="1"/>
  <c r="M50" i="79"/>
  <c r="L50" i="79"/>
  <c r="I50" i="79"/>
  <c r="AD49" i="79" s="1"/>
  <c r="AB49" i="79"/>
  <c r="AA49" i="79"/>
  <c r="Z49" i="79"/>
  <c r="P49" i="79"/>
  <c r="N49" i="79"/>
  <c r="M49" i="79"/>
  <c r="L49" i="79"/>
  <c r="I49" i="79"/>
  <c r="AB48" i="79"/>
  <c r="AA48" i="79"/>
  <c r="Z48" i="79"/>
  <c r="P48" i="79"/>
  <c r="N48" i="79"/>
  <c r="M48" i="79"/>
  <c r="L48" i="79"/>
  <c r="I48" i="79"/>
  <c r="AB47" i="79"/>
  <c r="AA47" i="79"/>
  <c r="Z47" i="79"/>
  <c r="N47" i="79"/>
  <c r="M47" i="79"/>
  <c r="P47" i="79" s="1"/>
  <c r="L47" i="79"/>
  <c r="I47" i="79"/>
  <c r="AB46" i="79"/>
  <c r="AA46" i="79"/>
  <c r="Z46" i="79"/>
  <c r="T46" i="79"/>
  <c r="N46" i="79"/>
  <c r="M46" i="79"/>
  <c r="P46" i="79" s="1"/>
  <c r="L46" i="79"/>
  <c r="I46" i="79"/>
  <c r="AB45" i="79"/>
  <c r="AA45" i="79"/>
  <c r="Z45" i="79"/>
  <c r="T45" i="79"/>
  <c r="W45" i="79" s="1"/>
  <c r="AK45" i="79" s="1"/>
  <c r="N45" i="79"/>
  <c r="M45" i="79"/>
  <c r="P45" i="79" s="1"/>
  <c r="L45" i="79"/>
  <c r="I45" i="79"/>
  <c r="N44" i="79"/>
  <c r="U44" i="79" s="1"/>
  <c r="AI44" i="79" s="1"/>
  <c r="M44" i="79"/>
  <c r="L44" i="79"/>
  <c r="I44" i="79"/>
  <c r="U43" i="79"/>
  <c r="AI43" i="79" s="1"/>
  <c r="P43" i="79"/>
  <c r="N43" i="79"/>
  <c r="M43" i="79"/>
  <c r="L43" i="79"/>
  <c r="S43" i="79" s="1"/>
  <c r="AG43" i="79" s="1"/>
  <c r="I43" i="79"/>
  <c r="P42" i="79"/>
  <c r="N42" i="79"/>
  <c r="M42" i="79"/>
  <c r="L42" i="79"/>
  <c r="S41" i="79" s="1"/>
  <c r="AG41" i="79" s="1"/>
  <c r="I42" i="79"/>
  <c r="AD38" i="79" s="1"/>
  <c r="N41" i="79"/>
  <c r="M41" i="79"/>
  <c r="L41" i="79"/>
  <c r="I41" i="79"/>
  <c r="T40" i="79"/>
  <c r="N40" i="79"/>
  <c r="M40" i="79"/>
  <c r="P40" i="79" s="1"/>
  <c r="L40" i="79"/>
  <c r="I40" i="79"/>
  <c r="AB39" i="79"/>
  <c r="AA39" i="79"/>
  <c r="Z39" i="79"/>
  <c r="P39" i="79"/>
  <c r="N39" i="79"/>
  <c r="M39" i="79"/>
  <c r="L39" i="79"/>
  <c r="I39" i="79"/>
  <c r="AD39" i="79" s="1"/>
  <c r="AB38" i="79"/>
  <c r="AA38" i="79"/>
  <c r="Z38" i="79"/>
  <c r="P38" i="79"/>
  <c r="N38" i="79"/>
  <c r="M38" i="79"/>
  <c r="L38" i="79"/>
  <c r="I38" i="79"/>
  <c r="AN37" i="79"/>
  <c r="AN38" i="79" s="1"/>
  <c r="AN39" i="79" s="1"/>
  <c r="AN40" i="79" s="1"/>
  <c r="AN41" i="79" s="1"/>
  <c r="AN42" i="79" s="1"/>
  <c r="AN43" i="79" s="1"/>
  <c r="AN44" i="79" s="1"/>
  <c r="AN45" i="79" s="1"/>
  <c r="AN46" i="79" s="1"/>
  <c r="AN47" i="79" s="1"/>
  <c r="AN48" i="79" s="1"/>
  <c r="AN49" i="79" s="1"/>
  <c r="AN50" i="79" s="1"/>
  <c r="AN51" i="79" s="1"/>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D36" i="79" s="1"/>
  <c r="AP35" i="79"/>
  <c r="AB35" i="79"/>
  <c r="AA35" i="79"/>
  <c r="Z35" i="79"/>
  <c r="P35" i="79"/>
  <c r="N35" i="79"/>
  <c r="M35" i="79"/>
  <c r="L35" i="79"/>
  <c r="I35" i="79"/>
  <c r="AR34" i="79"/>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B34" i="79"/>
  <c r="AA34" i="79"/>
  <c r="Z34" i="79"/>
  <c r="P34" i="79"/>
  <c r="N34" i="79"/>
  <c r="M34" i="79"/>
  <c r="L34" i="79"/>
  <c r="S34" i="79" s="1"/>
  <c r="AG34" i="79" s="1"/>
  <c r="I34" i="79"/>
  <c r="AD34" i="79" s="1"/>
  <c r="AB33" i="79"/>
  <c r="AA33" i="79"/>
  <c r="AA31" i="79" s="1"/>
  <c r="AD31" i="79" s="1"/>
  <c r="Z33" i="79"/>
  <c r="N33" i="79"/>
  <c r="U33" i="79" s="1"/>
  <c r="AI33" i="79" s="1"/>
  <c r="M33" i="79"/>
  <c r="P33" i="79" s="1"/>
  <c r="L33" i="79"/>
  <c r="I33" i="79"/>
  <c r="AD33" i="79" s="1"/>
  <c r="AB31" i="79"/>
  <c r="G31" i="79"/>
  <c r="F31" i="79"/>
  <c r="I31" i="79" s="1"/>
  <c r="E31" i="79"/>
  <c r="AD24" i="79"/>
  <c r="AC24" i="79"/>
  <c r="AB24" i="79"/>
  <c r="AA24" i="79"/>
  <c r="Z24" i="79"/>
  <c r="Y24" i="79"/>
  <c r="W24" i="79"/>
  <c r="P24" i="79"/>
  <c r="O24" i="79"/>
  <c r="N24" i="79"/>
  <c r="M24" i="79"/>
  <c r="L24" i="79"/>
  <c r="K24" i="79"/>
  <c r="I24" i="79"/>
  <c r="AC23" i="79"/>
  <c r="AC3" i="79" s="1"/>
  <c r="AB23" i="79"/>
  <c r="AA23" i="79"/>
  <c r="AD23" i="79" s="1"/>
  <c r="Z23" i="79"/>
  <c r="Y23" i="79"/>
  <c r="T23" i="79"/>
  <c r="W23" i="79" s="1"/>
  <c r="AK23" i="79" s="1"/>
  <c r="S23" i="79"/>
  <c r="AG23" i="79" s="1"/>
  <c r="O23" i="79"/>
  <c r="N23" i="79"/>
  <c r="U23" i="79" s="1"/>
  <c r="AI23" i="79" s="1"/>
  <c r="M23" i="79"/>
  <c r="P23" i="79" s="1"/>
  <c r="L23" i="79"/>
  <c r="K23" i="79"/>
  <c r="I23" i="79"/>
  <c r="AC22" i="79"/>
  <c r="AB22" i="79"/>
  <c r="AA22" i="79"/>
  <c r="AD22" i="79" s="1"/>
  <c r="Z22" i="79"/>
  <c r="Y22" i="79"/>
  <c r="S22" i="79"/>
  <c r="AG22" i="79" s="1"/>
  <c r="R22" i="79"/>
  <c r="AF22" i="79" s="1"/>
  <c r="O22" i="79"/>
  <c r="N22" i="79"/>
  <c r="U22" i="79" s="1"/>
  <c r="AI22" i="79" s="1"/>
  <c r="M22" i="79"/>
  <c r="L22" i="79"/>
  <c r="K22" i="79"/>
  <c r="I22" i="79"/>
  <c r="AC21" i="79"/>
  <c r="AB21" i="79"/>
  <c r="AA21" i="79"/>
  <c r="AD21" i="79" s="1"/>
  <c r="Z21" i="79"/>
  <c r="Y21" i="79"/>
  <c r="U21" i="79"/>
  <c r="AI21" i="79" s="1"/>
  <c r="P21" i="79"/>
  <c r="O21" i="79"/>
  <c r="N21" i="79"/>
  <c r="M21" i="79"/>
  <c r="L21" i="79"/>
  <c r="S21" i="79" s="1"/>
  <c r="AG21" i="79" s="1"/>
  <c r="K21" i="79"/>
  <c r="I21" i="79"/>
  <c r="AD20" i="79"/>
  <c r="AC20" i="79"/>
  <c r="AB20" i="79"/>
  <c r="AA20" i="79"/>
  <c r="Z20" i="79"/>
  <c r="Y20" i="79"/>
  <c r="T20" i="79"/>
  <c r="W20" i="79" s="1"/>
  <c r="AK20" i="79" s="1"/>
  <c r="S20" i="79"/>
  <c r="AG20" i="79" s="1"/>
  <c r="P20" i="79"/>
  <c r="O20" i="79"/>
  <c r="N20" i="79"/>
  <c r="U20" i="79" s="1"/>
  <c r="AI20" i="79" s="1"/>
  <c r="M20" i="79"/>
  <c r="L20" i="79"/>
  <c r="K20" i="79"/>
  <c r="I20" i="79"/>
  <c r="AF19" i="79"/>
  <c r="AC19" i="79"/>
  <c r="AB19" i="79"/>
  <c r="AA19" i="79"/>
  <c r="AD19" i="79" s="1"/>
  <c r="Z19" i="79"/>
  <c r="Y19" i="79"/>
  <c r="T19" i="79"/>
  <c r="O19" i="79"/>
  <c r="V18" i="79" s="1"/>
  <c r="AJ18" i="79" s="1"/>
  <c r="N19" i="79"/>
  <c r="M19" i="79"/>
  <c r="P19" i="79" s="1"/>
  <c r="L19" i="79"/>
  <c r="K19" i="79"/>
  <c r="R19" i="79" s="1"/>
  <c r="I19" i="79"/>
  <c r="AG18" i="79"/>
  <c r="AD18" i="79"/>
  <c r="AC18" i="79"/>
  <c r="AB18" i="79"/>
  <c r="AA18" i="79"/>
  <c r="Z18" i="79"/>
  <c r="Y18" i="79"/>
  <c r="S18" i="79"/>
  <c r="R18" i="79"/>
  <c r="AF18" i="79" s="1"/>
  <c r="O18" i="79"/>
  <c r="N18" i="79"/>
  <c r="M18" i="79"/>
  <c r="L18" i="79"/>
  <c r="K18" i="79"/>
  <c r="I18" i="79"/>
  <c r="AC17" i="79"/>
  <c r="AB17" i="79"/>
  <c r="AA17" i="79"/>
  <c r="AD17" i="79" s="1"/>
  <c r="Z17" i="79"/>
  <c r="Y17" i="79"/>
  <c r="P17" i="79"/>
  <c r="O17" i="79"/>
  <c r="N17" i="79"/>
  <c r="M17" i="79"/>
  <c r="T17" i="79" s="1"/>
  <c r="L17" i="79"/>
  <c r="S17" i="79" s="1"/>
  <c r="AG17" i="79" s="1"/>
  <c r="K17" i="79"/>
  <c r="I17" i="79"/>
  <c r="V16" i="79"/>
  <c r="AJ16" i="79" s="1"/>
  <c r="P16" i="79"/>
  <c r="O16" i="79"/>
  <c r="N16" i="79"/>
  <c r="M16" i="79"/>
  <c r="L16" i="79"/>
  <c r="K16" i="79"/>
  <c r="I16" i="79"/>
  <c r="AQ15" i="79"/>
  <c r="AQ16" i="79" s="1"/>
  <c r="AQ17" i="79" s="1"/>
  <c r="AQ18" i="79" s="1"/>
  <c r="AQ19" i="79" s="1"/>
  <c r="AQ20" i="79" s="1"/>
  <c r="AQ21" i="79" s="1"/>
  <c r="AQ22" i="79" s="1"/>
  <c r="AQ23" i="79" s="1"/>
  <c r="AQ24" i="79" s="1"/>
  <c r="O15" i="79"/>
  <c r="N15" i="79"/>
  <c r="M15" i="79"/>
  <c r="P15" i="79" s="1"/>
  <c r="L15" i="79"/>
  <c r="K15" i="79"/>
  <c r="I15" i="79"/>
  <c r="P14" i="79"/>
  <c r="O14" i="79"/>
  <c r="N14" i="79"/>
  <c r="M14" i="79"/>
  <c r="L14" i="79"/>
  <c r="S14" i="79" s="1"/>
  <c r="AG14" i="79" s="1"/>
  <c r="K14" i="79"/>
  <c r="I14" i="79"/>
  <c r="AP13" i="79"/>
  <c r="AP14" i="79" s="1"/>
  <c r="AP15" i="79" s="1"/>
  <c r="AP16" i="79" s="1"/>
  <c r="AP17" i="79" s="1"/>
  <c r="AP18" i="79" s="1"/>
  <c r="AP19" i="79" s="1"/>
  <c r="AP20" i="79" s="1"/>
  <c r="AP21" i="79" s="1"/>
  <c r="AP22" i="79" s="1"/>
  <c r="AP23" i="79" s="1"/>
  <c r="AP24" i="79" s="1"/>
  <c r="P13" i="79"/>
  <c r="O13" i="79"/>
  <c r="N13" i="79"/>
  <c r="M13" i="79"/>
  <c r="T13" i="79" s="1"/>
  <c r="L13" i="79"/>
  <c r="K13" i="79"/>
  <c r="I13" i="79"/>
  <c r="O12" i="79"/>
  <c r="N12" i="79"/>
  <c r="M12" i="79"/>
  <c r="L12" i="79"/>
  <c r="K12" i="79"/>
  <c r="I12" i="79"/>
  <c r="AR11" i="79"/>
  <c r="AR12" i="79" s="1"/>
  <c r="AR13" i="79" s="1"/>
  <c r="AR14" i="79" s="1"/>
  <c r="AR15" i="79" s="1"/>
  <c r="AR16" i="79" s="1"/>
  <c r="AR17" i="79" s="1"/>
  <c r="AR18" i="79" s="1"/>
  <c r="AR19" i="79" s="1"/>
  <c r="AR20" i="79" s="1"/>
  <c r="AR21" i="79" s="1"/>
  <c r="AR22" i="79" s="1"/>
  <c r="AR23" i="79" s="1"/>
  <c r="AR24" i="79" s="1"/>
  <c r="AD11" i="79"/>
  <c r="AC11" i="79"/>
  <c r="AB11" i="79"/>
  <c r="AB3" i="79" s="1"/>
  <c r="AA11" i="79"/>
  <c r="AA3" i="79" s="1"/>
  <c r="AD3" i="79" s="1"/>
  <c r="Z11" i="79"/>
  <c r="Z3" i="79" s="1"/>
  <c r="Y11" i="79"/>
  <c r="P11" i="79"/>
  <c r="O11" i="79"/>
  <c r="N11" i="79"/>
  <c r="M11" i="79"/>
  <c r="L11" i="79"/>
  <c r="K11" i="79"/>
  <c r="I11" i="79"/>
  <c r="AD10" i="79"/>
  <c r="AC10" i="79"/>
  <c r="AB10" i="79"/>
  <c r="AA10" i="79"/>
  <c r="Z10" i="79"/>
  <c r="Y10" i="79"/>
  <c r="P10" i="79"/>
  <c r="O10" i="79"/>
  <c r="N10" i="79"/>
  <c r="M10" i="79"/>
  <c r="L10" i="79"/>
  <c r="K10" i="79"/>
  <c r="I10" i="79"/>
  <c r="AP9" i="79"/>
  <c r="AP10" i="79" s="1"/>
  <c r="AP11" i="79" s="1"/>
  <c r="AP12" i="79" s="1"/>
  <c r="AG9" i="79"/>
  <c r="AD9" i="79"/>
  <c r="AC9" i="79"/>
  <c r="AB9" i="79"/>
  <c r="AA9" i="79"/>
  <c r="Z9" i="79"/>
  <c r="Y9" i="79"/>
  <c r="S9" i="79"/>
  <c r="P9" i="79"/>
  <c r="O9" i="79"/>
  <c r="N9" i="79"/>
  <c r="M9" i="79"/>
  <c r="L9" i="79"/>
  <c r="K9" i="79"/>
  <c r="I9" i="79"/>
  <c r="AP8"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O8" i="79"/>
  <c r="N8" i="79"/>
  <c r="U8" i="79" s="1"/>
  <c r="AI8" i="79" s="1"/>
  <c r="M8" i="79"/>
  <c r="L8" i="79"/>
  <c r="K8" i="79"/>
  <c r="I8" i="79"/>
  <c r="AR7" i="79"/>
  <c r="AR8" i="79" s="1"/>
  <c r="AR9" i="79" s="1"/>
  <c r="AR10" i="79" s="1"/>
  <c r="AP7" i="79"/>
  <c r="AO7" i="79"/>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U7" i="79"/>
  <c r="AI7" i="79" s="1"/>
  <c r="P7" i="79"/>
  <c r="O7" i="79"/>
  <c r="N7" i="79"/>
  <c r="M7" i="79"/>
  <c r="T7" i="79" s="1"/>
  <c r="L7" i="79"/>
  <c r="S7" i="79" s="1"/>
  <c r="AG7" i="79" s="1"/>
  <c r="K7" i="79"/>
  <c r="I7" i="79"/>
  <c r="AR6" i="79"/>
  <c r="AQ6" i="79"/>
  <c r="AQ7" i="79" s="1"/>
  <c r="AQ8" i="79" s="1"/>
  <c r="AQ9" i="79" s="1"/>
  <c r="AQ10" i="79" s="1"/>
  <c r="AQ11" i="79" s="1"/>
  <c r="AQ12" i="79" s="1"/>
  <c r="AQ13" i="79" s="1"/>
  <c r="AQ14" i="79" s="1"/>
  <c r="AP6" i="79"/>
  <c r="AO6" i="79"/>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P6" i="79"/>
  <c r="O6" i="79"/>
  <c r="N6" i="79"/>
  <c r="M6" i="79"/>
  <c r="L6" i="79"/>
  <c r="S6" i="79" s="1"/>
  <c r="AG6" i="79" s="1"/>
  <c r="K6" i="79"/>
  <c r="I6" i="79"/>
  <c r="AD5" i="79"/>
  <c r="AC5" i="79"/>
  <c r="AB5" i="79"/>
  <c r="AA5" i="79"/>
  <c r="Z5" i="79"/>
  <c r="Y5" i="79"/>
  <c r="U5" i="79"/>
  <c r="AI5" i="79" s="1"/>
  <c r="P5" i="79"/>
  <c r="O5" i="79"/>
  <c r="N5" i="79"/>
  <c r="M5" i="79"/>
  <c r="T5" i="79" s="1"/>
  <c r="L5" i="79"/>
  <c r="K5" i="79"/>
  <c r="I5" i="79"/>
  <c r="K3" i="79"/>
  <c r="H3" i="79"/>
  <c r="G3" i="79"/>
  <c r="F3" i="79"/>
  <c r="I3" i="79" s="1"/>
  <c r="E3" i="79"/>
  <c r="D3" i="79"/>
  <c r="C40" i="11"/>
  <c r="F38" i="11"/>
  <c r="E37" i="11"/>
  <c r="F36" i="11"/>
  <c r="F35" i="11"/>
  <c r="F21" i="11"/>
  <c r="C21" i="1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c r="D99" i="43"/>
  <c r="M98" i="43"/>
  <c r="N98" i="43" s="1"/>
  <c r="K98" i="43"/>
  <c r="J98" i="43"/>
  <c r="D98" i="43"/>
  <c r="M97" i="43"/>
  <c r="N97" i="43" s="1"/>
  <c r="K97" i="43"/>
  <c r="J97" i="43" s="1"/>
  <c r="D97" i="43"/>
  <c r="N96" i="43"/>
  <c r="M96" i="43"/>
  <c r="K96" i="43"/>
  <c r="J96" i="43"/>
  <c r="D96" i="43"/>
  <c r="M95" i="43"/>
  <c r="N95" i="43" s="1"/>
  <c r="K95" i="43"/>
  <c r="J95" i="43"/>
  <c r="D95" i="43"/>
  <c r="B95" i="43"/>
  <c r="M94" i="43"/>
  <c r="N94" i="43" s="1"/>
  <c r="K94" i="43"/>
  <c r="J94" i="43"/>
  <c r="D94" i="43"/>
  <c r="M93" i="43"/>
  <c r="N93" i="43" s="1"/>
  <c r="K93" i="43"/>
  <c r="J93" i="43"/>
  <c r="F93" i="43"/>
  <c r="H98" i="43" s="1"/>
  <c r="D93" i="43"/>
  <c r="M90" i="43"/>
  <c r="N90" i="43" s="1"/>
  <c r="K90" i="43"/>
  <c r="J90" i="43"/>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M83" i="43"/>
  <c r="N83" i="43" s="1"/>
  <c r="K83" i="43"/>
  <c r="J83" i="43" s="1"/>
  <c r="F83" i="43"/>
  <c r="H85" i="43" s="1"/>
  <c r="D83" i="43"/>
  <c r="M80" i="43"/>
  <c r="N80" i="43" s="1"/>
  <c r="K80" i="43"/>
  <c r="J80" i="43"/>
  <c r="D80" i="43"/>
  <c r="N79" i="43"/>
  <c r="M79" i="43"/>
  <c r="K79" i="43"/>
  <c r="J79" i="43"/>
  <c r="D79" i="43"/>
  <c r="M78" i="43"/>
  <c r="N78" i="43" s="1"/>
  <c r="K78" i="43"/>
  <c r="J78" i="43" s="1"/>
  <c r="D78" i="43"/>
  <c r="M77" i="43"/>
  <c r="N77" i="43" s="1"/>
  <c r="K77" i="43"/>
  <c r="J77" i="43"/>
  <c r="D77" i="43"/>
  <c r="M76" i="43"/>
  <c r="N76" i="43" s="1"/>
  <c r="K76" i="43"/>
  <c r="J76" i="43"/>
  <c r="D76" i="43"/>
  <c r="M75" i="43"/>
  <c r="N75" i="43" s="1"/>
  <c r="K75" i="43"/>
  <c r="J75" i="43"/>
  <c r="D75" i="43"/>
  <c r="M74" i="43"/>
  <c r="N74" i="43" s="1"/>
  <c r="K74" i="43"/>
  <c r="J74" i="43"/>
  <c r="D74" i="43"/>
  <c r="B74" i="43"/>
  <c r="M73" i="43"/>
  <c r="N73" i="43" s="1"/>
  <c r="K73" i="43"/>
  <c r="J73" i="43"/>
  <c r="D73" i="43"/>
  <c r="M72" i="43"/>
  <c r="N72" i="43" s="1"/>
  <c r="K72" i="43"/>
  <c r="J72" i="43"/>
  <c r="F72" i="43"/>
  <c r="H80" i="43" s="1"/>
  <c r="D72" i="43"/>
  <c r="E72" i="43" s="1"/>
  <c r="B70" i="43" s="1"/>
  <c r="M69" i="43"/>
  <c r="N69" i="43" s="1"/>
  <c r="K69" i="43"/>
  <c r="J69" i="43" s="1"/>
  <c r="D69" i="43"/>
  <c r="M68" i="43"/>
  <c r="N68" i="43" s="1"/>
  <c r="K68" i="43"/>
  <c r="J68" i="43"/>
  <c r="D68" i="43" s="1"/>
  <c r="M67" i="43"/>
  <c r="N67" i="43" s="1"/>
  <c r="K67" i="43"/>
  <c r="J67" i="43" s="1"/>
  <c r="D67" i="43"/>
  <c r="N66" i="43"/>
  <c r="M66" i="43"/>
  <c r="K66" i="43"/>
  <c r="J66" i="43"/>
  <c r="D66" i="43"/>
  <c r="M65" i="43"/>
  <c r="N65" i="43" s="1"/>
  <c r="K65" i="43"/>
  <c r="J65" i="43"/>
  <c r="D65" i="43"/>
  <c r="M64" i="43"/>
  <c r="N64" i="43" s="1"/>
  <c r="K64" i="43"/>
  <c r="J64" i="43"/>
  <c r="D64" i="43"/>
  <c r="N63" i="43"/>
  <c r="M63" i="43"/>
  <c r="K63" i="43"/>
  <c r="D63" i="43" s="1"/>
  <c r="J63" i="43"/>
  <c r="B63" i="43"/>
  <c r="M62" i="43"/>
  <c r="N62" i="43" s="1"/>
  <c r="K62" i="43"/>
  <c r="J62" i="43" s="1"/>
  <c r="M61" i="43"/>
  <c r="N61" i="43" s="1"/>
  <c r="K61" i="43"/>
  <c r="J61" i="43" s="1"/>
  <c r="D61" i="43"/>
  <c r="B52" i="43"/>
  <c r="B50" i="43"/>
  <c r="H42" i="43"/>
  <c r="H41" i="43"/>
  <c r="H40" i="43"/>
  <c r="H39" i="43"/>
  <c r="H38" i="43"/>
  <c r="H37" i="43"/>
  <c r="Q32" i="43"/>
  <c r="P32" i="43"/>
  <c r="O32" i="43"/>
  <c r="M32" i="43"/>
  <c r="J24" i="43"/>
  <c r="G24" i="43"/>
  <c r="E24" i="43"/>
  <c r="N32" i="43" s="1"/>
  <c r="I23" i="43"/>
  <c r="C22"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C9" i="43"/>
  <c r="G3" i="43"/>
  <c r="I2" i="43"/>
  <c r="N11"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s="1"/>
  <c r="J12" i="31"/>
  <c r="K12" i="31" s="1"/>
  <c r="L12" i="31" s="1"/>
  <c r="M12" i="31" s="1"/>
  <c r="N12" i="31" s="1"/>
  <c r="O12" i="31" s="1"/>
  <c r="P12" i="31" s="1"/>
  <c r="Q12" i="31" s="1"/>
  <c r="F12" i="31"/>
  <c r="G12" i="31" s="1"/>
  <c r="H12" i="31" s="1"/>
  <c r="I12" i="31" s="1"/>
  <c r="E12" i="31"/>
  <c r="D12" i="31"/>
  <c r="H10" i="31"/>
  <c r="I10" i="31" s="1"/>
  <c r="J10" i="31" s="1"/>
  <c r="K10" i="31" s="1"/>
  <c r="L10" i="31" s="1"/>
  <c r="M10" i="31" s="1"/>
  <c r="N10" i="31" s="1"/>
  <c r="O10" i="31" s="1"/>
  <c r="P10" i="31" s="1"/>
  <c r="Q10" i="31" s="1"/>
  <c r="R10" i="31" s="1"/>
  <c r="S10" i="31" s="1"/>
  <c r="D10" i="31"/>
  <c r="E10" i="31" s="1"/>
  <c r="F10" i="31" s="1"/>
  <c r="G10" i="31" s="1"/>
  <c r="J8" i="31"/>
  <c r="K8" i="31" s="1"/>
  <c r="L8" i="31" s="1"/>
  <c r="M8" i="31" s="1"/>
  <c r="N8" i="31" s="1"/>
  <c r="O8" i="31" s="1"/>
  <c r="P8" i="31" s="1"/>
  <c r="Q8" i="31" s="1"/>
  <c r="R8" i="31" s="1"/>
  <c r="S8" i="31" s="1"/>
  <c r="I8" i="31"/>
  <c r="D8" i="31"/>
  <c r="E8" i="31" s="1"/>
  <c r="F8" i="31" s="1"/>
  <c r="G8" i="31" s="1"/>
  <c r="H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115" i="40"/>
  <c r="I115" i="40" s="1"/>
  <c r="J115" i="40" s="1"/>
  <c r="K115" i="40" s="1"/>
  <c r="L115" i="40" s="1"/>
  <c r="M115" i="40" s="1"/>
  <c r="G115" i="40"/>
  <c r="D115" i="40"/>
  <c r="E115" i="40" s="1"/>
  <c r="F115" i="40" s="1"/>
  <c r="I113" i="40"/>
  <c r="J113" i="40" s="1"/>
  <c r="K113" i="40" s="1"/>
  <c r="L113" i="40" s="1"/>
  <c r="M113" i="40" s="1"/>
  <c r="D113" i="40"/>
  <c r="E113" i="40" s="1"/>
  <c r="F113" i="40" s="1"/>
  <c r="G113" i="40" s="1"/>
  <c r="H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F33" i="40" s="1"/>
  <c r="B103" i="40"/>
  <c r="J32" i="40" s="1"/>
  <c r="W32" i="40" s="1"/>
  <c r="B101" i="40"/>
  <c r="J31" i="40" s="1"/>
  <c r="L100" i="40"/>
  <c r="M100" i="40" s="1"/>
  <c r="G100" i="40"/>
  <c r="H100" i="40" s="1"/>
  <c r="I100" i="40" s="1"/>
  <c r="J100" i="40" s="1"/>
  <c r="K100" i="40" s="1"/>
  <c r="D100" i="40"/>
  <c r="E100" i="40" s="1"/>
  <c r="F100" i="40" s="1"/>
  <c r="H98" i="40"/>
  <c r="I98" i="40" s="1"/>
  <c r="J98" i="40" s="1"/>
  <c r="K98" i="40" s="1"/>
  <c r="L98" i="40" s="1"/>
  <c r="M98" i="40" s="1"/>
  <c r="D98" i="40"/>
  <c r="E98" i="40" s="1"/>
  <c r="F98" i="40" s="1"/>
  <c r="G98" i="40" s="1"/>
  <c r="F96" i="40"/>
  <c r="G96" i="40" s="1"/>
  <c r="H96" i="40" s="1"/>
  <c r="I96" i="40" s="1"/>
  <c r="J96" i="40" s="1"/>
  <c r="K96" i="40" s="1"/>
  <c r="L96" i="40" s="1"/>
  <c r="M96" i="40" s="1"/>
  <c r="D96" i="40"/>
  <c r="E96" i="40" s="1"/>
  <c r="B95" i="40"/>
  <c r="E94" i="40"/>
  <c r="F94" i="40" s="1"/>
  <c r="G94" i="40" s="1"/>
  <c r="D94" i="40"/>
  <c r="D92" i="40"/>
  <c r="E92" i="40" s="1"/>
  <c r="F92" i="40" s="1"/>
  <c r="G92" i="40" s="1"/>
  <c r="E90" i="40"/>
  <c r="F90" i="40" s="1"/>
  <c r="G90" i="40" s="1"/>
  <c r="D90" i="40"/>
  <c r="D88" i="40"/>
  <c r="E88" i="40" s="1"/>
  <c r="F88" i="40" s="1"/>
  <c r="G88" i="40" s="1"/>
  <c r="G86" i="40"/>
  <c r="E86" i="40"/>
  <c r="F86" i="40" s="1"/>
  <c r="D86" i="40"/>
  <c r="G84" i="40"/>
  <c r="E84" i="40"/>
  <c r="F84" i="40" s="1"/>
  <c r="D84" i="40"/>
  <c r="B81" i="40"/>
  <c r="F14" i="40" s="1"/>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AC40" i="40"/>
  <c r="AB40" i="40"/>
  <c r="Q40" i="40"/>
  <c r="Z40" i="40" s="1"/>
  <c r="J40" i="40"/>
  <c r="W40" i="40" s="1"/>
  <c r="H40" i="40"/>
  <c r="U40" i="40" s="1"/>
  <c r="F40" i="40"/>
  <c r="AA40" i="40" s="1"/>
  <c r="Q39" i="40"/>
  <c r="Z39" i="40" s="1"/>
  <c r="H39" i="40"/>
  <c r="Z38" i="40"/>
  <c r="Q38" i="40"/>
  <c r="AB37" i="40"/>
  <c r="Q37" i="40"/>
  <c r="Z37" i="40" s="1"/>
  <c r="J37" i="40"/>
  <c r="H37" i="40"/>
  <c r="U37" i="40" s="1"/>
  <c r="F37" i="40"/>
  <c r="AA37" i="40" s="1"/>
  <c r="AC36" i="40"/>
  <c r="AB36" i="40"/>
  <c r="Q36" i="40"/>
  <c r="Z36" i="40" s="1"/>
  <c r="J36" i="40"/>
  <c r="W36" i="40" s="1"/>
  <c r="H36" i="40"/>
  <c r="U36" i="40" s="1"/>
  <c r="F36" i="40"/>
  <c r="AA36" i="40" s="1"/>
  <c r="AB35" i="40"/>
  <c r="Z35" i="40"/>
  <c r="Q35" i="40"/>
  <c r="J35" i="40"/>
  <c r="AC35" i="40" s="1"/>
  <c r="H35" i="40"/>
  <c r="U35" i="40" s="1"/>
  <c r="F35" i="40"/>
  <c r="AA35" i="40" s="1"/>
  <c r="AA34" i="40"/>
  <c r="Q34" i="40"/>
  <c r="Z34" i="40" s="1"/>
  <c r="J34" i="40"/>
  <c r="H34" i="40"/>
  <c r="AB34" i="40" s="1"/>
  <c r="F34" i="40"/>
  <c r="S34" i="40" s="1"/>
  <c r="AB33" i="40"/>
  <c r="U33" i="40"/>
  <c r="Q33" i="40"/>
  <c r="Z33" i="40" s="1"/>
  <c r="J33" i="40"/>
  <c r="W33" i="40" s="1"/>
  <c r="H33" i="40"/>
  <c r="AC32" i="40"/>
  <c r="Q32" i="40"/>
  <c r="Z32" i="40" s="1"/>
  <c r="H32" i="40"/>
  <c r="U32" i="40" s="1"/>
  <c r="Z31" i="40"/>
  <c r="Q31" i="40"/>
  <c r="Z30" i="40"/>
  <c r="Q30" i="40"/>
  <c r="C30" i="40"/>
  <c r="AA28" i="40"/>
  <c r="W28" i="40"/>
  <c r="Q28" i="40"/>
  <c r="Z28" i="40" s="1"/>
  <c r="J28" i="40"/>
  <c r="AC28" i="40" s="1"/>
  <c r="H28" i="40"/>
  <c r="AB28" i="40" s="1"/>
  <c r="F28" i="40"/>
  <c r="S28" i="40" s="1"/>
  <c r="C28" i="40"/>
  <c r="S27" i="40"/>
  <c r="Q27" i="40"/>
  <c r="Z27" i="40" s="1"/>
  <c r="F27" i="40"/>
  <c r="AA27" i="40" s="1"/>
  <c r="AC25" i="40"/>
  <c r="AB25" i="40"/>
  <c r="W25" i="40"/>
  <c r="U25" i="40"/>
  <c r="Q25" i="40"/>
  <c r="Z25" i="40" s="1"/>
  <c r="J25" i="40"/>
  <c r="H25" i="40"/>
  <c r="F25" i="40"/>
  <c r="AA25" i="40" s="1"/>
  <c r="AB23" i="40"/>
  <c r="Q23" i="40"/>
  <c r="Z23" i="40" s="1"/>
  <c r="J23" i="40"/>
  <c r="H23" i="40"/>
  <c r="U23" i="40" s="1"/>
  <c r="F23" i="40"/>
  <c r="AA23" i="40" s="1"/>
  <c r="AC21" i="40"/>
  <c r="W21" i="40"/>
  <c r="U21" i="40"/>
  <c r="Q21" i="40"/>
  <c r="Z21" i="40" s="1"/>
  <c r="J21" i="40"/>
  <c r="H21" i="40"/>
  <c r="AB21" i="40" s="1"/>
  <c r="F21" i="40"/>
  <c r="AA21" i="40" s="1"/>
  <c r="W19" i="40"/>
  <c r="Q19" i="40"/>
  <c r="Z19" i="40" s="1"/>
  <c r="J19" i="40"/>
  <c r="AC19" i="40" s="1"/>
  <c r="H19" i="40"/>
  <c r="U19" i="40" s="1"/>
  <c r="F19" i="40"/>
  <c r="AA19" i="40" s="1"/>
  <c r="C19" i="40"/>
  <c r="AC17" i="40"/>
  <c r="W17" i="40"/>
  <c r="U17" i="40"/>
  <c r="Q17" i="40"/>
  <c r="Z17" i="40" s="1"/>
  <c r="J17" i="40"/>
  <c r="H17" i="40"/>
  <c r="AB17" i="40" s="1"/>
  <c r="F17" i="40"/>
  <c r="AA17" i="40" s="1"/>
  <c r="Z15" i="40"/>
  <c r="W15" i="40"/>
  <c r="Q15" i="40"/>
  <c r="J15" i="40"/>
  <c r="AC15" i="40" s="1"/>
  <c r="H15" i="40"/>
  <c r="F15" i="40"/>
  <c r="AA15" i="40" s="1"/>
  <c r="AC14" i="40"/>
  <c r="W14" i="40"/>
  <c r="Q14" i="40"/>
  <c r="Z14" i="40" s="1"/>
  <c r="J14" i="40"/>
  <c r="H14" i="40"/>
  <c r="U14" i="40" s="1"/>
  <c r="W13" i="40"/>
  <c r="Q13" i="40"/>
  <c r="Z13" i="40" s="1"/>
  <c r="J13" i="40"/>
  <c r="AC13" i="40" s="1"/>
  <c r="H13" i="40"/>
  <c r="F13" i="40"/>
  <c r="AA13" i="40" s="1"/>
  <c r="Z12" i="40"/>
  <c r="Q12" i="40"/>
  <c r="F12" i="40"/>
  <c r="AA11" i="40"/>
  <c r="Q11" i="40"/>
  <c r="Z11" i="40" s="1"/>
  <c r="J11" i="40"/>
  <c r="H11" i="40"/>
  <c r="AB11" i="40" s="1"/>
  <c r="F11" i="40"/>
  <c r="S11" i="40" s="1"/>
  <c r="Q10" i="40"/>
  <c r="Z10" i="40" s="1"/>
  <c r="Z9" i="40"/>
  <c r="Q9" i="40"/>
  <c r="J9" i="40"/>
  <c r="AC9" i="40" s="1"/>
  <c r="H9" i="40"/>
  <c r="AB9" i="40" s="1"/>
  <c r="F9" i="40"/>
  <c r="AA9" i="40" s="1"/>
  <c r="W8" i="40"/>
  <c r="U8" i="40"/>
  <c r="J8" i="40"/>
  <c r="AC8" i="40" s="1"/>
  <c r="H8" i="40"/>
  <c r="AB8" i="40" s="1"/>
  <c r="F8" i="40"/>
  <c r="S8" i="40" s="1"/>
  <c r="B130" i="39"/>
  <c r="B128" i="39"/>
  <c r="B126" i="39"/>
  <c r="K125" i="39"/>
  <c r="L125" i="39" s="1"/>
  <c r="M125" i="39" s="1"/>
  <c r="I125" i="39"/>
  <c r="J125" i="39" s="1"/>
  <c r="F125" i="39"/>
  <c r="G125" i="39" s="1"/>
  <c r="H125" i="39" s="1"/>
  <c r="E125" i="39"/>
  <c r="D125" i="39"/>
  <c r="D123" i="39"/>
  <c r="E123" i="39" s="1"/>
  <c r="F123" i="39" s="1"/>
  <c r="G123" i="39" s="1"/>
  <c r="H123" i="39" s="1"/>
  <c r="I123" i="39" s="1"/>
  <c r="J123" i="39" s="1"/>
  <c r="K123" i="39" s="1"/>
  <c r="L123" i="39" s="1"/>
  <c r="M123" i="39" s="1"/>
  <c r="M121" i="39"/>
  <c r="K121" i="39"/>
  <c r="L121" i="39" s="1"/>
  <c r="F121" i="39"/>
  <c r="G121" i="39" s="1"/>
  <c r="H121" i="39" s="1"/>
  <c r="I121" i="39" s="1"/>
  <c r="J121" i="39" s="1"/>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E106" i="39"/>
  <c r="F106" i="39" s="1"/>
  <c r="G106" i="39" s="1"/>
  <c r="H106" i="39" s="1"/>
  <c r="I106" i="39" s="1"/>
  <c r="J106" i="39" s="1"/>
  <c r="K106" i="39" s="1"/>
  <c r="L106" i="39" s="1"/>
  <c r="M106" i="39" s="1"/>
  <c r="D106" i="39"/>
  <c r="D104" i="39"/>
  <c r="E104" i="39" s="1"/>
  <c r="F104" i="39" s="1"/>
  <c r="G104" i="39" s="1"/>
  <c r="H104" i="39" s="1"/>
  <c r="I104" i="39" s="1"/>
  <c r="J104" i="39" s="1"/>
  <c r="K104" i="39" s="1"/>
  <c r="L104" i="39" s="1"/>
  <c r="M104" i="39" s="1"/>
  <c r="B103" i="39"/>
  <c r="D102" i="39"/>
  <c r="E102" i="39" s="1"/>
  <c r="F102" i="39" s="1"/>
  <c r="G102" i="39" s="1"/>
  <c r="E100" i="39"/>
  <c r="F100" i="39" s="1"/>
  <c r="G100" i="39" s="1"/>
  <c r="D100" i="39"/>
  <c r="D98" i="39"/>
  <c r="E98" i="39" s="1"/>
  <c r="F98" i="39" s="1"/>
  <c r="G98" i="39" s="1"/>
  <c r="F96" i="39"/>
  <c r="G96" i="39" s="1"/>
  <c r="E96" i="39"/>
  <c r="D96" i="39"/>
  <c r="F94" i="39"/>
  <c r="G94" i="39" s="1"/>
  <c r="E94" i="39"/>
  <c r="D94" i="39"/>
  <c r="D92" i="39"/>
  <c r="E92" i="39" s="1"/>
  <c r="F92" i="39" s="1"/>
  <c r="G92" i="39" s="1"/>
  <c r="F90" i="39"/>
  <c r="G90" i="39" s="1"/>
  <c r="D90" i="39"/>
  <c r="E90" i="39" s="1"/>
  <c r="E88" i="39"/>
  <c r="F88" i="39" s="1"/>
  <c r="G88" i="39" s="1"/>
  <c r="D88" i="39"/>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H53" i="39"/>
  <c r="G53" i="39"/>
  <c r="E53" i="39"/>
  <c r="F53" i="39" s="1"/>
  <c r="P48" i="39"/>
  <c r="P47" i="39"/>
  <c r="K47" i="39"/>
  <c r="V46" i="39"/>
  <c r="T46" i="39"/>
  <c r="R46" i="39"/>
  <c r="P46" i="39"/>
  <c r="AC45" i="39"/>
  <c r="W45" i="39"/>
  <c r="Q45" i="39"/>
  <c r="Z45" i="39" s="1"/>
  <c r="J45" i="39"/>
  <c r="H45" i="39"/>
  <c r="U45" i="39" s="1"/>
  <c r="F45" i="39"/>
  <c r="AA45" i="39" s="1"/>
  <c r="AA44" i="39"/>
  <c r="Q44" i="39"/>
  <c r="Z44" i="39" s="1"/>
  <c r="J44" i="39"/>
  <c r="AC44" i="39" s="1"/>
  <c r="H44" i="39"/>
  <c r="F44" i="39"/>
  <c r="S44" i="39" s="1"/>
  <c r="Z43" i="39"/>
  <c r="Q43" i="39"/>
  <c r="H43" i="39"/>
  <c r="AC42" i="39"/>
  <c r="Q42" i="39"/>
  <c r="Z42" i="39" s="1"/>
  <c r="J42" i="39"/>
  <c r="W42" i="39" s="1"/>
  <c r="H42" i="39"/>
  <c r="AB42" i="39" s="1"/>
  <c r="F42" i="39"/>
  <c r="AA42" i="39" s="1"/>
  <c r="AC41" i="39"/>
  <c r="W41" i="39"/>
  <c r="U41" i="39"/>
  <c r="Q41" i="39"/>
  <c r="Z41" i="39" s="1"/>
  <c r="J41" i="39"/>
  <c r="H41" i="39"/>
  <c r="AB41" i="39" s="1"/>
  <c r="F41" i="39"/>
  <c r="AA41" i="39" s="1"/>
  <c r="AC40" i="39"/>
  <c r="Z40" i="39"/>
  <c r="W40" i="39"/>
  <c r="Q40" i="39"/>
  <c r="J40" i="39"/>
  <c r="H40" i="39"/>
  <c r="AB40" i="39" s="1"/>
  <c r="F40" i="39"/>
  <c r="AA40" i="39" s="1"/>
  <c r="Z39" i="39"/>
  <c r="W39" i="39"/>
  <c r="Q39" i="39"/>
  <c r="J39" i="39"/>
  <c r="AC39" i="39" s="1"/>
  <c r="H39" i="39"/>
  <c r="F39" i="39"/>
  <c r="AA39" i="39" s="1"/>
  <c r="AC38" i="39"/>
  <c r="AB38" i="39"/>
  <c r="Q38" i="39"/>
  <c r="Z38" i="39" s="1"/>
  <c r="J38" i="39"/>
  <c r="W38" i="39" s="1"/>
  <c r="H38" i="39"/>
  <c r="U38" i="39" s="1"/>
  <c r="F38" i="39"/>
  <c r="AA38" i="39" s="1"/>
  <c r="Z37" i="39"/>
  <c r="Q37" i="39"/>
  <c r="Z36" i="39"/>
  <c r="Q36" i="39"/>
  <c r="F36" i="39"/>
  <c r="AC35" i="39"/>
  <c r="Z35" i="39"/>
  <c r="W35" i="39"/>
  <c r="U35" i="39"/>
  <c r="Q35" i="39"/>
  <c r="J35" i="39"/>
  <c r="H35" i="39"/>
  <c r="AB35" i="39" s="1"/>
  <c r="F35" i="39"/>
  <c r="AA35" i="39" s="1"/>
  <c r="AB34" i="39"/>
  <c r="AA34" i="39"/>
  <c r="W34" i="39"/>
  <c r="Q34" i="39"/>
  <c r="Z34" i="39" s="1"/>
  <c r="J34" i="39"/>
  <c r="AC34" i="39" s="1"/>
  <c r="H34" i="39"/>
  <c r="U34" i="39" s="1"/>
  <c r="F34" i="39"/>
  <c r="S34" i="39" s="1"/>
  <c r="AB32" i="39"/>
  <c r="AA32" i="39"/>
  <c r="Q32" i="39"/>
  <c r="Z32" i="39" s="1"/>
  <c r="J32" i="39"/>
  <c r="AC32" i="39" s="1"/>
  <c r="H32" i="39"/>
  <c r="U32" i="39" s="1"/>
  <c r="F32" i="39"/>
  <c r="S32" i="39" s="1"/>
  <c r="AC31" i="39"/>
  <c r="Z31" i="39"/>
  <c r="W31" i="39"/>
  <c r="Q31" i="39"/>
  <c r="J31" i="39"/>
  <c r="H31" i="39"/>
  <c r="AB31" i="39" s="1"/>
  <c r="F31" i="39"/>
  <c r="AA31" i="39" s="1"/>
  <c r="Z29" i="39"/>
  <c r="W29" i="39"/>
  <c r="Q29" i="39"/>
  <c r="J29" i="39"/>
  <c r="AC29" i="39" s="1"/>
  <c r="H29" i="39"/>
  <c r="F29" i="39"/>
  <c r="AA29" i="39" s="1"/>
  <c r="AC27" i="39"/>
  <c r="AB27" i="39"/>
  <c r="W27" i="39"/>
  <c r="U27" i="39"/>
  <c r="Q27" i="39"/>
  <c r="Z27" i="39" s="1"/>
  <c r="J27" i="39"/>
  <c r="H27" i="39"/>
  <c r="F27" i="39"/>
  <c r="AA27" i="39" s="1"/>
  <c r="Z25" i="39"/>
  <c r="W25" i="39"/>
  <c r="Q25" i="39"/>
  <c r="J25" i="39"/>
  <c r="AC25" i="39" s="1"/>
  <c r="H25" i="39"/>
  <c r="F25" i="39"/>
  <c r="AA25" i="39" s="1"/>
  <c r="AC23" i="39"/>
  <c r="AB23" i="39"/>
  <c r="W23" i="39"/>
  <c r="U23" i="39"/>
  <c r="Q23" i="39"/>
  <c r="Z23" i="39" s="1"/>
  <c r="J23" i="39"/>
  <c r="H23" i="39"/>
  <c r="F23" i="39"/>
  <c r="AA23" i="39" s="1"/>
  <c r="C23" i="39"/>
  <c r="Z21" i="39"/>
  <c r="Q21" i="39"/>
  <c r="J21" i="39"/>
  <c r="H21" i="39"/>
  <c r="F21" i="39"/>
  <c r="AA21" i="39" s="1"/>
  <c r="AC19" i="39"/>
  <c r="AB19" i="39"/>
  <c r="W19" i="39"/>
  <c r="U19" i="39"/>
  <c r="Q19" i="39"/>
  <c r="Z19" i="39" s="1"/>
  <c r="J19" i="39"/>
  <c r="H19" i="39"/>
  <c r="F19" i="39"/>
  <c r="AA19" i="39" s="1"/>
  <c r="Z17" i="39"/>
  <c r="Q17" i="39"/>
  <c r="J17" i="39"/>
  <c r="AC17" i="39" s="1"/>
  <c r="H17" i="39"/>
  <c r="F17" i="39"/>
  <c r="AA17" i="39" s="1"/>
  <c r="AC15" i="39"/>
  <c r="AB15" i="39"/>
  <c r="W15" i="39"/>
  <c r="U15" i="39"/>
  <c r="Q15" i="39"/>
  <c r="Z15" i="39" s="1"/>
  <c r="J15" i="39"/>
  <c r="H15" i="39"/>
  <c r="F15" i="39"/>
  <c r="AA15" i="39" s="1"/>
  <c r="Z14" i="39"/>
  <c r="W14" i="39"/>
  <c r="Q14" i="39"/>
  <c r="J14" i="39"/>
  <c r="AC14" i="39" s="1"/>
  <c r="H14" i="39"/>
  <c r="F14" i="39"/>
  <c r="AA14" i="39" s="1"/>
  <c r="AC13" i="39"/>
  <c r="AB13" i="39"/>
  <c r="Q13" i="39"/>
  <c r="Z13" i="39" s="1"/>
  <c r="J13" i="39"/>
  <c r="W13" i="39" s="1"/>
  <c r="H13" i="39"/>
  <c r="U13" i="39" s="1"/>
  <c r="F13" i="39"/>
  <c r="AA13" i="39" s="1"/>
  <c r="Z12" i="39"/>
  <c r="S12" i="39"/>
  <c r="Q12" i="39"/>
  <c r="F12" i="39"/>
  <c r="AA12" i="39" s="1"/>
  <c r="AC11" i="39"/>
  <c r="Z11" i="39"/>
  <c r="W11" i="39"/>
  <c r="Q11" i="39"/>
  <c r="J11" i="39"/>
  <c r="H11" i="39"/>
  <c r="AB11" i="39" s="1"/>
  <c r="F11" i="39"/>
  <c r="AA11" i="39" s="1"/>
  <c r="Q10" i="39"/>
  <c r="Z10" i="39" s="1"/>
  <c r="AB9" i="39"/>
  <c r="AA9" i="39"/>
  <c r="Q9" i="39"/>
  <c r="Z9" i="39" s="1"/>
  <c r="J9" i="39"/>
  <c r="AC9" i="39" s="1"/>
  <c r="H9" i="39"/>
  <c r="U9" i="39" s="1"/>
  <c r="F9" i="39"/>
  <c r="S9" i="39" s="1"/>
  <c r="AC8" i="39"/>
  <c r="U8" i="39"/>
  <c r="J8" i="39"/>
  <c r="W8" i="39" s="1"/>
  <c r="H8" i="39"/>
  <c r="AB8" i="39" s="1"/>
  <c r="F8" i="39"/>
  <c r="S8" i="39" s="1"/>
  <c r="B95" i="36"/>
  <c r="B93" i="36"/>
  <c r="B91" i="36"/>
  <c r="F32" i="36" s="1"/>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D70" i="36"/>
  <c r="D68" i="36"/>
  <c r="E68" i="36" s="1"/>
  <c r="F68" i="36" s="1"/>
  <c r="G68" i="36" s="1"/>
  <c r="D66" i="36"/>
  <c r="E66" i="36" s="1"/>
  <c r="F66" i="36" s="1"/>
  <c r="G66" i="36" s="1"/>
  <c r="G64" i="36"/>
  <c r="E64" i="36"/>
  <c r="F64" i="36" s="1"/>
  <c r="D64" i="36"/>
  <c r="E62" i="36"/>
  <c r="F62" i="36" s="1"/>
  <c r="G62" i="36" s="1"/>
  <c r="D62" i="36"/>
  <c r="B59" i="36"/>
  <c r="H13" i="36" s="1"/>
  <c r="B57" i="36"/>
  <c r="B55" i="36"/>
  <c r="C51" i="36"/>
  <c r="J42" i="36"/>
  <c r="I42" i="36"/>
  <c r="H42" i="36"/>
  <c r="G42" i="36"/>
  <c r="F42" i="36"/>
  <c r="E42" i="36"/>
  <c r="P37" i="36"/>
  <c r="P36" i="36"/>
  <c r="K36" i="36"/>
  <c r="V35" i="36"/>
  <c r="T35" i="36"/>
  <c r="R35" i="36"/>
  <c r="P35" i="36"/>
  <c r="AB34" i="36"/>
  <c r="AA34" i="36"/>
  <c r="Z34" i="36"/>
  <c r="Q34" i="36"/>
  <c r="J34" i="36"/>
  <c r="AC34" i="36" s="1"/>
  <c r="H34" i="36"/>
  <c r="U34" i="36" s="1"/>
  <c r="F34" i="36"/>
  <c r="S34" i="36" s="1"/>
  <c r="Q33" i="36"/>
  <c r="Z33" i="36" s="1"/>
  <c r="AC32" i="36"/>
  <c r="AB32" i="36"/>
  <c r="W32" i="36"/>
  <c r="U32" i="36"/>
  <c r="Q32" i="36"/>
  <c r="Z32" i="36" s="1"/>
  <c r="J32" i="36"/>
  <c r="H32" i="36"/>
  <c r="AC31" i="36"/>
  <c r="Q31" i="36"/>
  <c r="Z31" i="36" s="1"/>
  <c r="J31" i="36"/>
  <c r="W31" i="36" s="1"/>
  <c r="H31" i="36"/>
  <c r="AB31" i="36" s="1"/>
  <c r="F31" i="36"/>
  <c r="AA31" i="36" s="1"/>
  <c r="AA30" i="36"/>
  <c r="Z30" i="36"/>
  <c r="U30" i="36"/>
  <c r="Q30" i="36"/>
  <c r="J30" i="36"/>
  <c r="AC30" i="36" s="1"/>
  <c r="H30" i="36"/>
  <c r="AB30" i="36" s="1"/>
  <c r="F30" i="36"/>
  <c r="S30" i="36" s="1"/>
  <c r="AA29" i="36"/>
  <c r="Z29" i="36"/>
  <c r="Q29" i="36"/>
  <c r="J29" i="36"/>
  <c r="H29" i="36"/>
  <c r="AB29" i="36" s="1"/>
  <c r="F29" i="36"/>
  <c r="S29" i="36" s="1"/>
  <c r="AC28" i="36"/>
  <c r="AB28" i="36"/>
  <c r="W28" i="36"/>
  <c r="U28" i="36"/>
  <c r="Q28" i="36"/>
  <c r="Z28" i="36" s="1"/>
  <c r="J28" i="36"/>
  <c r="H28" i="36"/>
  <c r="F28" i="36"/>
  <c r="AA28" i="36" s="1"/>
  <c r="AA27" i="36"/>
  <c r="W27" i="36"/>
  <c r="Q27" i="36"/>
  <c r="Z27" i="36" s="1"/>
  <c r="J27" i="36"/>
  <c r="AC27" i="36" s="1"/>
  <c r="H27" i="36"/>
  <c r="F27" i="36"/>
  <c r="S27" i="36" s="1"/>
  <c r="AB26" i="36"/>
  <c r="AA26" i="36"/>
  <c r="Z26" i="36"/>
  <c r="Q26" i="36"/>
  <c r="J26" i="36"/>
  <c r="AC26" i="36" s="1"/>
  <c r="H26" i="36"/>
  <c r="U26" i="36" s="1"/>
  <c r="F26" i="36"/>
  <c r="S26" i="36" s="1"/>
  <c r="AC25" i="36"/>
  <c r="AA25" i="36"/>
  <c r="W25" i="36"/>
  <c r="S25" i="36"/>
  <c r="Q25" i="36"/>
  <c r="Z25" i="36" s="1"/>
  <c r="J25" i="36"/>
  <c r="F25" i="36"/>
  <c r="AC24" i="36"/>
  <c r="AB24" i="36"/>
  <c r="W24" i="36"/>
  <c r="U24" i="36"/>
  <c r="Q24" i="36"/>
  <c r="Z24" i="36" s="1"/>
  <c r="J24" i="36"/>
  <c r="H24" i="36"/>
  <c r="F24" i="36"/>
  <c r="AA24" i="36" s="1"/>
  <c r="Q23" i="36"/>
  <c r="Z23" i="36" s="1"/>
  <c r="J23" i="36"/>
  <c r="W23" i="36" s="1"/>
  <c r="AB22" i="36"/>
  <c r="AA22" i="36"/>
  <c r="Z22" i="36"/>
  <c r="Q22" i="36"/>
  <c r="J22" i="36"/>
  <c r="AC22" i="36" s="1"/>
  <c r="H22" i="36"/>
  <c r="U22" i="36" s="1"/>
  <c r="F22" i="36"/>
  <c r="S22" i="36" s="1"/>
  <c r="AC20" i="36"/>
  <c r="W20" i="36"/>
  <c r="Q20" i="36"/>
  <c r="Z20" i="36" s="1"/>
  <c r="J20" i="36"/>
  <c r="H20" i="36"/>
  <c r="AB20" i="36" s="1"/>
  <c r="F20" i="36"/>
  <c r="AA20" i="36" s="1"/>
  <c r="C20" i="36"/>
  <c r="AA18" i="36"/>
  <c r="Z18" i="36"/>
  <c r="W18" i="36"/>
  <c r="Q18" i="36"/>
  <c r="J18" i="36"/>
  <c r="AC18" i="36" s="1"/>
  <c r="H18" i="36"/>
  <c r="AB18" i="36" s="1"/>
  <c r="F18" i="36"/>
  <c r="S18" i="36" s="1"/>
  <c r="C18" i="36"/>
  <c r="AC16" i="36"/>
  <c r="AA16" i="36"/>
  <c r="W16" i="36"/>
  <c r="Q16" i="36"/>
  <c r="Z16" i="36" s="1"/>
  <c r="J16" i="36"/>
  <c r="H16" i="36"/>
  <c r="AB16" i="36" s="1"/>
  <c r="F16" i="36"/>
  <c r="S16" i="36" s="1"/>
  <c r="C16" i="36"/>
  <c r="AA14" i="36"/>
  <c r="Z14" i="36"/>
  <c r="Q14" i="36"/>
  <c r="J14" i="36"/>
  <c r="AC14" i="36" s="1"/>
  <c r="H14" i="36"/>
  <c r="AB14" i="36" s="1"/>
  <c r="F14" i="36"/>
  <c r="S14" i="36" s="1"/>
  <c r="C14" i="36"/>
  <c r="AC13" i="36"/>
  <c r="AA13" i="36"/>
  <c r="W13" i="36"/>
  <c r="S13" i="36"/>
  <c r="Q13" i="36"/>
  <c r="Z13" i="36" s="1"/>
  <c r="J13" i="36"/>
  <c r="F13" i="36"/>
  <c r="AC12" i="36"/>
  <c r="AB12" i="36"/>
  <c r="W12" i="36"/>
  <c r="U12" i="36"/>
  <c r="Q12" i="36"/>
  <c r="Z12" i="36" s="1"/>
  <c r="J12" i="36"/>
  <c r="H12" i="36"/>
  <c r="F12" i="36"/>
  <c r="AA12" i="36" s="1"/>
  <c r="Q11" i="36"/>
  <c r="Z11" i="36" s="1"/>
  <c r="AB10" i="36"/>
  <c r="AA10" i="36"/>
  <c r="Q10" i="36"/>
  <c r="Z10" i="36" s="1"/>
  <c r="J10" i="36"/>
  <c r="AC10" i="36" s="1"/>
  <c r="H10" i="36"/>
  <c r="U10" i="36" s="1"/>
  <c r="F10" i="36"/>
  <c r="S10" i="36" s="1"/>
  <c r="Q9" i="36"/>
  <c r="Z9" i="36" s="1"/>
  <c r="AC8" i="36"/>
  <c r="AB8" i="36"/>
  <c r="W8" i="36"/>
  <c r="U8" i="36"/>
  <c r="S8" i="36"/>
  <c r="J8" i="36"/>
  <c r="H8" i="36"/>
  <c r="F8" i="36"/>
  <c r="AA8" i="36" s="1"/>
  <c r="D3" i="36"/>
  <c r="B2" i="36"/>
  <c r="B101" i="35"/>
  <c r="J36" i="35" s="1"/>
  <c r="B99" i="35"/>
  <c r="H35" i="35" s="1"/>
  <c r="B97" i="35"/>
  <c r="F34" i="35" s="1"/>
  <c r="F96" i="35"/>
  <c r="G96" i="35" s="1"/>
  <c r="D96" i="35"/>
  <c r="E96" i="35" s="1"/>
  <c r="G94" i="35"/>
  <c r="H94" i="35" s="1"/>
  <c r="I94" i="35" s="1"/>
  <c r="J94" i="35" s="1"/>
  <c r="K94" i="35" s="1"/>
  <c r="L94" i="35" s="1"/>
  <c r="M94" i="35" s="1"/>
  <c r="F94" i="35"/>
  <c r="D94" i="35"/>
  <c r="E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E84" i="35"/>
  <c r="D84" i="35"/>
  <c r="D80" i="35"/>
  <c r="E80" i="35" s="1"/>
  <c r="F80" i="35" s="1"/>
  <c r="G80" i="35" s="1"/>
  <c r="H80" i="35" s="1"/>
  <c r="I80" i="35" s="1"/>
  <c r="J80" i="35" s="1"/>
  <c r="K80" i="35" s="1"/>
  <c r="L80" i="35" s="1"/>
  <c r="M80" i="35" s="1"/>
  <c r="B77" i="35"/>
  <c r="F25" i="35" s="1"/>
  <c r="B75" i="35"/>
  <c r="B73" i="35"/>
  <c r="J23" i="35" s="1"/>
  <c r="D72" i="35"/>
  <c r="E72" i="35" s="1"/>
  <c r="F72" i="35" s="1"/>
  <c r="G72" i="35" s="1"/>
  <c r="G70" i="35"/>
  <c r="D70" i="35"/>
  <c r="E70" i="35" s="1"/>
  <c r="F70" i="35" s="1"/>
  <c r="F68" i="35"/>
  <c r="G68" i="35" s="1"/>
  <c r="D68" i="35"/>
  <c r="E68" i="35" s="1"/>
  <c r="F66" i="35"/>
  <c r="G66" i="35" s="1"/>
  <c r="D66" i="35"/>
  <c r="E66" i="35" s="1"/>
  <c r="D64" i="35"/>
  <c r="E64" i="35" s="1"/>
  <c r="F64" i="35" s="1"/>
  <c r="G64" i="35" s="1"/>
  <c r="B61" i="35"/>
  <c r="B59" i="35"/>
  <c r="B57" i="35"/>
  <c r="C53" i="35"/>
  <c r="J9" i="35" s="1"/>
  <c r="J44" i="35"/>
  <c r="I44" i="35"/>
  <c r="G44" i="35"/>
  <c r="H44" i="35" s="1"/>
  <c r="E44" i="35"/>
  <c r="F44" i="35" s="1"/>
  <c r="P39" i="35"/>
  <c r="P38" i="35"/>
  <c r="K38" i="35"/>
  <c r="B38" i="35"/>
  <c r="V37" i="35"/>
  <c r="T37" i="35"/>
  <c r="R37" i="35"/>
  <c r="P37" i="35"/>
  <c r="Z36" i="35"/>
  <c r="Q36" i="35"/>
  <c r="H36" i="35"/>
  <c r="F36" i="35"/>
  <c r="Z35" i="35"/>
  <c r="W35" i="35"/>
  <c r="Q35" i="35"/>
  <c r="J35" i="35"/>
  <c r="AC35" i="35" s="1"/>
  <c r="F35" i="35"/>
  <c r="Z34" i="35"/>
  <c r="Q34" i="35"/>
  <c r="H34" i="35"/>
  <c r="AB33" i="35"/>
  <c r="AA33" i="35"/>
  <c r="Q33" i="35"/>
  <c r="Z33" i="35" s="1"/>
  <c r="J33" i="35"/>
  <c r="H33" i="35"/>
  <c r="U33" i="35" s="1"/>
  <c r="F33" i="35"/>
  <c r="S33" i="35" s="1"/>
  <c r="AB32" i="35"/>
  <c r="AA32" i="35"/>
  <c r="Q32" i="35"/>
  <c r="Z32" i="35" s="1"/>
  <c r="J32" i="35"/>
  <c r="AC32" i="35" s="1"/>
  <c r="H32" i="35"/>
  <c r="U32" i="35" s="1"/>
  <c r="F32" i="35"/>
  <c r="S32" i="35" s="1"/>
  <c r="AC31" i="35"/>
  <c r="Z31" i="35"/>
  <c r="W31" i="35"/>
  <c r="Q31" i="35"/>
  <c r="J31" i="35"/>
  <c r="H31" i="35"/>
  <c r="AB31" i="35" s="1"/>
  <c r="F31" i="35"/>
  <c r="AA31" i="35" s="1"/>
  <c r="Z30" i="35"/>
  <c r="W30" i="35"/>
  <c r="Q30" i="35"/>
  <c r="J30" i="35"/>
  <c r="AC30" i="35" s="1"/>
  <c r="H30" i="35"/>
  <c r="F30" i="35"/>
  <c r="AA30" i="35" s="1"/>
  <c r="AC29" i="35"/>
  <c r="AB29" i="35"/>
  <c r="Q29" i="35"/>
  <c r="Z29" i="35" s="1"/>
  <c r="J29" i="35"/>
  <c r="W29" i="35" s="1"/>
  <c r="H29" i="35"/>
  <c r="U29" i="35" s="1"/>
  <c r="F29" i="35"/>
  <c r="AA29" i="35" s="1"/>
  <c r="AB28" i="35"/>
  <c r="Z28" i="35"/>
  <c r="Q28" i="35"/>
  <c r="J28" i="35"/>
  <c r="AC28" i="35" s="1"/>
  <c r="H28" i="35"/>
  <c r="U28" i="35" s="1"/>
  <c r="F28" i="35"/>
  <c r="AA28" i="35" s="1"/>
  <c r="AA27" i="35"/>
  <c r="Z27" i="35"/>
  <c r="Q27" i="35"/>
  <c r="J27" i="35"/>
  <c r="H27" i="35"/>
  <c r="AB27" i="35" s="1"/>
  <c r="F27" i="35"/>
  <c r="S27" i="35" s="1"/>
  <c r="Z26" i="35"/>
  <c r="Q26" i="35"/>
  <c r="C26" i="35"/>
  <c r="AB25" i="35"/>
  <c r="U25" i="35"/>
  <c r="Q25" i="35"/>
  <c r="Z25" i="35" s="1"/>
  <c r="H25" i="35"/>
  <c r="AC24" i="35"/>
  <c r="Q24" i="35"/>
  <c r="Z24" i="35" s="1"/>
  <c r="J24" i="35"/>
  <c r="W24" i="35" s="1"/>
  <c r="H24" i="35"/>
  <c r="AB24" i="35" s="1"/>
  <c r="F24" i="35"/>
  <c r="AA24" i="35" s="1"/>
  <c r="Z23" i="35"/>
  <c r="Q23" i="35"/>
  <c r="H23" i="35"/>
  <c r="F23" i="35"/>
  <c r="AA22" i="35"/>
  <c r="Z22" i="35"/>
  <c r="W22" i="35"/>
  <c r="Q22" i="35"/>
  <c r="J22" i="35"/>
  <c r="AC22" i="35" s="1"/>
  <c r="H22" i="35"/>
  <c r="AB22" i="35" s="1"/>
  <c r="F22" i="35"/>
  <c r="S22" i="35" s="1"/>
  <c r="AB20" i="35"/>
  <c r="U20" i="35"/>
  <c r="Q20" i="35"/>
  <c r="Z20" i="35" s="1"/>
  <c r="J20" i="35"/>
  <c r="H20" i="35"/>
  <c r="F20" i="35"/>
  <c r="AA20" i="35" s="1"/>
  <c r="C20" i="35"/>
  <c r="AC18" i="35"/>
  <c r="Z18" i="35"/>
  <c r="W18" i="35"/>
  <c r="U18" i="35"/>
  <c r="Q18" i="35"/>
  <c r="J18" i="35"/>
  <c r="H18" i="35"/>
  <c r="AB18" i="35" s="1"/>
  <c r="F18" i="35"/>
  <c r="AA18" i="35" s="1"/>
  <c r="C18" i="35"/>
  <c r="AB16" i="35"/>
  <c r="Z16" i="35"/>
  <c r="U16" i="35"/>
  <c r="Q16" i="35"/>
  <c r="J16" i="35"/>
  <c r="H16" i="35"/>
  <c r="F16" i="35"/>
  <c r="AA16" i="35" s="1"/>
  <c r="C16" i="35"/>
  <c r="AC14" i="35"/>
  <c r="Z14" i="35"/>
  <c r="W14" i="35"/>
  <c r="Q14" i="35"/>
  <c r="J14" i="35"/>
  <c r="H14" i="35"/>
  <c r="F14" i="35"/>
  <c r="AA14" i="35" s="1"/>
  <c r="C14" i="35"/>
  <c r="Z13" i="35"/>
  <c r="Q13" i="35"/>
  <c r="AC12" i="35"/>
  <c r="AB12" i="35"/>
  <c r="AA12" i="35"/>
  <c r="Q12" i="35"/>
  <c r="Z12" i="35" s="1"/>
  <c r="J12" i="35"/>
  <c r="W12" i="35" s="1"/>
  <c r="H12" i="35"/>
  <c r="U12" i="35" s="1"/>
  <c r="F12" i="35"/>
  <c r="S12" i="35" s="1"/>
  <c r="AB11" i="35"/>
  <c r="Z11" i="35"/>
  <c r="Q11" i="35"/>
  <c r="J11" i="35"/>
  <c r="AC11" i="35" s="1"/>
  <c r="H11" i="35"/>
  <c r="U11" i="35" s="1"/>
  <c r="F11" i="35"/>
  <c r="AA11" i="35" s="1"/>
  <c r="AA10" i="35"/>
  <c r="Z10" i="35"/>
  <c r="Q10" i="35"/>
  <c r="J10" i="35"/>
  <c r="AC10" i="35" s="1"/>
  <c r="H10" i="35"/>
  <c r="AB10" i="35" s="1"/>
  <c r="F10" i="35"/>
  <c r="S10" i="35" s="1"/>
  <c r="Q9" i="35"/>
  <c r="Z9" i="35" s="1"/>
  <c r="AB8" i="35"/>
  <c r="AA8" i="35"/>
  <c r="U8" i="35"/>
  <c r="S8" i="35"/>
  <c r="J8" i="35"/>
  <c r="H8" i="35"/>
  <c r="F8" i="35"/>
  <c r="D3" i="35"/>
  <c r="B2" i="35"/>
  <c r="B112" i="37"/>
  <c r="B110" i="37"/>
  <c r="F39" i="37" s="1"/>
  <c r="B108" i="37"/>
  <c r="H38" i="37" s="1"/>
  <c r="G107" i="37"/>
  <c r="H107" i="37" s="1"/>
  <c r="I107" i="37" s="1"/>
  <c r="J107" i="37" s="1"/>
  <c r="K107" i="37" s="1"/>
  <c r="L107" i="37" s="1"/>
  <c r="M107" i="37" s="1"/>
  <c r="F107" i="37"/>
  <c r="E107" i="37"/>
  <c r="D107" i="37"/>
  <c r="G105" i="37"/>
  <c r="F105" i="37"/>
  <c r="E105" i="37"/>
  <c r="D105" i="37"/>
  <c r="D103" i="37"/>
  <c r="E103" i="37" s="1"/>
  <c r="F103" i="37" s="1"/>
  <c r="G103" i="37" s="1"/>
  <c r="H103" i="37" s="1"/>
  <c r="I103" i="37" s="1"/>
  <c r="J103" i="37" s="1"/>
  <c r="K103" i="37" s="1"/>
  <c r="L103" i="37" s="1"/>
  <c r="M103" i="37" s="1"/>
  <c r="F101" i="37"/>
  <c r="G101" i="37" s="1"/>
  <c r="H101" i="37" s="1"/>
  <c r="I101" i="37" s="1"/>
  <c r="J101" i="37" s="1"/>
  <c r="K101" i="37" s="1"/>
  <c r="L101" i="37" s="1"/>
  <c r="M101" i="37" s="1"/>
  <c r="E101" i="37"/>
  <c r="D101" i="37"/>
  <c r="L99" i="37"/>
  <c r="M99" i="37" s="1"/>
  <c r="D99" i="37"/>
  <c r="E99" i="37" s="1"/>
  <c r="F99" i="37" s="1"/>
  <c r="G99" i="37" s="1"/>
  <c r="H99" i="37" s="1"/>
  <c r="I99" i="37" s="1"/>
  <c r="J99" i="37" s="1"/>
  <c r="K99" i="37" s="1"/>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B80" i="37"/>
  <c r="E79" i="37"/>
  <c r="F79" i="37" s="1"/>
  <c r="G79" i="37" s="1"/>
  <c r="D79" i="37"/>
  <c r="F77" i="37"/>
  <c r="G77" i="37" s="1"/>
  <c r="E77" i="37"/>
  <c r="D77" i="37"/>
  <c r="F75" i="37"/>
  <c r="G75" i="37" s="1"/>
  <c r="E75" i="37"/>
  <c r="D75" i="37"/>
  <c r="E73" i="37"/>
  <c r="F73" i="37" s="1"/>
  <c r="G73" i="37" s="1"/>
  <c r="D73" i="37"/>
  <c r="E71" i="37"/>
  <c r="F71" i="37" s="1"/>
  <c r="G71" i="37" s="1"/>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C40" i="37"/>
  <c r="Z40" i="37"/>
  <c r="W40" i="37"/>
  <c r="Q40" i="37"/>
  <c r="J40" i="37"/>
  <c r="H40" i="37"/>
  <c r="AB40" i="37" s="1"/>
  <c r="F40" i="37"/>
  <c r="AA40" i="37" s="1"/>
  <c r="Z39" i="37"/>
  <c r="W39" i="37"/>
  <c r="Q39" i="37"/>
  <c r="J39" i="37"/>
  <c r="AC39" i="37" s="1"/>
  <c r="H39" i="37"/>
  <c r="AA38" i="37"/>
  <c r="Q38" i="37"/>
  <c r="Z38" i="37" s="1"/>
  <c r="J38" i="37"/>
  <c r="F38" i="37"/>
  <c r="S38" i="37" s="1"/>
  <c r="AB37" i="37"/>
  <c r="Q37" i="37"/>
  <c r="Z37" i="37" s="1"/>
  <c r="J37" i="37"/>
  <c r="AC37" i="37" s="1"/>
  <c r="H37" i="37"/>
  <c r="U37" i="37" s="1"/>
  <c r="F37" i="37"/>
  <c r="AA37" i="37" s="1"/>
  <c r="AC36" i="37"/>
  <c r="Z36" i="37"/>
  <c r="W36" i="37"/>
  <c r="Q36" i="37"/>
  <c r="J36" i="37"/>
  <c r="H36" i="37"/>
  <c r="AB36" i="37" s="1"/>
  <c r="F36" i="37"/>
  <c r="AA36" i="37" s="1"/>
  <c r="Z35" i="37"/>
  <c r="Q35" i="37"/>
  <c r="J35" i="37"/>
  <c r="H35" i="37"/>
  <c r="F35" i="37"/>
  <c r="AA35" i="37" s="1"/>
  <c r="AC34" i="37"/>
  <c r="AB34" i="37"/>
  <c r="AA34" i="37"/>
  <c r="Q34" i="37"/>
  <c r="Z34" i="37" s="1"/>
  <c r="J34" i="37"/>
  <c r="W34" i="37" s="1"/>
  <c r="H34" i="37"/>
  <c r="U34" i="37" s="1"/>
  <c r="F34" i="37"/>
  <c r="S34" i="37" s="1"/>
  <c r="Z33" i="37"/>
  <c r="U33" i="37"/>
  <c r="Q33" i="37"/>
  <c r="J33" i="37"/>
  <c r="AC33" i="37" s="1"/>
  <c r="H33" i="37"/>
  <c r="AB33" i="37" s="1"/>
  <c r="F33" i="37"/>
  <c r="AA33" i="37" s="1"/>
  <c r="AA32" i="37"/>
  <c r="Z32" i="37"/>
  <c r="W32" i="37"/>
  <c r="Q32" i="37"/>
  <c r="J32" i="37"/>
  <c r="AC32" i="37" s="1"/>
  <c r="H32" i="37"/>
  <c r="AB32" i="37" s="1"/>
  <c r="F32" i="37"/>
  <c r="S32" i="37" s="1"/>
  <c r="AB31" i="37"/>
  <c r="U31" i="37"/>
  <c r="Q31" i="37"/>
  <c r="Z31" i="37" s="1"/>
  <c r="J31" i="37"/>
  <c r="H31" i="37"/>
  <c r="F31" i="37"/>
  <c r="AC30" i="37"/>
  <c r="AB30" i="37"/>
  <c r="U30" i="37"/>
  <c r="Q30" i="37"/>
  <c r="Z30" i="37" s="1"/>
  <c r="J30" i="37"/>
  <c r="W30" i="37" s="1"/>
  <c r="H30" i="37"/>
  <c r="F30" i="37"/>
  <c r="AA30" i="37" s="1"/>
  <c r="AB29" i="37"/>
  <c r="Q29" i="37"/>
  <c r="Z29" i="37" s="1"/>
  <c r="J29" i="37"/>
  <c r="AC29" i="37" s="1"/>
  <c r="H29" i="37"/>
  <c r="U29" i="37" s="1"/>
  <c r="F29" i="37"/>
  <c r="AA29" i="37" s="1"/>
  <c r="AA28" i="37"/>
  <c r="Q28" i="37"/>
  <c r="Z28" i="37" s="1"/>
  <c r="H28" i="37"/>
  <c r="AB28" i="37" s="1"/>
  <c r="F28" i="37"/>
  <c r="S28" i="37" s="1"/>
  <c r="Z27" i="37"/>
  <c r="Q27" i="37"/>
  <c r="AC26" i="37"/>
  <c r="Q26" i="37"/>
  <c r="Z26" i="37" s="1"/>
  <c r="J26" i="37"/>
  <c r="W26" i="37" s="1"/>
  <c r="AA25" i="37"/>
  <c r="Q25" i="37"/>
  <c r="Z25" i="37" s="1"/>
  <c r="J25" i="37"/>
  <c r="AC25" i="37" s="1"/>
  <c r="H25" i="37"/>
  <c r="AB25" i="37" s="1"/>
  <c r="F25" i="37"/>
  <c r="S25" i="37" s="1"/>
  <c r="Z23" i="37"/>
  <c r="Q23" i="37"/>
  <c r="J23" i="37"/>
  <c r="AC23" i="37" s="1"/>
  <c r="H23" i="37"/>
  <c r="AB23" i="37" s="1"/>
  <c r="F23" i="37"/>
  <c r="AA23" i="37" s="1"/>
  <c r="C23" i="37"/>
  <c r="Z21" i="37"/>
  <c r="Q21" i="37"/>
  <c r="J21" i="37"/>
  <c r="AC21" i="37" s="1"/>
  <c r="H21" i="37"/>
  <c r="AB21" i="37" s="1"/>
  <c r="F21" i="37"/>
  <c r="AA21" i="37" s="1"/>
  <c r="C21" i="37"/>
  <c r="Z19" i="37"/>
  <c r="Q19" i="37"/>
  <c r="J19" i="37"/>
  <c r="AC19" i="37" s="1"/>
  <c r="H19" i="37"/>
  <c r="AB19" i="37" s="1"/>
  <c r="F19" i="37"/>
  <c r="AA19" i="37" s="1"/>
  <c r="C19" i="37"/>
  <c r="Z17" i="37"/>
  <c r="Q17" i="37"/>
  <c r="J17" i="37"/>
  <c r="AC17" i="37" s="1"/>
  <c r="H17" i="37"/>
  <c r="AB17" i="37" s="1"/>
  <c r="F17" i="37"/>
  <c r="AA17" i="37" s="1"/>
  <c r="C17" i="37"/>
  <c r="Z15" i="37"/>
  <c r="Q15" i="37"/>
  <c r="J15" i="37"/>
  <c r="AC15" i="37" s="1"/>
  <c r="H15" i="37"/>
  <c r="AB15" i="37" s="1"/>
  <c r="F15" i="37"/>
  <c r="AA15" i="37" s="1"/>
  <c r="C15" i="37"/>
  <c r="Z14" i="37"/>
  <c r="Q14" i="37"/>
  <c r="J14" i="37"/>
  <c r="AC14" i="37" s="1"/>
  <c r="H14" i="37"/>
  <c r="AB14" i="37" s="1"/>
  <c r="F14" i="37"/>
  <c r="AA14" i="37" s="1"/>
  <c r="W13" i="37"/>
  <c r="Q13" i="37"/>
  <c r="Z13" i="37" s="1"/>
  <c r="J13" i="37"/>
  <c r="AC13" i="37" s="1"/>
  <c r="W12" i="37"/>
  <c r="Q12" i="37"/>
  <c r="Z12" i="37" s="1"/>
  <c r="J12" i="37"/>
  <c r="AC12" i="37" s="1"/>
  <c r="H12" i="37"/>
  <c r="U12" i="37" s="1"/>
  <c r="Q11" i="37"/>
  <c r="Z11" i="37" s="1"/>
  <c r="J11" i="37"/>
  <c r="AC11" i="37" s="1"/>
  <c r="H11" i="37"/>
  <c r="AB11" i="37" s="1"/>
  <c r="F11" i="37"/>
  <c r="AA11" i="37" s="1"/>
  <c r="Q10" i="37"/>
  <c r="Z10" i="37" s="1"/>
  <c r="J10" i="37"/>
  <c r="AC10" i="37" s="1"/>
  <c r="H10" i="37"/>
  <c r="AB10" i="37" s="1"/>
  <c r="F10" i="37"/>
  <c r="AA10" i="37" s="1"/>
  <c r="AC9" i="37"/>
  <c r="Q9" i="37"/>
  <c r="Z9" i="37" s="1"/>
  <c r="J9" i="37"/>
  <c r="W9" i="37" s="1"/>
  <c r="AC8" i="37"/>
  <c r="AB8" i="37"/>
  <c r="W8" i="37"/>
  <c r="U8" i="37"/>
  <c r="J8" i="37"/>
  <c r="H8" i="37"/>
  <c r="F8" i="37"/>
  <c r="B2" i="37"/>
  <c r="B130" i="33"/>
  <c r="B128" i="33"/>
  <c r="F45" i="33" s="1"/>
  <c r="B126" i="33"/>
  <c r="J44" i="33" s="1"/>
  <c r="D125" i="33"/>
  <c r="J123" i="33"/>
  <c r="K123" i="33" s="1"/>
  <c r="L123" i="33" s="1"/>
  <c r="M123" i="33" s="1"/>
  <c r="E123" i="33"/>
  <c r="F123" i="33" s="1"/>
  <c r="G123" i="33" s="1"/>
  <c r="H123" i="33" s="1"/>
  <c r="I123" i="33" s="1"/>
  <c r="D123" i="33"/>
  <c r="G121" i="33"/>
  <c r="H121" i="33" s="1"/>
  <c r="I121" i="33" s="1"/>
  <c r="J121" i="33" s="1"/>
  <c r="K121" i="33" s="1"/>
  <c r="L121" i="33" s="1"/>
  <c r="M121" i="33" s="1"/>
  <c r="D121" i="33"/>
  <c r="E121" i="33" s="1"/>
  <c r="F121" i="33" s="1"/>
  <c r="D117" i="33"/>
  <c r="E117" i="33" s="1"/>
  <c r="F117" i="33" s="1"/>
  <c r="G117" i="33" s="1"/>
  <c r="D115" i="33"/>
  <c r="G113" i="33"/>
  <c r="H113" i="33" s="1"/>
  <c r="I113" i="33" s="1"/>
  <c r="J113" i="33" s="1"/>
  <c r="K113" i="33" s="1"/>
  <c r="L113" i="33" s="1"/>
  <c r="M113" i="33" s="1"/>
  <c r="F113" i="33"/>
  <c r="D113" i="33"/>
  <c r="E113" i="33" s="1"/>
  <c r="I111" i="33"/>
  <c r="J111" i="33" s="1"/>
  <c r="K111" i="33" s="1"/>
  <c r="L111" i="33" s="1"/>
  <c r="M111" i="33" s="1"/>
  <c r="D111" i="33"/>
  <c r="E111" i="33" s="1"/>
  <c r="F111" i="33" s="1"/>
  <c r="G111" i="33" s="1"/>
  <c r="H111" i="33" s="1"/>
  <c r="G109" i="33"/>
  <c r="F109" i="33"/>
  <c r="E109" i="33"/>
  <c r="D109" i="33"/>
  <c r="C109" i="33"/>
  <c r="G108" i="33"/>
  <c r="H108" i="33" s="1"/>
  <c r="I108" i="33" s="1"/>
  <c r="J108" i="33" s="1"/>
  <c r="K108" i="33" s="1"/>
  <c r="L108" i="33" s="1"/>
  <c r="M108" i="33" s="1"/>
  <c r="D108" i="33"/>
  <c r="E108" i="33" s="1"/>
  <c r="F108" i="33" s="1"/>
  <c r="J106" i="33"/>
  <c r="K106" i="33" s="1"/>
  <c r="L106" i="33" s="1"/>
  <c r="M106" i="33" s="1"/>
  <c r="I106" i="33"/>
  <c r="F106" i="33"/>
  <c r="G106" i="33" s="1"/>
  <c r="H106" i="33" s="1"/>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AC30" i="33" s="1"/>
  <c r="B94" i="33"/>
  <c r="B92" i="33"/>
  <c r="F28" i="33" s="1"/>
  <c r="AA28" i="33" s="1"/>
  <c r="D91" i="33"/>
  <c r="J27" i="33" s="1"/>
  <c r="AC27" i="33" s="1"/>
  <c r="B90" i="33"/>
  <c r="B88" i="33"/>
  <c r="L87" i="33"/>
  <c r="M87" i="33" s="1"/>
  <c r="K87" i="33"/>
  <c r="D87" i="33"/>
  <c r="E87" i="33" s="1"/>
  <c r="F87" i="33" s="1"/>
  <c r="G87" i="33" s="1"/>
  <c r="H87" i="33" s="1"/>
  <c r="I87" i="33" s="1"/>
  <c r="J87" i="33" s="1"/>
  <c r="D85" i="33"/>
  <c r="D83" i="33"/>
  <c r="E83" i="33" s="1"/>
  <c r="F83" i="33" s="1"/>
  <c r="G83" i="33" s="1"/>
  <c r="D81" i="33"/>
  <c r="D79" i="33"/>
  <c r="D77" i="33"/>
  <c r="E77" i="33" s="1"/>
  <c r="B74" i="33"/>
  <c r="B72" i="33"/>
  <c r="H13" i="33" s="1"/>
  <c r="B70" i="33"/>
  <c r="M69" i="33"/>
  <c r="F69" i="33"/>
  <c r="G69" i="33" s="1"/>
  <c r="H69" i="33" s="1"/>
  <c r="I69" i="33" s="1"/>
  <c r="J69" i="33" s="1"/>
  <c r="K69" i="33" s="1"/>
  <c r="L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W46" i="33" s="1"/>
  <c r="H46" i="33"/>
  <c r="AB46" i="33" s="1"/>
  <c r="F46" i="33"/>
  <c r="AA46" i="33" s="1"/>
  <c r="AC45" i="33"/>
  <c r="AB45" i="33"/>
  <c r="Q45" i="33"/>
  <c r="Z45" i="33" s="1"/>
  <c r="J45" i="33"/>
  <c r="W45" i="33" s="1"/>
  <c r="H45" i="33"/>
  <c r="U45" i="33" s="1"/>
  <c r="Q44" i="33"/>
  <c r="Z44" i="33" s="1"/>
  <c r="H44" i="33"/>
  <c r="F44" i="33"/>
  <c r="S44" i="33" s="1"/>
  <c r="Q43" i="33"/>
  <c r="Z43" i="33" s="1"/>
  <c r="J43" i="33"/>
  <c r="AC43" i="33" s="1"/>
  <c r="H43" i="33"/>
  <c r="AB43" i="33" s="1"/>
  <c r="Q42" i="33"/>
  <c r="Z42" i="33" s="1"/>
  <c r="J42" i="33"/>
  <c r="AC42" i="33" s="1"/>
  <c r="H42" i="33"/>
  <c r="AB42" i="33" s="1"/>
  <c r="F42" i="33"/>
  <c r="AA42" i="33" s="1"/>
  <c r="AC41" i="33"/>
  <c r="AB41" i="33"/>
  <c r="U41" i="33"/>
  <c r="Q41" i="33"/>
  <c r="Z41" i="33" s="1"/>
  <c r="J41" i="33"/>
  <c r="W41" i="33" s="1"/>
  <c r="H41" i="33"/>
  <c r="F41" i="33"/>
  <c r="AA41" i="33" s="1"/>
  <c r="AB40" i="33"/>
  <c r="Q40" i="33"/>
  <c r="Z40" i="33" s="1"/>
  <c r="J40" i="33"/>
  <c r="AC40" i="33" s="1"/>
  <c r="H40" i="33"/>
  <c r="U40" i="33" s="1"/>
  <c r="F40" i="33"/>
  <c r="AA40" i="33" s="1"/>
  <c r="Q39" i="33"/>
  <c r="Z39" i="33" s="1"/>
  <c r="J39" i="33"/>
  <c r="AC39" i="33" s="1"/>
  <c r="H39" i="33"/>
  <c r="U39" i="33" s="1"/>
  <c r="F39" i="33"/>
  <c r="AA39" i="33" s="1"/>
  <c r="Q38" i="33"/>
  <c r="Z38" i="33" s="1"/>
  <c r="AB37" i="33"/>
  <c r="Z37" i="33"/>
  <c r="Q37" i="33"/>
  <c r="J37" i="33"/>
  <c r="H37" i="33"/>
  <c r="U37" i="33" s="1"/>
  <c r="F37" i="33"/>
  <c r="AA37" i="33" s="1"/>
  <c r="Z36" i="33"/>
  <c r="Q36" i="33"/>
  <c r="Z35" i="33"/>
  <c r="Q35" i="33"/>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Z32" i="33"/>
  <c r="Q32" i="33"/>
  <c r="J32" i="33"/>
  <c r="AC32" i="33" s="1"/>
  <c r="H32" i="33"/>
  <c r="AB32" i="33" s="1"/>
  <c r="F32" i="33"/>
  <c r="AA32" i="33" s="1"/>
  <c r="Q31" i="33"/>
  <c r="Z31" i="33" s="1"/>
  <c r="F31" i="33"/>
  <c r="AA31" i="33" s="1"/>
  <c r="Z30" i="33"/>
  <c r="Q30" i="33"/>
  <c r="F30" i="33"/>
  <c r="AA30" i="33" s="1"/>
  <c r="Z29" i="33"/>
  <c r="Q29" i="33"/>
  <c r="J29" i="33"/>
  <c r="AC29" i="33" s="1"/>
  <c r="H29" i="33"/>
  <c r="AB29" i="33" s="1"/>
  <c r="F29" i="33"/>
  <c r="AA29" i="33" s="1"/>
  <c r="Q28" i="33"/>
  <c r="Z28" i="33" s="1"/>
  <c r="J28" i="33"/>
  <c r="AC28" i="33" s="1"/>
  <c r="H28" i="33"/>
  <c r="AB28" i="33" s="1"/>
  <c r="Z27" i="33"/>
  <c r="Q27" i="33"/>
  <c r="AA26" i="33"/>
  <c r="Z26" i="33"/>
  <c r="Q26" i="33"/>
  <c r="J26" i="33"/>
  <c r="H26" i="33"/>
  <c r="AB26" i="33" s="1"/>
  <c r="F26" i="33"/>
  <c r="S26" i="33" s="1"/>
  <c r="AC25" i="33"/>
  <c r="AB25" i="33"/>
  <c r="U25" i="33"/>
  <c r="Q25" i="33"/>
  <c r="Z25" i="33" s="1"/>
  <c r="J25" i="33"/>
  <c r="W25" i="33" s="1"/>
  <c r="H25" i="33"/>
  <c r="F25" i="33"/>
  <c r="AA25" i="33" s="1"/>
  <c r="Z23" i="33"/>
  <c r="Q23" i="33"/>
  <c r="F23" i="33"/>
  <c r="AA23" i="33" s="1"/>
  <c r="C23" i="33"/>
  <c r="Z21" i="33"/>
  <c r="Q21" i="33"/>
  <c r="J21" i="33"/>
  <c r="AC21" i="33" s="1"/>
  <c r="H21" i="33"/>
  <c r="AB21" i="33" s="1"/>
  <c r="F21" i="33"/>
  <c r="AA21" i="33" s="1"/>
  <c r="C21" i="33"/>
  <c r="Z19" i="33"/>
  <c r="Q19" i="33"/>
  <c r="J19" i="33"/>
  <c r="AC19" i="33" s="1"/>
  <c r="C19" i="33"/>
  <c r="Z17" i="33"/>
  <c r="Q17" i="33"/>
  <c r="C17" i="33"/>
  <c r="Q15" i="33"/>
  <c r="Z15" i="33" s="1"/>
  <c r="C15" i="33"/>
  <c r="Z14" i="33"/>
  <c r="U14" i="33"/>
  <c r="Q14" i="33"/>
  <c r="J14" i="33"/>
  <c r="AC14" i="33" s="1"/>
  <c r="H14" i="33"/>
  <c r="AB14" i="33" s="1"/>
  <c r="F14" i="33"/>
  <c r="AA14" i="33" s="1"/>
  <c r="AA13" i="33"/>
  <c r="Z13" i="33"/>
  <c r="Q13" i="33"/>
  <c r="J13" i="33"/>
  <c r="F13" i="33"/>
  <c r="S13" i="33" s="1"/>
  <c r="Q12" i="33"/>
  <c r="Z12" i="33" s="1"/>
  <c r="Q11" i="33"/>
  <c r="Z11" i="33" s="1"/>
  <c r="J11" i="33"/>
  <c r="AC11" i="33" s="1"/>
  <c r="H11" i="33"/>
  <c r="AB11" i="33" s="1"/>
  <c r="F11" i="33"/>
  <c r="AA11" i="33" s="1"/>
  <c r="AC10" i="33"/>
  <c r="AB10" i="33"/>
  <c r="U10" i="33"/>
  <c r="Q10" i="33"/>
  <c r="Z10" i="33" s="1"/>
  <c r="J10" i="33"/>
  <c r="W10" i="33" s="1"/>
  <c r="H10" i="33"/>
  <c r="F10" i="33"/>
  <c r="AA10" i="33" s="1"/>
  <c r="Z9" i="33"/>
  <c r="Q9" i="33"/>
  <c r="J9" i="33"/>
  <c r="AC9" i="33" s="1"/>
  <c r="H9" i="33"/>
  <c r="AB9" i="33" s="1"/>
  <c r="F9" i="33"/>
  <c r="AA9" i="33" s="1"/>
  <c r="J8" i="33"/>
  <c r="W8" i="33" s="1"/>
  <c r="H8" i="33"/>
  <c r="U8" i="33" s="1"/>
  <c r="F8" i="33"/>
  <c r="AA8" i="33" s="1"/>
  <c r="K145" i="21"/>
  <c r="C145" i="21"/>
  <c r="K139" i="21" s="1"/>
  <c r="J142" i="21"/>
  <c r="K141" i="21"/>
  <c r="J140" i="21"/>
  <c r="K143" i="21" s="1"/>
  <c r="B130" i="21"/>
  <c r="B128" i="21"/>
  <c r="B126" i="21"/>
  <c r="F44" i="21" s="1"/>
  <c r="D125" i="21"/>
  <c r="E125" i="21" s="1"/>
  <c r="F125" i="21" s="1"/>
  <c r="G125" i="21" s="1"/>
  <c r="L123" i="21"/>
  <c r="M123" i="21" s="1"/>
  <c r="G123" i="21"/>
  <c r="H123" i="21" s="1"/>
  <c r="I123" i="21" s="1"/>
  <c r="J123" i="21" s="1"/>
  <c r="K123" i="21" s="1"/>
  <c r="F123" i="21"/>
  <c r="D123" i="21"/>
  <c r="E123" i="21" s="1"/>
  <c r="F119" i="21"/>
  <c r="G119" i="21" s="1"/>
  <c r="H119" i="21" s="1"/>
  <c r="I119" i="21" s="1"/>
  <c r="J119" i="21" s="1"/>
  <c r="K119" i="21" s="1"/>
  <c r="L119" i="21" s="1"/>
  <c r="M119" i="21" s="1"/>
  <c r="E119" i="21"/>
  <c r="D119" i="21"/>
  <c r="E117" i="21"/>
  <c r="F117" i="21" s="1"/>
  <c r="G117" i="21" s="1"/>
  <c r="D117" i="21"/>
  <c r="F115" i="21"/>
  <c r="G115" i="21" s="1"/>
  <c r="H115" i="21" s="1"/>
  <c r="I115" i="21" s="1"/>
  <c r="J115" i="21" s="1"/>
  <c r="K115" i="21" s="1"/>
  <c r="L115" i="21" s="1"/>
  <c r="M115" i="21" s="1"/>
  <c r="D115" i="21"/>
  <c r="E115" i="21" s="1"/>
  <c r="E113" i="21"/>
  <c r="F113" i="21" s="1"/>
  <c r="G113" i="21" s="1"/>
  <c r="H113" i="21" s="1"/>
  <c r="D113" i="21"/>
  <c r="H111" i="21"/>
  <c r="G111" i="21"/>
  <c r="F111" i="21"/>
  <c r="E111" i="21"/>
  <c r="D111" i="21"/>
  <c r="C111" i="21"/>
  <c r="H110" i="21"/>
  <c r="I110" i="21" s="1"/>
  <c r="J110" i="21" s="1"/>
  <c r="K110" i="21" s="1"/>
  <c r="L110" i="21" s="1"/>
  <c r="M110" i="21" s="1"/>
  <c r="G110" i="21"/>
  <c r="E110" i="21"/>
  <c r="F110" i="21" s="1"/>
  <c r="D110" i="21"/>
  <c r="G108" i="21"/>
  <c r="H108" i="21" s="1"/>
  <c r="I108" i="21" s="1"/>
  <c r="J108" i="21" s="1"/>
  <c r="K108" i="21" s="1"/>
  <c r="L108" i="21" s="1"/>
  <c r="M108" i="21" s="1"/>
  <c r="F108" i="21"/>
  <c r="E108" i="21"/>
  <c r="D108" i="21"/>
  <c r="H106" i="21"/>
  <c r="I106" i="21" s="1"/>
  <c r="J106" i="21" s="1"/>
  <c r="K106" i="21" s="1"/>
  <c r="L106" i="21" s="1"/>
  <c r="M106" i="21" s="1"/>
  <c r="G106" i="21"/>
  <c r="E106" i="21"/>
  <c r="F106" i="21" s="1"/>
  <c r="D106"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G69" i="21"/>
  <c r="H69" i="21" s="1"/>
  <c r="I69" i="21" s="1"/>
  <c r="J69" i="21" s="1"/>
  <c r="K69" i="21" s="1"/>
  <c r="L69" i="21" s="1"/>
  <c r="M69" i="21" s="1"/>
  <c r="D69" i="21"/>
  <c r="E69" i="21" s="1"/>
  <c r="F69" i="21" s="1"/>
  <c r="M67" i="21"/>
  <c r="L67" i="21"/>
  <c r="K67" i="21"/>
  <c r="J67" i="21"/>
  <c r="I67" i="21"/>
  <c r="H67" i="21"/>
  <c r="G67" i="21"/>
  <c r="F67" i="21"/>
  <c r="E67" i="21"/>
  <c r="D67" i="21"/>
  <c r="C67" i="21"/>
  <c r="C63" i="21"/>
  <c r="J9" i="21" s="1"/>
  <c r="J54" i="21"/>
  <c r="I54" i="21"/>
  <c r="G54" i="21"/>
  <c r="H54" i="21" s="1"/>
  <c r="F54" i="21"/>
  <c r="E54" i="21"/>
  <c r="P49" i="21"/>
  <c r="P48" i="21"/>
  <c r="K48" i="21"/>
  <c r="V47" i="21"/>
  <c r="T47" i="21"/>
  <c r="R47" i="21"/>
  <c r="P47" i="21"/>
  <c r="Q46" i="21"/>
  <c r="Z46" i="21" s="1"/>
  <c r="J46" i="21"/>
  <c r="AC46" i="21" s="1"/>
  <c r="H46" i="21"/>
  <c r="AB46" i="21" s="1"/>
  <c r="F46" i="21"/>
  <c r="AA46" i="21" s="1"/>
  <c r="Q45" i="21"/>
  <c r="Z45" i="21" s="1"/>
  <c r="J45" i="21"/>
  <c r="AC45" i="21" s="1"/>
  <c r="Q44" i="21"/>
  <c r="Z44" i="21" s="1"/>
  <c r="H44" i="21"/>
  <c r="AB43" i="21"/>
  <c r="Q43" i="21"/>
  <c r="Z43" i="21" s="1"/>
  <c r="J43" i="21"/>
  <c r="AC43" i="21" s="1"/>
  <c r="H43" i="21"/>
  <c r="U43" i="21" s="1"/>
  <c r="F43" i="21"/>
  <c r="AA43" i="21" s="1"/>
  <c r="AA42" i="21"/>
  <c r="Q42" i="21"/>
  <c r="Z42" i="21" s="1"/>
  <c r="J42" i="21"/>
  <c r="AC42" i="21" s="1"/>
  <c r="H42" i="21"/>
  <c r="AB42" i="21" s="1"/>
  <c r="F42" i="21"/>
  <c r="S42" i="21" s="1"/>
  <c r="AC41" i="21"/>
  <c r="Z41" i="21"/>
  <c r="Q41" i="21"/>
  <c r="J41" i="21"/>
  <c r="W41" i="21" s="1"/>
  <c r="H41" i="21"/>
  <c r="AB41" i="21" s="1"/>
  <c r="F41" i="21"/>
  <c r="AA41" i="21" s="1"/>
  <c r="AB40" i="21"/>
  <c r="Q40" i="21"/>
  <c r="Z40" i="21" s="1"/>
  <c r="J40" i="21"/>
  <c r="H40" i="21"/>
  <c r="U40" i="21" s="1"/>
  <c r="F40" i="21"/>
  <c r="AA40" i="21" s="1"/>
  <c r="AA39" i="21"/>
  <c r="Q39" i="21"/>
  <c r="Z39" i="21" s="1"/>
  <c r="J39" i="21"/>
  <c r="AC39" i="21" s="1"/>
  <c r="H39" i="21"/>
  <c r="U39" i="21" s="1"/>
  <c r="F39" i="21"/>
  <c r="S39" i="21" s="1"/>
  <c r="Z38" i="21"/>
  <c r="Q38" i="21"/>
  <c r="J38" i="21"/>
  <c r="AC38" i="21" s="1"/>
  <c r="H38" i="21"/>
  <c r="AB38" i="21" s="1"/>
  <c r="F38" i="21"/>
  <c r="S38" i="21" s="1"/>
  <c r="W37" i="21"/>
  <c r="Q37" i="21"/>
  <c r="Z37" i="21" s="1"/>
  <c r="J37" i="21"/>
  <c r="AC37" i="21" s="1"/>
  <c r="H37" i="21"/>
  <c r="AB37" i="21" s="1"/>
  <c r="F37" i="21"/>
  <c r="AA37" i="21" s="1"/>
  <c r="AC36" i="21"/>
  <c r="AB36" i="21"/>
  <c r="U36" i="21"/>
  <c r="Q36" i="21"/>
  <c r="Z36" i="21" s="1"/>
  <c r="J36" i="21"/>
  <c r="W36" i="21" s="1"/>
  <c r="H36" i="21"/>
  <c r="F36" i="21"/>
  <c r="AA36" i="21" s="1"/>
  <c r="AB35" i="21"/>
  <c r="Q35" i="21"/>
  <c r="Z35" i="21" s="1"/>
  <c r="J35" i="21"/>
  <c r="AC35" i="21" s="1"/>
  <c r="H35" i="21"/>
  <c r="U35" i="21" s="1"/>
  <c r="F35" i="21"/>
  <c r="AA35" i="21" s="1"/>
  <c r="AA34" i="21"/>
  <c r="Q34" i="21"/>
  <c r="Z34" i="21" s="1"/>
  <c r="J34" i="21"/>
  <c r="AC34" i="21" s="1"/>
  <c r="H34" i="21"/>
  <c r="AB34" i="21" s="1"/>
  <c r="F34" i="21"/>
  <c r="S34" i="21" s="1"/>
  <c r="AC33" i="21"/>
  <c r="Z33" i="21"/>
  <c r="Q33" i="21"/>
  <c r="J33" i="21"/>
  <c r="W33" i="21" s="1"/>
  <c r="H33" i="21"/>
  <c r="AB33" i="21" s="1"/>
  <c r="F33" i="21"/>
  <c r="AA33" i="21" s="1"/>
  <c r="AB32" i="21"/>
  <c r="Q32" i="21"/>
  <c r="Z32" i="21" s="1"/>
  <c r="J32" i="21"/>
  <c r="H32" i="21"/>
  <c r="U32" i="21" s="1"/>
  <c r="F32" i="21"/>
  <c r="AA32" i="21" s="1"/>
  <c r="AA31" i="21"/>
  <c r="Q31" i="21"/>
  <c r="Z31" i="21" s="1"/>
  <c r="J31" i="21"/>
  <c r="AC31" i="21" s="1"/>
  <c r="H31" i="21"/>
  <c r="U31" i="21" s="1"/>
  <c r="F31" i="21"/>
  <c r="S31" i="21" s="1"/>
  <c r="Z30" i="21"/>
  <c r="S30" i="21"/>
  <c r="Q30" i="21"/>
  <c r="F30" i="21"/>
  <c r="AA30" i="21" s="1"/>
  <c r="AC29" i="21"/>
  <c r="Z29" i="21"/>
  <c r="Q29" i="21"/>
  <c r="J29" i="21"/>
  <c r="W29" i="21" s="1"/>
  <c r="AC28" i="21"/>
  <c r="AB28" i="21"/>
  <c r="U28" i="21"/>
  <c r="Q28" i="21"/>
  <c r="Z28" i="21" s="1"/>
  <c r="J28" i="21"/>
  <c r="W28" i="21" s="1"/>
  <c r="H28" i="21"/>
  <c r="F28" i="21"/>
  <c r="AA28" i="21" s="1"/>
  <c r="AB27" i="21"/>
  <c r="Q27" i="21"/>
  <c r="Z27" i="21" s="1"/>
  <c r="J27" i="21"/>
  <c r="AC27" i="21" s="1"/>
  <c r="H27" i="21"/>
  <c r="U27" i="21" s="1"/>
  <c r="F27" i="21"/>
  <c r="AA27" i="21" s="1"/>
  <c r="AA26" i="21"/>
  <c r="Q26" i="21"/>
  <c r="Z26" i="21" s="1"/>
  <c r="J26" i="21"/>
  <c r="AC26" i="21" s="1"/>
  <c r="H26" i="21"/>
  <c r="AB26" i="21" s="1"/>
  <c r="F26" i="21"/>
  <c r="S26" i="21" s="1"/>
  <c r="AC25" i="21"/>
  <c r="Z25" i="21"/>
  <c r="Q25" i="21"/>
  <c r="J25" i="21"/>
  <c r="W25" i="21" s="1"/>
  <c r="H25" i="21"/>
  <c r="AB25" i="21" s="1"/>
  <c r="F25" i="21"/>
  <c r="AA25" i="21" s="1"/>
  <c r="AB23" i="21"/>
  <c r="Q23" i="21"/>
  <c r="Z23" i="21" s="1"/>
  <c r="J23" i="21"/>
  <c r="H23" i="21"/>
  <c r="U23" i="21" s="1"/>
  <c r="F23" i="21"/>
  <c r="AA23" i="21" s="1"/>
  <c r="C23" i="21"/>
  <c r="AC21" i="21"/>
  <c r="AB21" i="21"/>
  <c r="Q21" i="21"/>
  <c r="Z21" i="21" s="1"/>
  <c r="J21" i="21"/>
  <c r="W21" i="21" s="1"/>
  <c r="H21" i="21"/>
  <c r="U21" i="21" s="1"/>
  <c r="F21" i="21"/>
  <c r="AA21" i="21" s="1"/>
  <c r="C21" i="21"/>
  <c r="AC19" i="21"/>
  <c r="AB19" i="21"/>
  <c r="U19" i="21"/>
  <c r="Q19" i="21"/>
  <c r="Z19" i="21" s="1"/>
  <c r="J19" i="21"/>
  <c r="W19" i="21" s="1"/>
  <c r="H19" i="21"/>
  <c r="F19" i="21"/>
  <c r="AA19" i="21" s="1"/>
  <c r="C19" i="21"/>
  <c r="AC17" i="21"/>
  <c r="W17" i="21"/>
  <c r="Q17" i="21"/>
  <c r="Z17" i="21" s="1"/>
  <c r="J17" i="21"/>
  <c r="H17" i="21"/>
  <c r="F17" i="21"/>
  <c r="AA17" i="21" s="1"/>
  <c r="C17" i="21"/>
  <c r="AB15" i="21"/>
  <c r="Q15" i="21"/>
  <c r="Z15" i="21" s="1"/>
  <c r="J15" i="21"/>
  <c r="H15" i="21"/>
  <c r="U15" i="21" s="1"/>
  <c r="F15" i="21"/>
  <c r="AA15" i="21" s="1"/>
  <c r="C15" i="21"/>
  <c r="AC14" i="21"/>
  <c r="AB14" i="21"/>
  <c r="Q14" i="21"/>
  <c r="Z14" i="21" s="1"/>
  <c r="J14" i="21"/>
  <c r="W14" i="21" s="1"/>
  <c r="H14" i="21"/>
  <c r="U14" i="21" s="1"/>
  <c r="F14" i="21"/>
  <c r="AA14" i="21" s="1"/>
  <c r="AB13" i="21"/>
  <c r="AA13" i="21"/>
  <c r="Q13" i="21"/>
  <c r="Z13" i="21" s="1"/>
  <c r="J13" i="21"/>
  <c r="AC13" i="21" s="1"/>
  <c r="H13" i="21"/>
  <c r="U13" i="21" s="1"/>
  <c r="F13" i="21"/>
  <c r="S13" i="21" s="1"/>
  <c r="AA12" i="21"/>
  <c r="Z12" i="21"/>
  <c r="Q12" i="21"/>
  <c r="F12" i="21"/>
  <c r="S12" i="21" s="1"/>
  <c r="Q11" i="21"/>
  <c r="Z11" i="21" s="1"/>
  <c r="J11" i="21"/>
  <c r="AC11" i="21" s="1"/>
  <c r="H11" i="21"/>
  <c r="AB11" i="21" s="1"/>
  <c r="F11" i="21"/>
  <c r="AA11" i="21" s="1"/>
  <c r="AC10" i="21"/>
  <c r="AB10" i="21"/>
  <c r="Q10" i="21"/>
  <c r="Z10" i="21" s="1"/>
  <c r="J10" i="21"/>
  <c r="W10" i="21" s="1"/>
  <c r="H10" i="21"/>
  <c r="U10" i="21" s="1"/>
  <c r="F10" i="21"/>
  <c r="AA10" i="21" s="1"/>
  <c r="AB9" i="21"/>
  <c r="AA9" i="21"/>
  <c r="Q9" i="21"/>
  <c r="Z9" i="21" s="1"/>
  <c r="H9" i="21"/>
  <c r="U9" i="21" s="1"/>
  <c r="F9" i="21"/>
  <c r="S9" i="21" s="1"/>
  <c r="AA8" i="21"/>
  <c r="W8" i="21"/>
  <c r="J8" i="21"/>
  <c r="AC8" i="21" s="1"/>
  <c r="H8" i="21"/>
  <c r="F8" i="21"/>
  <c r="S8" i="21" s="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s="1"/>
  <c r="D17" i="77"/>
  <c r="R16" i="77"/>
  <c r="D16" i="77"/>
  <c r="D15" i="77"/>
  <c r="N14" i="77"/>
  <c r="M14" i="77"/>
  <c r="D14" i="77"/>
  <c r="D11" i="77" s="1"/>
  <c r="R13" i="77"/>
  <c r="R14" i="77" s="1"/>
  <c r="R12" i="77"/>
  <c r="D12" i="77"/>
  <c r="R11" i="77"/>
  <c r="E11" i="77"/>
  <c r="E7" i="77" s="1"/>
  <c r="C27" i="77" s="1"/>
  <c r="R10" i="77"/>
  <c r="D10" i="77"/>
  <c r="R9" i="77"/>
  <c r="D9" i="77"/>
  <c r="R8" i="77"/>
  <c r="R7" i="77"/>
  <c r="R4" i="77"/>
  <c r="R3" i="77"/>
  <c r="P74" i="67"/>
  <c r="Q72" i="67"/>
  <c r="P61" i="67"/>
  <c r="F61" i="67"/>
  <c r="Q59" i="67"/>
  <c r="K59" i="67"/>
  <c r="Q58" i="67"/>
  <c r="Q51" i="67"/>
  <c r="J50" i="67"/>
  <c r="J49" i="67"/>
  <c r="M47" i="67"/>
  <c r="D46" i="67"/>
  <c r="F33" i="67"/>
  <c r="F23" i="67"/>
  <c r="D24" i="67" s="1"/>
  <c r="F21" i="67"/>
  <c r="M20" i="67"/>
  <c r="F20" i="67"/>
  <c r="M19" i="67"/>
  <c r="F18" i="67"/>
  <c r="F17" i="67"/>
  <c r="F15" i="67"/>
  <c r="B131" i="34"/>
  <c r="B129" i="34"/>
  <c r="J46" i="34" s="1"/>
  <c r="B127" i="34"/>
  <c r="E126" i="34"/>
  <c r="F126" i="34" s="1"/>
  <c r="G126" i="34" s="1"/>
  <c r="D126" i="34"/>
  <c r="F44" i="34" s="1"/>
  <c r="E124" i="34"/>
  <c r="D124" i="34"/>
  <c r="E120" i="34"/>
  <c r="F120" i="34" s="1"/>
  <c r="G120" i="34" s="1"/>
  <c r="H120" i="34" s="1"/>
  <c r="I120" i="34" s="1"/>
  <c r="J120" i="34" s="1"/>
  <c r="K120" i="34" s="1"/>
  <c r="L120" i="34" s="1"/>
  <c r="M120" i="34" s="1"/>
  <c r="D120" i="34"/>
  <c r="D118" i="34"/>
  <c r="E118" i="34" s="1"/>
  <c r="F118" i="34" s="1"/>
  <c r="G118" i="34" s="1"/>
  <c r="I116" i="34"/>
  <c r="J116" i="34" s="1"/>
  <c r="K116" i="34" s="1"/>
  <c r="L116" i="34" s="1"/>
  <c r="M116" i="34" s="1"/>
  <c r="G116" i="34"/>
  <c r="H116" i="34" s="1"/>
  <c r="F116" i="34"/>
  <c r="E116" i="34"/>
  <c r="D116" i="34"/>
  <c r="D114" i="34"/>
  <c r="E114" i="34" s="1"/>
  <c r="F114" i="34" s="1"/>
  <c r="G114" i="34" s="1"/>
  <c r="H114" i="34" s="1"/>
  <c r="I114" i="34" s="1"/>
  <c r="J114" i="34" s="1"/>
  <c r="K114" i="34" s="1"/>
  <c r="L114" i="34" s="1"/>
  <c r="M114" i="34" s="1"/>
  <c r="I112" i="34"/>
  <c r="J112" i="34" s="1"/>
  <c r="K112" i="34" s="1"/>
  <c r="L112" i="34" s="1"/>
  <c r="M112" i="34" s="1"/>
  <c r="G112" i="34"/>
  <c r="H112" i="34" s="1"/>
  <c r="F112" i="34"/>
  <c r="E112" i="34"/>
  <c r="D112"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H102" i="34"/>
  <c r="I102" i="34" s="1"/>
  <c r="J102" i="34" s="1"/>
  <c r="K102" i="34" s="1"/>
  <c r="L102" i="34" s="1"/>
  <c r="M102" i="34" s="1"/>
  <c r="G102" i="34"/>
  <c r="E102" i="34"/>
  <c r="F102" i="34" s="1"/>
  <c r="D102" i="34"/>
  <c r="B99" i="34"/>
  <c r="B97" i="34"/>
  <c r="B95" i="34"/>
  <c r="F30" i="34" s="1"/>
  <c r="B93" i="34"/>
  <c r="G92" i="34"/>
  <c r="H92" i="34" s="1"/>
  <c r="I92" i="34" s="1"/>
  <c r="J92" i="34" s="1"/>
  <c r="K92" i="34" s="1"/>
  <c r="L92" i="34" s="1"/>
  <c r="M92" i="34" s="1"/>
  <c r="F92" i="34"/>
  <c r="E92" i="34"/>
  <c r="D92" i="34"/>
  <c r="B91" i="34"/>
  <c r="D90" i="34"/>
  <c r="B89" i="34"/>
  <c r="K88" i="34"/>
  <c r="L88" i="34" s="1"/>
  <c r="M88" i="34" s="1"/>
  <c r="E88" i="34"/>
  <c r="F88" i="34" s="1"/>
  <c r="G88" i="34" s="1"/>
  <c r="H88" i="34" s="1"/>
  <c r="I88" i="34" s="1"/>
  <c r="J88" i="34" s="1"/>
  <c r="D88" i="34"/>
  <c r="D86" i="34"/>
  <c r="G84" i="34"/>
  <c r="E84" i="34"/>
  <c r="F84" i="34" s="1"/>
  <c r="D84" i="34"/>
  <c r="G82" i="34"/>
  <c r="E82" i="34"/>
  <c r="F82" i="34" s="1"/>
  <c r="D82" i="34"/>
  <c r="E80" i="34"/>
  <c r="F80" i="34" s="1"/>
  <c r="G80" i="34" s="1"/>
  <c r="D80" i="34"/>
  <c r="J17" i="34" s="1"/>
  <c r="D78" i="34"/>
  <c r="B75" i="34"/>
  <c r="B73" i="34"/>
  <c r="B71" i="34"/>
  <c r="H12" i="34" s="1"/>
  <c r="M70" i="34"/>
  <c r="H70" i="34"/>
  <c r="I70" i="34" s="1"/>
  <c r="J70" i="34" s="1"/>
  <c r="K70" i="34" s="1"/>
  <c r="L70" i="34" s="1"/>
  <c r="F70" i="34"/>
  <c r="G70" i="34" s="1"/>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B47" i="34"/>
  <c r="Q47" i="34"/>
  <c r="Z47" i="34" s="1"/>
  <c r="J47" i="34"/>
  <c r="W47" i="34" s="1"/>
  <c r="H47" i="34"/>
  <c r="U47" i="34" s="1"/>
  <c r="F47" i="34"/>
  <c r="AA47" i="34" s="1"/>
  <c r="AB46" i="34"/>
  <c r="U46" i="34"/>
  <c r="Q46" i="34"/>
  <c r="Z46" i="34" s="1"/>
  <c r="H46" i="34"/>
  <c r="F46" i="34"/>
  <c r="Q45" i="34"/>
  <c r="Z45" i="34" s="1"/>
  <c r="Q44" i="34"/>
  <c r="Z44" i="34" s="1"/>
  <c r="H44" i="34"/>
  <c r="Q43" i="34"/>
  <c r="Z43" i="34" s="1"/>
  <c r="J43" i="34"/>
  <c r="AC43" i="34" s="1"/>
  <c r="AA42" i="34"/>
  <c r="Q42" i="34"/>
  <c r="Z42" i="34" s="1"/>
  <c r="J42" i="34"/>
  <c r="AC42" i="34" s="1"/>
  <c r="H42" i="34"/>
  <c r="U42" i="34" s="1"/>
  <c r="F42" i="34"/>
  <c r="S42" i="34" s="1"/>
  <c r="AC41" i="34"/>
  <c r="Q41" i="34"/>
  <c r="Z41" i="34" s="1"/>
  <c r="J41" i="34"/>
  <c r="W41" i="34" s="1"/>
  <c r="H41" i="34"/>
  <c r="AB41" i="34" s="1"/>
  <c r="F41" i="34"/>
  <c r="AA41" i="34" s="1"/>
  <c r="AC40" i="34"/>
  <c r="W40" i="34"/>
  <c r="Q40" i="34"/>
  <c r="Z40" i="34" s="1"/>
  <c r="J40" i="34"/>
  <c r="H40" i="34"/>
  <c r="F40" i="34"/>
  <c r="AA40" i="34" s="1"/>
  <c r="AA39" i="34"/>
  <c r="Q39" i="34"/>
  <c r="Z39" i="34" s="1"/>
  <c r="J39" i="34"/>
  <c r="W39" i="34" s="1"/>
  <c r="H39" i="34"/>
  <c r="U39" i="34" s="1"/>
  <c r="F39" i="34"/>
  <c r="S39" i="34" s="1"/>
  <c r="AB38" i="34"/>
  <c r="Q38" i="34"/>
  <c r="Z38" i="34" s="1"/>
  <c r="J38" i="34"/>
  <c r="AC38" i="34" s="1"/>
  <c r="H38" i="34"/>
  <c r="U38" i="34" s="1"/>
  <c r="F38" i="34"/>
  <c r="AA38" i="34" s="1"/>
  <c r="Z37" i="34"/>
  <c r="Q37" i="34"/>
  <c r="AB36" i="34"/>
  <c r="Q36" i="34"/>
  <c r="Z36" i="34" s="1"/>
  <c r="J36" i="34"/>
  <c r="W36" i="34" s="1"/>
  <c r="H36" i="34"/>
  <c r="U36" i="34" s="1"/>
  <c r="F36" i="34"/>
  <c r="AA36" i="34" s="1"/>
  <c r="U35" i="34"/>
  <c r="Q35" i="34"/>
  <c r="Z35" i="34" s="1"/>
  <c r="J35" i="34"/>
  <c r="AC35" i="34" s="1"/>
  <c r="H35" i="34"/>
  <c r="AB35" i="34" s="1"/>
  <c r="F35" i="34"/>
  <c r="S35" i="34" s="1"/>
  <c r="Z34" i="34"/>
  <c r="Q34" i="34"/>
  <c r="AC33" i="34"/>
  <c r="U33" i="34"/>
  <c r="Q33" i="34"/>
  <c r="Z33" i="34" s="1"/>
  <c r="J33" i="34"/>
  <c r="W33" i="34" s="1"/>
  <c r="H33" i="34"/>
  <c r="AB33" i="34" s="1"/>
  <c r="F33" i="34"/>
  <c r="S33" i="34" s="1"/>
  <c r="Z32" i="34"/>
  <c r="Q32" i="34"/>
  <c r="H32" i="34"/>
  <c r="Z31" i="34"/>
  <c r="Q31" i="34"/>
  <c r="J31" i="34"/>
  <c r="H31" i="34"/>
  <c r="AB31" i="34" s="1"/>
  <c r="F31" i="34"/>
  <c r="S31" i="34" s="1"/>
  <c r="AB30" i="34"/>
  <c r="Q30" i="34"/>
  <c r="Z30" i="34" s="1"/>
  <c r="J30" i="34"/>
  <c r="W30" i="34" s="1"/>
  <c r="H30" i="34"/>
  <c r="U30" i="34" s="1"/>
  <c r="AB29" i="34"/>
  <c r="Q29" i="34"/>
  <c r="Z29" i="34" s="1"/>
  <c r="J29" i="34"/>
  <c r="W29" i="34" s="1"/>
  <c r="H29" i="34"/>
  <c r="U29" i="34" s="1"/>
  <c r="F29" i="34"/>
  <c r="AA29" i="34" s="1"/>
  <c r="Q28" i="34"/>
  <c r="Z28" i="34" s="1"/>
  <c r="Q27" i="34"/>
  <c r="Z27" i="34" s="1"/>
  <c r="AC25" i="34"/>
  <c r="W25" i="34"/>
  <c r="Q25" i="34"/>
  <c r="Z25" i="34" s="1"/>
  <c r="J25" i="34"/>
  <c r="H25" i="34"/>
  <c r="F25" i="34"/>
  <c r="AA25" i="34" s="1"/>
  <c r="Q23" i="34"/>
  <c r="Z23" i="34" s="1"/>
  <c r="C23" i="34"/>
  <c r="Q21" i="34"/>
  <c r="Z21" i="34" s="1"/>
  <c r="J21" i="34"/>
  <c r="AC21" i="34" s="1"/>
  <c r="H21" i="34"/>
  <c r="U21" i="34" s="1"/>
  <c r="F21" i="34"/>
  <c r="S21" i="34" s="1"/>
  <c r="C21" i="34"/>
  <c r="AC19" i="34"/>
  <c r="Q19" i="34"/>
  <c r="Z19" i="34" s="1"/>
  <c r="J19" i="34"/>
  <c r="W19" i="34" s="1"/>
  <c r="H19" i="34"/>
  <c r="AB19" i="34" s="1"/>
  <c r="F19" i="34"/>
  <c r="S19" i="34" s="1"/>
  <c r="C19" i="34"/>
  <c r="S17" i="34"/>
  <c r="Q17" i="34"/>
  <c r="Z17" i="34" s="1"/>
  <c r="F17" i="34"/>
  <c r="AA17" i="34" s="1"/>
  <c r="C17" i="34"/>
  <c r="Q15" i="34"/>
  <c r="Z15" i="34" s="1"/>
  <c r="C15" i="34"/>
  <c r="W14" i="34"/>
  <c r="Q14" i="34"/>
  <c r="Z14" i="34" s="1"/>
  <c r="J14" i="34"/>
  <c r="AC14" i="34" s="1"/>
  <c r="H14" i="34"/>
  <c r="U14" i="34" s="1"/>
  <c r="F14" i="34"/>
  <c r="S14" i="34" s="1"/>
  <c r="AA13" i="34"/>
  <c r="Q13" i="34"/>
  <c r="Z13" i="34" s="1"/>
  <c r="J13" i="34"/>
  <c r="AC13" i="34" s="1"/>
  <c r="H13" i="34"/>
  <c r="U13" i="34" s="1"/>
  <c r="F13" i="34"/>
  <c r="S13" i="34" s="1"/>
  <c r="AC12" i="34"/>
  <c r="AA12" i="34"/>
  <c r="S12" i="34"/>
  <c r="Q12" i="34"/>
  <c r="Z12" i="34" s="1"/>
  <c r="J12" i="34"/>
  <c r="W12" i="34" s="1"/>
  <c r="F12" i="34"/>
  <c r="AC11" i="34"/>
  <c r="AB11" i="34"/>
  <c r="U11" i="34"/>
  <c r="Q11" i="34"/>
  <c r="Z11" i="34" s="1"/>
  <c r="J11" i="34"/>
  <c r="W11" i="34" s="1"/>
  <c r="H11" i="34"/>
  <c r="F11" i="34"/>
  <c r="AA11" i="34" s="1"/>
  <c r="Q10" i="34"/>
  <c r="Z10" i="34" s="1"/>
  <c r="J10" i="34"/>
  <c r="AC10" i="34" s="1"/>
  <c r="H10" i="34"/>
  <c r="U10" i="34" s="1"/>
  <c r="F10" i="34"/>
  <c r="S10" i="34" s="1"/>
  <c r="Q9" i="34"/>
  <c r="Z9" i="34" s="1"/>
  <c r="H9" i="34"/>
  <c r="U9" i="34" s="1"/>
  <c r="F9" i="34"/>
  <c r="S9" i="34" s="1"/>
  <c r="J8" i="34"/>
  <c r="AC8" i="34" s="1"/>
  <c r="H8" i="34"/>
  <c r="F8" i="34"/>
  <c r="S8" i="34" s="1"/>
  <c r="Q72" i="15"/>
  <c r="P61" i="15"/>
  <c r="Q59" i="15"/>
  <c r="K59" i="15"/>
  <c r="P74" i="15" s="1"/>
  <c r="Q58" i="15"/>
  <c r="Q51" i="15"/>
  <c r="J51" i="15"/>
  <c r="J50" i="15"/>
  <c r="M47" i="15"/>
  <c r="D46" i="15"/>
  <c r="F33" i="15"/>
  <c r="F61" i="15" s="1"/>
  <c r="F23" i="15"/>
  <c r="D22" i="15" s="1"/>
  <c r="D23" i="15"/>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9" i="69"/>
  <c r="E10" i="69"/>
  <c r="E9" i="69"/>
  <c r="F7" i="69"/>
  <c r="H1" i="69"/>
  <c r="C40" i="68"/>
  <c r="F38" i="68"/>
  <c r="E37" i="68"/>
  <c r="F36" i="68"/>
  <c r="F35" i="68"/>
  <c r="F21" i="68"/>
  <c r="F40" i="68" s="1"/>
  <c r="C21" i="68"/>
  <c r="F20" i="68"/>
  <c r="F39" i="68" s="1"/>
  <c r="E10" i="68"/>
  <c r="E9" i="68"/>
  <c r="C8" i="68"/>
  <c r="C5" i="68" s="1"/>
  <c r="F7" i="68"/>
  <c r="C7" i="68"/>
  <c r="D124" i="9"/>
  <c r="A122" i="9"/>
  <c r="A120" i="9"/>
  <c r="H112" i="9"/>
  <c r="E111" i="9"/>
  <c r="H111" i="9" s="1"/>
  <c r="D126" i="9" s="1"/>
  <c r="D12" i="52" s="1"/>
  <c r="H110" i="9"/>
  <c r="H109" i="9"/>
  <c r="E109" i="9"/>
  <c r="A124" i="9" s="1"/>
  <c r="E107" i="9"/>
  <c r="H106" i="9"/>
  <c r="H105" i="9"/>
  <c r="H103" i="9" s="1"/>
  <c r="D120" i="9" s="1"/>
  <c r="H104" i="9"/>
  <c r="D101" i="9"/>
  <c r="C101" i="9"/>
  <c r="C91" i="9"/>
  <c r="E90" i="9"/>
  <c r="D89" i="9"/>
  <c r="C89" i="9" s="1"/>
  <c r="C87" i="9" s="1"/>
  <c r="C92" i="9" s="1"/>
  <c r="H77" i="9"/>
  <c r="D77" i="9"/>
  <c r="C76" i="9"/>
  <c r="F59" i="9"/>
  <c r="E59" i="9"/>
  <c r="F56" i="9"/>
  <c r="O55" i="9"/>
  <c r="N55" i="9"/>
  <c r="K55" i="9"/>
  <c r="J55" i="9"/>
  <c r="I55" i="9"/>
  <c r="F55" i="9"/>
  <c r="O54" i="9"/>
  <c r="N54" i="9"/>
  <c r="O53"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s="1"/>
  <c r="G20" i="20"/>
  <c r="B88" i="43" s="1"/>
  <c r="C20" i="20"/>
  <c r="G19" i="20"/>
  <c r="G18" i="20"/>
  <c r="B90" i="43" s="1"/>
  <c r="C18" i="20"/>
  <c r="C17" i="20"/>
  <c r="G16" i="20"/>
  <c r="C16" i="20"/>
  <c r="C17" i="39" s="1"/>
  <c r="G15" i="20"/>
  <c r="C15" i="20"/>
  <c r="B52" i="1"/>
  <c r="B43" i="1"/>
  <c r="D78" i="9" s="1"/>
  <c r="B31" i="1"/>
  <c r="B24" i="1"/>
  <c r="B23" i="1"/>
  <c r="B22" i="1"/>
  <c r="G41" i="69" s="1"/>
  <c r="O19" i="1"/>
  <c r="N18" i="1"/>
  <c r="P14" i="1"/>
  <c r="O14" i="1"/>
  <c r="AP13" i="1"/>
  <c r="AG13" i="1"/>
  <c r="AE13" i="1"/>
  <c r="S13" i="1"/>
  <c r="AR13" i="1" s="1"/>
  <c r="R13" i="1"/>
  <c r="P13" i="1"/>
  <c r="O13" i="1"/>
  <c r="K13" i="1"/>
  <c r="M13" i="1" s="1"/>
  <c r="F13" i="1"/>
  <c r="D13" i="1"/>
  <c r="A13" i="1"/>
  <c r="B13" i="1" s="1"/>
  <c r="E13" i="1" s="1"/>
  <c r="AP12" i="1"/>
  <c r="AG12" i="1"/>
  <c r="AE12" i="1"/>
  <c r="S12" i="1"/>
  <c r="AR12" i="1" s="1"/>
  <c r="P12" i="1"/>
  <c r="O12" i="1"/>
  <c r="K12" i="1"/>
  <c r="M12" i="1" s="1"/>
  <c r="F12" i="1"/>
  <c r="E12" i="1"/>
  <c r="D12" i="1"/>
  <c r="B12" i="1"/>
  <c r="A12" i="1"/>
  <c r="R12" i="1" s="1"/>
  <c r="AP11" i="1"/>
  <c r="AG11" i="1"/>
  <c r="AE11" i="1"/>
  <c r="R11" i="1"/>
  <c r="P11" i="1"/>
  <c r="O11" i="1"/>
  <c r="F11" i="1"/>
  <c r="D11" i="1"/>
  <c r="A11" i="1"/>
  <c r="AP10" i="1"/>
  <c r="AG10" i="1"/>
  <c r="AE10" i="1"/>
  <c r="S10" i="1"/>
  <c r="AR10" i="1" s="1"/>
  <c r="P10" i="1"/>
  <c r="O10" i="1"/>
  <c r="K10" i="1"/>
  <c r="M10" i="1" s="1"/>
  <c r="F10" i="1"/>
  <c r="E10" i="1"/>
  <c r="D10" i="1"/>
  <c r="B10" i="1"/>
  <c r="A10" i="1"/>
  <c r="R10" i="1" s="1"/>
  <c r="AP9" i="1"/>
  <c r="AG9" i="1"/>
  <c r="AE9" i="1"/>
  <c r="R9" i="1"/>
  <c r="P9" i="1"/>
  <c r="O9" i="1"/>
  <c r="F9" i="1"/>
  <c r="D9" i="1"/>
  <c r="B9" i="1"/>
  <c r="E9" i="1" s="1"/>
  <c r="A9" i="1"/>
  <c r="S9" i="1" s="1"/>
  <c r="AR9" i="1" s="1"/>
  <c r="AP8" i="1"/>
  <c r="AG8" i="1"/>
  <c r="AE8" i="1"/>
  <c r="S8" i="1"/>
  <c r="AR8" i="1" s="1"/>
  <c r="P8" i="1"/>
  <c r="O8" i="1"/>
  <c r="K8" i="1"/>
  <c r="M8" i="1" s="1"/>
  <c r="F8" i="1"/>
  <c r="E8" i="1"/>
  <c r="D8" i="1"/>
  <c r="B8" i="1"/>
  <c r="A8" i="1"/>
  <c r="R8" i="1" s="1"/>
  <c r="AP7" i="1"/>
  <c r="AG7" i="1"/>
  <c r="AE7" i="1"/>
  <c r="P7" i="1"/>
  <c r="O7" i="1"/>
  <c r="F7" i="1"/>
  <c r="D7" i="1"/>
  <c r="A7" i="1"/>
  <c r="AP6" i="1"/>
  <c r="AG6" i="1"/>
  <c r="P6" i="1"/>
  <c r="O6" i="1"/>
  <c r="D6" i="1"/>
  <c r="A6" i="1"/>
  <c r="G1" i="67" s="1"/>
  <c r="T4"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E19" i="6"/>
  <c r="BT587" i="3"/>
  <c r="BS587" i="3"/>
  <c r="BR587" i="3"/>
  <c r="BQ587" i="3"/>
  <c r="BP587" i="3"/>
  <c r="BO587" i="3"/>
  <c r="BN587" i="3"/>
  <c r="BM587" i="3"/>
  <c r="BL587" i="3"/>
  <c r="BK587" i="3"/>
  <c r="BJ587" i="3"/>
  <c r="BI587" i="3"/>
  <c r="BH587" i="3"/>
  <c r="BG587" i="3"/>
  <c r="BF587" i="3"/>
  <c r="BE587" i="3"/>
  <c r="BD587" i="3"/>
  <c r="BA587" i="3" s="1"/>
  <c r="AZ587" i="3" s="1"/>
  <c r="BC587" i="3"/>
  <c r="BB587" i="3"/>
  <c r="AX587" i="3"/>
  <c r="AW587" i="3"/>
  <c r="AV587" i="3"/>
  <c r="AC587" i="3"/>
  <c r="G587" i="3" s="1"/>
  <c r="H587" i="3"/>
  <c r="BT586" i="3"/>
  <c r="BS586" i="3"/>
  <c r="BR586" i="3"/>
  <c r="BQ586" i="3"/>
  <c r="BP586" i="3"/>
  <c r="BO586" i="3"/>
  <c r="BL586" i="3" s="1"/>
  <c r="AZ586" i="3" s="1"/>
  <c r="BN586" i="3"/>
  <c r="BM586" i="3"/>
  <c r="BK586" i="3"/>
  <c r="BJ586" i="3"/>
  <c r="BI586" i="3"/>
  <c r="BH586" i="3"/>
  <c r="BG586" i="3"/>
  <c r="BF586" i="3"/>
  <c r="BE586" i="3"/>
  <c r="BD586" i="3"/>
  <c r="BC586" i="3"/>
  <c r="BA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s="1"/>
  <c r="AZ583" i="3" s="1"/>
  <c r="BC583" i="3"/>
  <c r="BB583" i="3"/>
  <c r="AX583" i="3"/>
  <c r="AW583" i="3"/>
  <c r="AV583" i="3"/>
  <c r="AC583" i="3"/>
  <c r="G583" i="3" s="1"/>
  <c r="H583" i="3"/>
  <c r="BT582" i="3"/>
  <c r="BS582" i="3"/>
  <c r="BR582" i="3"/>
  <c r="BQ582" i="3"/>
  <c r="BP582" i="3"/>
  <c r="BO582" i="3"/>
  <c r="BL582" i="3" s="1"/>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L578" i="3" s="1"/>
  <c r="BN578" i="3"/>
  <c r="BM578" i="3"/>
  <c r="BK578" i="3"/>
  <c r="BJ578" i="3"/>
  <c r="BI578" i="3"/>
  <c r="BH578" i="3"/>
  <c r="BG578" i="3"/>
  <c r="BF578" i="3"/>
  <c r="BE578" i="3"/>
  <c r="BD578" i="3"/>
  <c r="BC578" i="3"/>
  <c r="BA578" i="3" s="1"/>
  <c r="AZ578" i="3" s="1"/>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s="1"/>
  <c r="AZ575" i="3" s="1"/>
  <c r="BC575" i="3"/>
  <c r="BB575" i="3"/>
  <c r="AX575" i="3"/>
  <c r="AW575" i="3"/>
  <c r="AV575" i="3"/>
  <c r="AC575" i="3"/>
  <c r="G575" i="3" s="1"/>
  <c r="H575" i="3"/>
  <c r="BT574" i="3"/>
  <c r="BS574" i="3"/>
  <c r="BR574" i="3"/>
  <c r="BQ574" i="3"/>
  <c r="BP574" i="3"/>
  <c r="BO574" i="3"/>
  <c r="BL574" i="3" s="1"/>
  <c r="BN574" i="3"/>
  <c r="BM574" i="3"/>
  <c r="BK574" i="3"/>
  <c r="BJ574" i="3"/>
  <c r="BI574" i="3"/>
  <c r="BH574" i="3"/>
  <c r="BG574" i="3"/>
  <c r="BF574" i="3"/>
  <c r="BE574" i="3"/>
  <c r="BD574" i="3"/>
  <c r="BC574" i="3"/>
  <c r="BA574" i="3" s="1"/>
  <c r="AZ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s="1"/>
  <c r="AZ571" i="3" s="1"/>
  <c r="BC571" i="3"/>
  <c r="BB571" i="3"/>
  <c r="AX571" i="3"/>
  <c r="AW571" i="3"/>
  <c r="AV571" i="3"/>
  <c r="AC571" i="3"/>
  <c r="G571" i="3" s="1"/>
  <c r="H571" i="3"/>
  <c r="BT570" i="3"/>
  <c r="BS570" i="3"/>
  <c r="BR570" i="3"/>
  <c r="BQ570" i="3"/>
  <c r="BP570" i="3"/>
  <c r="BO570" i="3"/>
  <c r="BL570" i="3" s="1"/>
  <c r="BN570" i="3"/>
  <c r="BM570" i="3"/>
  <c r="BK570" i="3"/>
  <c r="BJ570" i="3"/>
  <c r="BI570" i="3"/>
  <c r="BH570" i="3"/>
  <c r="BG570" i="3"/>
  <c r="BF570" i="3"/>
  <c r="BE570" i="3"/>
  <c r="BD570" i="3"/>
  <c r="BC570" i="3"/>
  <c r="BA570" i="3" s="1"/>
  <c r="AZ570" i="3" s="1"/>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G567" i="3" s="1"/>
  <c r="H567" i="3"/>
  <c r="BT566" i="3"/>
  <c r="BS566" i="3"/>
  <c r="BR566" i="3"/>
  <c r="BQ566" i="3"/>
  <c r="BP566" i="3"/>
  <c r="BO566" i="3"/>
  <c r="BL566" i="3" s="1"/>
  <c r="BN566" i="3"/>
  <c r="BM566" i="3"/>
  <c r="BK566" i="3"/>
  <c r="BJ566" i="3"/>
  <c r="BI566" i="3"/>
  <c r="BH566" i="3"/>
  <c r="BG566" i="3"/>
  <c r="BF566" i="3"/>
  <c r="BE566" i="3"/>
  <c r="BD566" i="3"/>
  <c r="BC566" i="3"/>
  <c r="BA566" i="3" s="1"/>
  <c r="AZ566" i="3" s="1"/>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s="1"/>
  <c r="AZ563" i="3" s="1"/>
  <c r="BC563" i="3"/>
  <c r="BB563" i="3"/>
  <c r="AX563" i="3"/>
  <c r="AW563" i="3"/>
  <c r="AV563" i="3"/>
  <c r="AC563" i="3"/>
  <c r="G563" i="3" s="1"/>
  <c r="H563" i="3"/>
  <c r="BT562" i="3"/>
  <c r="BS562" i="3"/>
  <c r="BR562" i="3"/>
  <c r="BQ562" i="3"/>
  <c r="BP562" i="3"/>
  <c r="BO562" i="3"/>
  <c r="BL562" i="3" s="1"/>
  <c r="BN562" i="3"/>
  <c r="BM562" i="3"/>
  <c r="BK562" i="3"/>
  <c r="BJ562" i="3"/>
  <c r="BI562" i="3"/>
  <c r="BH562" i="3"/>
  <c r="BG562" i="3"/>
  <c r="BF562" i="3"/>
  <c r="BE562" i="3"/>
  <c r="BD562" i="3"/>
  <c r="BC562" i="3"/>
  <c r="BA562" i="3" s="1"/>
  <c r="AZ562" i="3" s="1"/>
  <c r="BB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G559" i="3" s="1"/>
  <c r="H559" i="3"/>
  <c r="BT558" i="3"/>
  <c r="BS558" i="3"/>
  <c r="BR558" i="3"/>
  <c r="BQ558" i="3"/>
  <c r="BP558" i="3"/>
  <c r="BO558" i="3"/>
  <c r="BL558" i="3" s="1"/>
  <c r="BN558" i="3"/>
  <c r="BM558" i="3"/>
  <c r="BK558" i="3"/>
  <c r="BJ558" i="3"/>
  <c r="BI558" i="3"/>
  <c r="BH558" i="3"/>
  <c r="BG558" i="3"/>
  <c r="BF558" i="3"/>
  <c r="BE558" i="3"/>
  <c r="BD558" i="3"/>
  <c r="BC558" i="3"/>
  <c r="BA558" i="3" s="1"/>
  <c r="AZ558" i="3" s="1"/>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s="1"/>
  <c r="AZ555" i="3" s="1"/>
  <c r="BC555" i="3"/>
  <c r="BB555" i="3"/>
  <c r="AX555" i="3"/>
  <c r="AW555" i="3"/>
  <c r="AV555" i="3"/>
  <c r="AC555" i="3"/>
  <c r="G555" i="3" s="1"/>
  <c r="H555" i="3"/>
  <c r="BT554" i="3"/>
  <c r="BS554" i="3"/>
  <c r="BR554" i="3"/>
  <c r="BQ554" i="3"/>
  <c r="BP554" i="3"/>
  <c r="BO554" i="3"/>
  <c r="BL554" i="3" s="1"/>
  <c r="BN554" i="3"/>
  <c r="BM554" i="3"/>
  <c r="BK554" i="3"/>
  <c r="BJ554" i="3"/>
  <c r="BI554" i="3"/>
  <c r="BH554" i="3"/>
  <c r="BG554" i="3"/>
  <c r="BF554" i="3"/>
  <c r="BE554" i="3"/>
  <c r="BD554" i="3"/>
  <c r="BC554" i="3"/>
  <c r="BA554" i="3" s="1"/>
  <c r="AZ554" i="3" s="1"/>
  <c r="BB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G551" i="3" s="1"/>
  <c r="H551" i="3"/>
  <c r="BT550" i="3"/>
  <c r="BS550" i="3"/>
  <c r="BR550" i="3"/>
  <c r="BQ550" i="3"/>
  <c r="BP550" i="3"/>
  <c r="BO550" i="3"/>
  <c r="BL550" i="3" s="1"/>
  <c r="BN550" i="3"/>
  <c r="BM550" i="3"/>
  <c r="BK550" i="3"/>
  <c r="BJ550" i="3"/>
  <c r="BI550" i="3"/>
  <c r="BH550" i="3"/>
  <c r="BG550" i="3"/>
  <c r="BF550" i="3"/>
  <c r="BE550" i="3"/>
  <c r="BD550" i="3"/>
  <c r="BC550" i="3"/>
  <c r="BA550" i="3" s="1"/>
  <c r="AZ550" i="3" s="1"/>
  <c r="BB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G547" i="3" s="1"/>
  <c r="H547" i="3"/>
  <c r="BT546" i="3"/>
  <c r="BS546" i="3"/>
  <c r="BR546" i="3"/>
  <c r="BQ546" i="3"/>
  <c r="BP546" i="3"/>
  <c r="BO546" i="3"/>
  <c r="BL546" i="3" s="1"/>
  <c r="BN546" i="3"/>
  <c r="BM546" i="3"/>
  <c r="BK546" i="3"/>
  <c r="BJ546" i="3"/>
  <c r="BI546" i="3"/>
  <c r="BH546" i="3"/>
  <c r="BG546" i="3"/>
  <c r="BF546" i="3"/>
  <c r="BE546" i="3"/>
  <c r="BD546" i="3"/>
  <c r="BC546" i="3"/>
  <c r="BA546" i="3" s="1"/>
  <c r="AZ546" i="3" s="1"/>
  <c r="BB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s="1"/>
  <c r="AZ543" i="3" s="1"/>
  <c r="BC543" i="3"/>
  <c r="BB543" i="3"/>
  <c r="AX543" i="3"/>
  <c r="AW543" i="3"/>
  <c r="AV543" i="3"/>
  <c r="AC543" i="3"/>
  <c r="G543" i="3" s="1"/>
  <c r="H543" i="3"/>
  <c r="BT542" i="3"/>
  <c r="BS542" i="3"/>
  <c r="BR542" i="3"/>
  <c r="BQ542" i="3"/>
  <c r="BP542" i="3"/>
  <c r="BO542" i="3"/>
  <c r="BL542" i="3" s="1"/>
  <c r="BN542" i="3"/>
  <c r="BM542" i="3"/>
  <c r="BK542" i="3"/>
  <c r="BJ542" i="3"/>
  <c r="BI542" i="3"/>
  <c r="BH542" i="3"/>
  <c r="BG542" i="3"/>
  <c r="BF542" i="3"/>
  <c r="BE542" i="3"/>
  <c r="BD542" i="3"/>
  <c r="BC542" i="3"/>
  <c r="BA542" i="3" s="1"/>
  <c r="AZ542" i="3" s="1"/>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s="1"/>
  <c r="AZ539" i="3" s="1"/>
  <c r="BC539" i="3"/>
  <c r="BB539" i="3"/>
  <c r="AX539" i="3"/>
  <c r="AW539" i="3"/>
  <c r="AV539" i="3"/>
  <c r="AC539" i="3"/>
  <c r="G539" i="3" s="1"/>
  <c r="H539" i="3"/>
  <c r="BT538" i="3"/>
  <c r="BS538" i="3"/>
  <c r="BR538" i="3"/>
  <c r="BQ538" i="3"/>
  <c r="BP538" i="3"/>
  <c r="BO538" i="3"/>
  <c r="BL538" i="3" s="1"/>
  <c r="BN538" i="3"/>
  <c r="BM538" i="3"/>
  <c r="BK538" i="3"/>
  <c r="BJ538" i="3"/>
  <c r="BI538" i="3"/>
  <c r="BH538" i="3"/>
  <c r="BG538" i="3"/>
  <c r="BF538" i="3"/>
  <c r="BE538" i="3"/>
  <c r="BD538" i="3"/>
  <c r="BC538" i="3"/>
  <c r="BA538" i="3" s="1"/>
  <c r="AZ538" i="3" s="1"/>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s="1"/>
  <c r="AZ535" i="3" s="1"/>
  <c r="BC535" i="3"/>
  <c r="BB535" i="3"/>
  <c r="AX535" i="3"/>
  <c r="AW535" i="3"/>
  <c r="AV535" i="3"/>
  <c r="AC535" i="3"/>
  <c r="G535" i="3" s="1"/>
  <c r="H535" i="3"/>
  <c r="BT534" i="3"/>
  <c r="BS534" i="3"/>
  <c r="BR534" i="3"/>
  <c r="BQ534" i="3"/>
  <c r="BP534" i="3"/>
  <c r="BO534" i="3"/>
  <c r="BL534" i="3" s="1"/>
  <c r="BN534" i="3"/>
  <c r="BM534" i="3"/>
  <c r="BK534" i="3"/>
  <c r="BJ534" i="3"/>
  <c r="BI534" i="3"/>
  <c r="BH534" i="3"/>
  <c r="BG534" i="3"/>
  <c r="BF534" i="3"/>
  <c r="BE534" i="3"/>
  <c r="BD534" i="3"/>
  <c r="BC534" i="3"/>
  <c r="BA534" i="3" s="1"/>
  <c r="AZ534" i="3" s="1"/>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G531" i="3" s="1"/>
  <c r="H531" i="3"/>
  <c r="BT530" i="3"/>
  <c r="BS530" i="3"/>
  <c r="BR530" i="3"/>
  <c r="BQ530" i="3"/>
  <c r="BP530" i="3"/>
  <c r="BO530" i="3"/>
  <c r="BL530" i="3" s="1"/>
  <c r="BN530" i="3"/>
  <c r="BM530" i="3"/>
  <c r="BK530" i="3"/>
  <c r="BJ530" i="3"/>
  <c r="BI530" i="3"/>
  <c r="BH530" i="3"/>
  <c r="BG530" i="3"/>
  <c r="BF530" i="3"/>
  <c r="BE530" i="3"/>
  <c r="BD530" i="3"/>
  <c r="BC530" i="3"/>
  <c r="BA530" i="3" s="1"/>
  <c r="AZ530" i="3" s="1"/>
  <c r="BB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G527" i="3" s="1"/>
  <c r="H527" i="3"/>
  <c r="BT526" i="3"/>
  <c r="BS526" i="3"/>
  <c r="BR526" i="3"/>
  <c r="BQ526" i="3"/>
  <c r="BP526" i="3"/>
  <c r="BO526" i="3"/>
  <c r="BL526" i="3" s="1"/>
  <c r="BN526" i="3"/>
  <c r="BM526" i="3"/>
  <c r="BK526" i="3"/>
  <c r="BJ526" i="3"/>
  <c r="BI526" i="3"/>
  <c r="BH526" i="3"/>
  <c r="BG526" i="3"/>
  <c r="BF526" i="3"/>
  <c r="BE526" i="3"/>
  <c r="BD526" i="3"/>
  <c r="BC526" i="3"/>
  <c r="BA526" i="3" s="1"/>
  <c r="AZ526" i="3" s="1"/>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s="1"/>
  <c r="AZ523" i="3" s="1"/>
  <c r="BC523" i="3"/>
  <c r="BB523" i="3"/>
  <c r="AX523" i="3"/>
  <c r="AW523" i="3"/>
  <c r="AV523" i="3"/>
  <c r="AC523" i="3"/>
  <c r="G523" i="3" s="1"/>
  <c r="H523" i="3"/>
  <c r="BT522" i="3"/>
  <c r="BS522" i="3"/>
  <c r="BR522" i="3"/>
  <c r="BQ522" i="3"/>
  <c r="BP522" i="3"/>
  <c r="BO522" i="3"/>
  <c r="BL522" i="3" s="1"/>
  <c r="BN522" i="3"/>
  <c r="BM522" i="3"/>
  <c r="BK522" i="3"/>
  <c r="BJ522" i="3"/>
  <c r="BI522" i="3"/>
  <c r="BH522" i="3"/>
  <c r="BG522" i="3"/>
  <c r="BF522" i="3"/>
  <c r="BE522" i="3"/>
  <c r="BD522" i="3"/>
  <c r="BC522" i="3"/>
  <c r="BA522" i="3" s="1"/>
  <c r="AZ522" i="3" s="1"/>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G519" i="3" s="1"/>
  <c r="H519" i="3"/>
  <c r="BT518" i="3"/>
  <c r="BS518" i="3"/>
  <c r="BR518" i="3"/>
  <c r="BQ518" i="3"/>
  <c r="BP518" i="3"/>
  <c r="BO518" i="3"/>
  <c r="BL518" i="3" s="1"/>
  <c r="BN518" i="3"/>
  <c r="BM518" i="3"/>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s="1"/>
  <c r="AZ515" i="3" s="1"/>
  <c r="BC515" i="3"/>
  <c r="BB515" i="3"/>
  <c r="AX515" i="3"/>
  <c r="AW515" i="3"/>
  <c r="AV515" i="3"/>
  <c r="AC515" i="3"/>
  <c r="G515" i="3" s="1"/>
  <c r="H515" i="3"/>
  <c r="BT514" i="3"/>
  <c r="BS514" i="3"/>
  <c r="BR514" i="3"/>
  <c r="BQ514" i="3"/>
  <c r="BP514" i="3"/>
  <c r="BO514" i="3"/>
  <c r="BL514" i="3" s="1"/>
  <c r="BN514" i="3"/>
  <c r="BM514" i="3"/>
  <c r="BK514" i="3"/>
  <c r="BJ514" i="3"/>
  <c r="BI514" i="3"/>
  <c r="BH514" i="3"/>
  <c r="BG514" i="3"/>
  <c r="BF514" i="3"/>
  <c r="BE514" i="3"/>
  <c r="BD514" i="3"/>
  <c r="BC514" i="3"/>
  <c r="BA514" i="3" s="1"/>
  <c r="AZ514" i="3" s="1"/>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G511" i="3" s="1"/>
  <c r="H511" i="3"/>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G508" i="3" s="1"/>
  <c r="H508" i="3"/>
  <c r="BT507" i="3"/>
  <c r="BS507" i="3"/>
  <c r="BR507" i="3"/>
  <c r="BQ507" i="3"/>
  <c r="BP507" i="3"/>
  <c r="BO507" i="3"/>
  <c r="BL507" i="3" s="1"/>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s="1"/>
  <c r="AZ504" i="3" s="1"/>
  <c r="BC504" i="3"/>
  <c r="BB504" i="3"/>
  <c r="AX504" i="3"/>
  <c r="AW504" i="3"/>
  <c r="AV504" i="3"/>
  <c r="AC504" i="3"/>
  <c r="G504" i="3" s="1"/>
  <c r="H504" i="3"/>
  <c r="BT503" i="3"/>
  <c r="BS503" i="3"/>
  <c r="BR503" i="3"/>
  <c r="BQ503" i="3"/>
  <c r="BP503" i="3"/>
  <c r="BO503" i="3"/>
  <c r="BL503" i="3" s="1"/>
  <c r="BN503" i="3"/>
  <c r="BM503" i="3"/>
  <c r="BK503" i="3"/>
  <c r="BJ503" i="3"/>
  <c r="BI503" i="3"/>
  <c r="BH503" i="3"/>
  <c r="BG503" i="3"/>
  <c r="BF503" i="3"/>
  <c r="BE503" i="3"/>
  <c r="BD503" i="3"/>
  <c r="BC503" i="3"/>
  <c r="BA503" i="3" s="1"/>
  <c r="BB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G500" i="3" s="1"/>
  <c r="H500" i="3"/>
  <c r="BT499" i="3"/>
  <c r="BS499" i="3"/>
  <c r="BR499" i="3"/>
  <c r="BQ499" i="3"/>
  <c r="BP499" i="3"/>
  <c r="BO499" i="3"/>
  <c r="BL499" i="3" s="1"/>
  <c r="BN499" i="3"/>
  <c r="BM499" i="3"/>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G496" i="3" s="1"/>
  <c r="H496" i="3"/>
  <c r="BT495" i="3"/>
  <c r="BS495" i="3"/>
  <c r="BR495" i="3"/>
  <c r="BQ495" i="3"/>
  <c r="BP495" i="3"/>
  <c r="BO495" i="3"/>
  <c r="BL495" i="3" s="1"/>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BC416" i="3"/>
  <c r="BB416" i="3"/>
  <c r="AZ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Z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BC404" i="3"/>
  <c r="BB404" i="3"/>
  <c r="AZ404" i="3"/>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BC400" i="3"/>
  <c r="BB400" i="3"/>
  <c r="AZ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s="1"/>
  <c r="BC392" i="3"/>
  <c r="BB392" i="3"/>
  <c r="AZ392" i="3"/>
  <c r="AX392" i="3"/>
  <c r="AW392" i="3"/>
  <c r="AV392" i="3"/>
  <c r="AC392" i="3"/>
  <c r="G392" i="3" s="1"/>
  <c r="H392" i="3"/>
  <c r="BT391" i="3"/>
  <c r="BS391" i="3"/>
  <c r="BR391" i="3"/>
  <c r="BQ391" i="3"/>
  <c r="BP391" i="3"/>
  <c r="BO391" i="3"/>
  <c r="BL391" i="3" s="1"/>
  <c r="BN391" i="3"/>
  <c r="BM391" i="3"/>
  <c r="BK391" i="3"/>
  <c r="BJ391" i="3"/>
  <c r="BI391" i="3"/>
  <c r="BH391" i="3"/>
  <c r="BG391" i="3"/>
  <c r="BF391" i="3"/>
  <c r="BE391" i="3"/>
  <c r="BD391" i="3"/>
  <c r="BC391" i="3"/>
  <c r="BA391" i="3" s="1"/>
  <c r="AZ391" i="3" s="1"/>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s="1"/>
  <c r="BC388" i="3"/>
  <c r="BB388" i="3"/>
  <c r="AZ388" i="3"/>
  <c r="AX388" i="3"/>
  <c r="AW388" i="3"/>
  <c r="AV388" i="3"/>
  <c r="AC388" i="3"/>
  <c r="G388" i="3" s="1"/>
  <c r="H388" i="3"/>
  <c r="BT387" i="3"/>
  <c r="BS387" i="3"/>
  <c r="BR387" i="3"/>
  <c r="BQ387" i="3"/>
  <c r="BP387" i="3"/>
  <c r="BO387" i="3"/>
  <c r="BL387" i="3" s="1"/>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A383" i="3" s="1"/>
  <c r="AZ383" i="3" s="1"/>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G380" i="3" s="1"/>
  <c r="H380" i="3"/>
  <c r="BT379" i="3"/>
  <c r="BS379" i="3"/>
  <c r="BR379" i="3"/>
  <c r="BQ379" i="3"/>
  <c r="BP379" i="3"/>
  <c r="BO379" i="3"/>
  <c r="BL379" i="3" s="1"/>
  <c r="BN379" i="3"/>
  <c r="BM379" i="3"/>
  <c r="BK379" i="3"/>
  <c r="BJ379" i="3"/>
  <c r="BI379" i="3"/>
  <c r="BH379" i="3"/>
  <c r="BG379" i="3"/>
  <c r="BF379" i="3"/>
  <c r="BE379" i="3"/>
  <c r="BD379" i="3"/>
  <c r="BC379" i="3"/>
  <c r="BA379" i="3" s="1"/>
  <c r="AZ379" i="3" s="1"/>
  <c r="BB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BC376" i="3"/>
  <c r="BB376" i="3"/>
  <c r="AZ376" i="3"/>
  <c r="AX376" i="3"/>
  <c r="AW376" i="3"/>
  <c r="AV376" i="3"/>
  <c r="AC376" i="3"/>
  <c r="G376" i="3" s="1"/>
  <c r="H376" i="3"/>
  <c r="BT375" i="3"/>
  <c r="BS375" i="3"/>
  <c r="BR375" i="3"/>
  <c r="BQ375" i="3"/>
  <c r="BP375" i="3"/>
  <c r="BO375" i="3"/>
  <c r="BL375" i="3" s="1"/>
  <c r="BN375" i="3"/>
  <c r="BM375" i="3"/>
  <c r="BK375" i="3"/>
  <c r="BJ375" i="3"/>
  <c r="BI375" i="3"/>
  <c r="BH375" i="3"/>
  <c r="BG375" i="3"/>
  <c r="BF375" i="3"/>
  <c r="BE375" i="3"/>
  <c r="BD375" i="3"/>
  <c r="BC375" i="3"/>
  <c r="BA375" i="3" s="1"/>
  <c r="AZ375" i="3" s="1"/>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s="1"/>
  <c r="BC372" i="3"/>
  <c r="BB372" i="3"/>
  <c r="AZ372" i="3"/>
  <c r="AX372" i="3"/>
  <c r="AW372" i="3"/>
  <c r="AV372" i="3"/>
  <c r="AC372" i="3"/>
  <c r="G372" i="3" s="1"/>
  <c r="H372" i="3"/>
  <c r="BT371" i="3"/>
  <c r="BS371" i="3"/>
  <c r="BR371" i="3"/>
  <c r="BQ371" i="3"/>
  <c r="BP371" i="3"/>
  <c r="BO371" i="3"/>
  <c r="BL371" i="3" s="1"/>
  <c r="BN371" i="3"/>
  <c r="BM371" i="3"/>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A367" i="3" s="1"/>
  <c r="AZ367" i="3" s="1"/>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A363" i="3" s="1"/>
  <c r="AZ363" i="3" s="1"/>
  <c r="BB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s="1"/>
  <c r="BC360" i="3"/>
  <c r="BB360" i="3"/>
  <c r="AZ360" i="3"/>
  <c r="AX360" i="3"/>
  <c r="AW360" i="3"/>
  <c r="AV360" i="3"/>
  <c r="AC360" i="3"/>
  <c r="G360" i="3" s="1"/>
  <c r="H360" i="3"/>
  <c r="BT359" i="3"/>
  <c r="BS359" i="3"/>
  <c r="BR359" i="3"/>
  <c r="BQ359" i="3"/>
  <c r="BP359" i="3"/>
  <c r="BO359" i="3"/>
  <c r="BL359" i="3" s="1"/>
  <c r="BN359" i="3"/>
  <c r="BM359" i="3"/>
  <c r="BK359" i="3"/>
  <c r="BJ359" i="3"/>
  <c r="BI359" i="3"/>
  <c r="BH359" i="3"/>
  <c r="BG359" i="3"/>
  <c r="BF359" i="3"/>
  <c r="BE359" i="3"/>
  <c r="BD359" i="3"/>
  <c r="BC359" i="3"/>
  <c r="BA359" i="3" s="1"/>
  <c r="AZ359" i="3" s="1"/>
  <c r="BB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s="1"/>
  <c r="BC356" i="3"/>
  <c r="BB356" i="3"/>
  <c r="AZ356" i="3"/>
  <c r="AX356" i="3"/>
  <c r="AW356" i="3"/>
  <c r="AV356" i="3"/>
  <c r="AC356" i="3"/>
  <c r="G356" i="3" s="1"/>
  <c r="H356" i="3"/>
  <c r="BT355" i="3"/>
  <c r="BS355" i="3"/>
  <c r="BR355" i="3"/>
  <c r="BQ355" i="3"/>
  <c r="BP355" i="3"/>
  <c r="BO355" i="3"/>
  <c r="BL355" i="3" s="1"/>
  <c r="BN355" i="3"/>
  <c r="BM355" i="3"/>
  <c r="BK355" i="3"/>
  <c r="BJ355" i="3"/>
  <c r="BI355" i="3"/>
  <c r="BH355" i="3"/>
  <c r="BG355" i="3"/>
  <c r="BF355" i="3"/>
  <c r="BE355" i="3"/>
  <c r="BD355" i="3"/>
  <c r="BC355" i="3"/>
  <c r="BA355" i="3" s="1"/>
  <c r="BB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s="1"/>
  <c r="BC352" i="3"/>
  <c r="BB352" i="3"/>
  <c r="AZ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A351" i="3" s="1"/>
  <c r="AZ351" i="3" s="1"/>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AZ348" i="3" s="1"/>
  <c r="BC348" i="3"/>
  <c r="BB348" i="3"/>
  <c r="AX348" i="3"/>
  <c r="AW348" i="3"/>
  <c r="AV348" i="3"/>
  <c r="AC348" i="3"/>
  <c r="G348" i="3" s="1"/>
  <c r="H348" i="3"/>
  <c r="BT347" i="3"/>
  <c r="BS347" i="3"/>
  <c r="BR347" i="3"/>
  <c r="BQ347" i="3"/>
  <c r="BP347" i="3"/>
  <c r="BO347" i="3"/>
  <c r="BL347" i="3" s="1"/>
  <c r="BN347" i="3"/>
  <c r="BM347" i="3"/>
  <c r="BK347" i="3"/>
  <c r="BJ347" i="3"/>
  <c r="BI347" i="3"/>
  <c r="BH347" i="3"/>
  <c r="BG347" i="3"/>
  <c r="BF347" i="3"/>
  <c r="BE347" i="3"/>
  <c r="BD347" i="3"/>
  <c r="BC347" i="3"/>
  <c r="BA347" i="3" s="1"/>
  <c r="AZ347" i="3" s="1"/>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s="1"/>
  <c r="BC344" i="3"/>
  <c r="BB344" i="3"/>
  <c r="AZ344" i="3"/>
  <c r="AX344" i="3"/>
  <c r="AW344" i="3"/>
  <c r="AV344" i="3"/>
  <c r="AC344" i="3"/>
  <c r="G344" i="3" s="1"/>
  <c r="H344" i="3"/>
  <c r="BT343" i="3"/>
  <c r="BS343" i="3"/>
  <c r="BR343" i="3"/>
  <c r="BQ343" i="3"/>
  <c r="BP343" i="3"/>
  <c r="BO343" i="3"/>
  <c r="BL343" i="3" s="1"/>
  <c r="BN343" i="3"/>
  <c r="BM343" i="3"/>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s="1"/>
  <c r="BC340" i="3"/>
  <c r="BB340" i="3"/>
  <c r="AZ340" i="3"/>
  <c r="AX340" i="3"/>
  <c r="AW340" i="3"/>
  <c r="AV340" i="3"/>
  <c r="AC340" i="3"/>
  <c r="G340" i="3" s="1"/>
  <c r="H340" i="3"/>
  <c r="BT339" i="3"/>
  <c r="BS339" i="3"/>
  <c r="BR339" i="3"/>
  <c r="BQ339" i="3"/>
  <c r="BP339" i="3"/>
  <c r="BO339" i="3"/>
  <c r="BL339" i="3" s="1"/>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s="1"/>
  <c r="BC336" i="3"/>
  <c r="BB336" i="3"/>
  <c r="AZ336" i="3"/>
  <c r="AX336" i="3"/>
  <c r="AW336" i="3"/>
  <c r="AV336" i="3"/>
  <c r="AC336" i="3"/>
  <c r="G336" i="3" s="1"/>
  <c r="H336" i="3"/>
  <c r="BT335" i="3"/>
  <c r="BS335" i="3"/>
  <c r="BR335" i="3"/>
  <c r="BQ335" i="3"/>
  <c r="BP335" i="3"/>
  <c r="BO335" i="3"/>
  <c r="BL335" i="3" s="1"/>
  <c r="BN335" i="3"/>
  <c r="BM335" i="3"/>
  <c r="BK335" i="3"/>
  <c r="BJ335" i="3"/>
  <c r="BI335" i="3"/>
  <c r="BH335" i="3"/>
  <c r="BG335" i="3"/>
  <c r="BF335" i="3"/>
  <c r="BE335" i="3"/>
  <c r="BD335" i="3"/>
  <c r="BC335" i="3"/>
  <c r="BA335" i="3" s="1"/>
  <c r="AZ335" i="3" s="1"/>
  <c r="BB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G332" i="3" s="1"/>
  <c r="H332" i="3"/>
  <c r="BT331" i="3"/>
  <c r="BS331" i="3"/>
  <c r="BR331" i="3"/>
  <c r="BQ331" i="3"/>
  <c r="BP331" i="3"/>
  <c r="BO331" i="3"/>
  <c r="BL331" i="3" s="1"/>
  <c r="BN331" i="3"/>
  <c r="BM331" i="3"/>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s="1"/>
  <c r="BC328" i="3"/>
  <c r="BB328" i="3"/>
  <c r="AZ328" i="3"/>
  <c r="AX328" i="3"/>
  <c r="AW328" i="3"/>
  <c r="AV328" i="3"/>
  <c r="AC328" i="3"/>
  <c r="G328" i="3" s="1"/>
  <c r="H328" i="3"/>
  <c r="BT327" i="3"/>
  <c r="BS327" i="3"/>
  <c r="BR327" i="3"/>
  <c r="BQ327" i="3"/>
  <c r="BP327" i="3"/>
  <c r="BO327" i="3"/>
  <c r="BL327" i="3" s="1"/>
  <c r="BN327" i="3"/>
  <c r="BM327" i="3"/>
  <c r="BK327" i="3"/>
  <c r="BJ327" i="3"/>
  <c r="BI327" i="3"/>
  <c r="BH327" i="3"/>
  <c r="BG327" i="3"/>
  <c r="BF327" i="3"/>
  <c r="BE327" i="3"/>
  <c r="BD327" i="3"/>
  <c r="BC327" i="3"/>
  <c r="BA327" i="3" s="1"/>
  <c r="AZ327" i="3" s="1"/>
  <c r="BB327" i="3"/>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G324" i="3" s="1"/>
  <c r="H324" i="3"/>
  <c r="BT323" i="3"/>
  <c r="BS323" i="3"/>
  <c r="BR323" i="3"/>
  <c r="BQ323" i="3"/>
  <c r="BP323" i="3"/>
  <c r="BO323" i="3"/>
  <c r="BL323" i="3" s="1"/>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s="1"/>
  <c r="BC320" i="3"/>
  <c r="BB320" i="3"/>
  <c r="AZ320" i="3"/>
  <c r="AX320" i="3"/>
  <c r="AW320" i="3"/>
  <c r="AV320" i="3"/>
  <c r="AC320" i="3"/>
  <c r="G320" i="3" s="1"/>
  <c r="H320" i="3"/>
  <c r="BT319" i="3"/>
  <c r="BS319" i="3"/>
  <c r="BR319" i="3"/>
  <c r="BQ319" i="3"/>
  <c r="BP319" i="3"/>
  <c r="BO319" i="3"/>
  <c r="BL319" i="3" s="1"/>
  <c r="BN319" i="3"/>
  <c r="BM319" i="3"/>
  <c r="BK319" i="3"/>
  <c r="BJ319" i="3"/>
  <c r="BI319" i="3"/>
  <c r="BH319" i="3"/>
  <c r="BG319" i="3"/>
  <c r="BF319" i="3"/>
  <c r="BE319" i="3"/>
  <c r="BD319" i="3"/>
  <c r="BC319" i="3"/>
  <c r="BA319" i="3" s="1"/>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G316" i="3" s="1"/>
  <c r="H316" i="3"/>
  <c r="BT315" i="3"/>
  <c r="BS315" i="3"/>
  <c r="BR315" i="3"/>
  <c r="BQ315" i="3"/>
  <c r="BP315" i="3"/>
  <c r="BO315" i="3"/>
  <c r="BL315" i="3" s="1"/>
  <c r="BN315" i="3"/>
  <c r="BM315" i="3"/>
  <c r="BK315" i="3"/>
  <c r="BJ315" i="3"/>
  <c r="BI315" i="3"/>
  <c r="BH315" i="3"/>
  <c r="BG315" i="3"/>
  <c r="BF315" i="3"/>
  <c r="BE315" i="3"/>
  <c r="BD315" i="3"/>
  <c r="BC315" i="3"/>
  <c r="BA315" i="3" s="1"/>
  <c r="AZ315" i="3" s="1"/>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BC312" i="3"/>
  <c r="BB312" i="3"/>
  <c r="AZ312" i="3"/>
  <c r="AX312" i="3"/>
  <c r="AW312" i="3"/>
  <c r="AV312" i="3"/>
  <c r="AC312" i="3"/>
  <c r="G312" i="3" s="1"/>
  <c r="H312" i="3"/>
  <c r="BT311" i="3"/>
  <c r="BS311" i="3"/>
  <c r="BR311" i="3"/>
  <c r="BQ311" i="3"/>
  <c r="BP311" i="3"/>
  <c r="BO311" i="3"/>
  <c r="BL311" i="3" s="1"/>
  <c r="BN311" i="3"/>
  <c r="BM311" i="3"/>
  <c r="BK311" i="3"/>
  <c r="BJ311" i="3"/>
  <c r="BI311" i="3"/>
  <c r="BH311" i="3"/>
  <c r="BG311" i="3"/>
  <c r="BF311" i="3"/>
  <c r="BE311" i="3"/>
  <c r="BD311" i="3"/>
  <c r="BC311" i="3"/>
  <c r="BA311" i="3" s="1"/>
  <c r="AZ311" i="3" s="1"/>
  <c r="BB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s="1"/>
  <c r="AZ308" i="3" s="1"/>
  <c r="BC308" i="3"/>
  <c r="BB308" i="3"/>
  <c r="AX308" i="3"/>
  <c r="AW308" i="3"/>
  <c r="AV308" i="3"/>
  <c r="AC308" i="3"/>
  <c r="H308" i="3"/>
  <c r="BT307" i="3"/>
  <c r="BS307" i="3"/>
  <c r="BR307" i="3"/>
  <c r="BQ307" i="3"/>
  <c r="BP307" i="3"/>
  <c r="BO307" i="3"/>
  <c r="BL307" i="3" s="1"/>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s="1"/>
  <c r="BC304" i="3"/>
  <c r="BB304" i="3"/>
  <c r="AZ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Z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Z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Z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Z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Z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Z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Z232" i="3"/>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Z224" i="3"/>
  <c r="AX224" i="3"/>
  <c r="AW224" i="3"/>
  <c r="AV224" i="3"/>
  <c r="AC224" i="3"/>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BC216" i="3"/>
  <c r="BB216" i="3"/>
  <c r="AZ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s="1"/>
  <c r="BC200" i="3"/>
  <c r="BB200" i="3"/>
  <c r="AZ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s="1"/>
  <c r="BC192" i="3"/>
  <c r="BB192" i="3"/>
  <c r="AZ192" i="3"/>
  <c r="AX192" i="3"/>
  <c r="AW192" i="3"/>
  <c r="AV192" i="3"/>
  <c r="AC192" i="3"/>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s="1"/>
  <c r="BC184" i="3"/>
  <c r="BB184" i="3"/>
  <c r="AZ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s="1"/>
  <c r="BC176" i="3"/>
  <c r="BB176" i="3"/>
  <c r="AZ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s="1"/>
  <c r="BC168" i="3"/>
  <c r="BB168" i="3"/>
  <c r="AZ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s="1"/>
  <c r="BC160" i="3"/>
  <c r="BB160" i="3"/>
  <c r="AZ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BC152" i="3"/>
  <c r="BB152" i="3"/>
  <c r="AZ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s="1"/>
  <c r="BC144" i="3"/>
  <c r="BB144" i="3"/>
  <c r="AZ144" i="3"/>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s="1"/>
  <c r="BC136" i="3"/>
  <c r="BB136" i="3"/>
  <c r="AZ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BC128" i="3"/>
  <c r="BB128" i="3"/>
  <c r="AZ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O119" i="3"/>
  <c r="BL119" i="3" s="1"/>
  <c r="AZ119" i="3" s="1"/>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s="1"/>
  <c r="BT115" i="3"/>
  <c r="BS115" i="3"/>
  <c r="BR115" i="3"/>
  <c r="BQ115" i="3"/>
  <c r="BP115" i="3"/>
  <c r="BO115" i="3"/>
  <c r="BL115" i="3" s="1"/>
  <c r="AZ115" i="3" s="1"/>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AZ111" i="3" s="1"/>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AZ107" i="3" s="1"/>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AZ103" i="3" s="1"/>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AZ99" i="3" s="1"/>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AZ91" i="3" s="1"/>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s="1"/>
  <c r="BT87" i="3"/>
  <c r="BS87" i="3"/>
  <c r="BR87" i="3"/>
  <c r="BQ87" i="3"/>
  <c r="BP87" i="3"/>
  <c r="BO87" i="3"/>
  <c r="BL87" i="3" s="1"/>
  <c r="AZ87" i="3" s="1"/>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AZ83" i="3" s="1"/>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s="1"/>
  <c r="BN80" i="3"/>
  <c r="BM80" i="3"/>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G61" i="3" s="1"/>
  <c r="H61" i="3"/>
  <c r="BT60" i="3"/>
  <c r="BS60" i="3"/>
  <c r="BR60" i="3"/>
  <c r="BQ60" i="3"/>
  <c r="BP60" i="3"/>
  <c r="BO60" i="3"/>
  <c r="BL60" i="3" s="1"/>
  <c r="BN60" i="3"/>
  <c r="BM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G41" i="3" s="1"/>
  <c r="H41" i="3"/>
  <c r="BT40" i="3"/>
  <c r="BS40" i="3"/>
  <c r="BR40" i="3"/>
  <c r="BQ40" i="3"/>
  <c r="BP40" i="3"/>
  <c r="BO40" i="3"/>
  <c r="BL40" i="3" s="1"/>
  <c r="BN40" i="3"/>
  <c r="BM40" i="3"/>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G33" i="3" s="1"/>
  <c r="H33" i="3"/>
  <c r="BT32" i="3"/>
  <c r="BS32" i="3"/>
  <c r="BR32" i="3"/>
  <c r="BQ32" i="3"/>
  <c r="BP32" i="3"/>
  <c r="BO32" i="3"/>
  <c r="BL32" i="3" s="1"/>
  <c r="BN32" i="3"/>
  <c r="BM32" i="3"/>
  <c r="BK32" i="3"/>
  <c r="BJ32" i="3"/>
  <c r="BI32" i="3"/>
  <c r="BH32" i="3"/>
  <c r="BG32" i="3"/>
  <c r="BF32" i="3"/>
  <c r="BE32" i="3"/>
  <c r="BD32" i="3"/>
  <c r="BC32" i="3"/>
  <c r="BA32" i="3" s="1"/>
  <c r="AZ32" i="3" s="1"/>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AZ24" i="3" s="1"/>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AZ20" i="3" s="1"/>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G17" i="3" s="1"/>
  <c r="H17" i="3"/>
  <c r="BT16" i="3"/>
  <c r="BS16" i="3"/>
  <c r="BR16" i="3"/>
  <c r="BQ16" i="3"/>
  <c r="BP16" i="3"/>
  <c r="BO16" i="3"/>
  <c r="BL16" i="3" s="1"/>
  <c r="BN16" i="3"/>
  <c r="BM16" i="3"/>
  <c r="BK16" i="3"/>
  <c r="BJ16" i="3"/>
  <c r="BI16" i="3"/>
  <c r="BH16" i="3"/>
  <c r="BG16" i="3"/>
  <c r="BF16" i="3"/>
  <c r="BE16" i="3"/>
  <c r="BD16" i="3"/>
  <c r="BC16" i="3"/>
  <c r="BA16" i="3" s="1"/>
  <c r="AZ16" i="3" s="1"/>
  <c r="BB16" i="3"/>
  <c r="AX16" i="3"/>
  <c r="AW16" i="3"/>
  <c r="AV16" i="3"/>
  <c r="AC16" i="3"/>
  <c r="AC5" i="3" s="1"/>
  <c r="H16" i="3"/>
  <c r="G16" i="3" s="1"/>
  <c r="BT15" i="3"/>
  <c r="BS15" i="3"/>
  <c r="BR15" i="3"/>
  <c r="BQ15" i="3"/>
  <c r="BP15" i="3"/>
  <c r="BO15" i="3"/>
  <c r="BN15" i="3"/>
  <c r="BL15" i="3" s="1"/>
  <c r="BM15" i="3"/>
  <c r="BK15" i="3"/>
  <c r="BJ15" i="3"/>
  <c r="BI15" i="3"/>
  <c r="BH15" i="3"/>
  <c r="BG15" i="3"/>
  <c r="BF15" i="3"/>
  <c r="BE15" i="3"/>
  <c r="BD15" i="3"/>
  <c r="BC15" i="3"/>
  <c r="BB15" i="3"/>
  <c r="BA15" i="3" s="1"/>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c r="AX14" i="3"/>
  <c r="AW14" i="3"/>
  <c r="AV14" i="3"/>
  <c r="AC14" i="3"/>
  <c r="H14" i="3"/>
  <c r="G14" i="3"/>
  <c r="BT13" i="3"/>
  <c r="BT5" i="3" s="1"/>
  <c r="BS13" i="3"/>
  <c r="BR13" i="3"/>
  <c r="BR5" i="3" s="1"/>
  <c r="G28" i="6" s="1"/>
  <c r="BQ13" i="3"/>
  <c r="BQ5" i="3" s="1"/>
  <c r="F28" i="6" s="1"/>
  <c r="BP13" i="3"/>
  <c r="BP5" i="3" s="1"/>
  <c r="BO13" i="3"/>
  <c r="BN13" i="3"/>
  <c r="BN5" i="3" s="1"/>
  <c r="G29" i="6" s="1"/>
  <c r="BM13" i="3"/>
  <c r="BM5" i="3" s="1"/>
  <c r="F29" i="6" s="1"/>
  <c r="BL13" i="3"/>
  <c r="BK13" i="3"/>
  <c r="BJ13" i="3"/>
  <c r="BJ5" i="3" s="1"/>
  <c r="BI13" i="3"/>
  <c r="BI5" i="3" s="1"/>
  <c r="BH13" i="3"/>
  <c r="BH5" i="3" s="1"/>
  <c r="BG13" i="3"/>
  <c r="BF13" i="3"/>
  <c r="BF5" i="3" s="1"/>
  <c r="BE13" i="3"/>
  <c r="BE5" i="3" s="1"/>
  <c r="BD13" i="3"/>
  <c r="BD5" i="3" s="1"/>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A15" i="62" s="1"/>
  <c r="B61" i="72" s="1"/>
  <c r="F19" i="4"/>
  <c r="I15" i="4"/>
  <c r="H15" i="4"/>
  <c r="G15" i="4"/>
  <c r="F15" i="4"/>
  <c r="E15" i="4"/>
  <c r="D15" i="4"/>
  <c r="C15" i="4"/>
  <c r="K6" i="4"/>
  <c r="I4" i="4"/>
  <c r="G4" i="4"/>
  <c r="K5" i="4" s="1"/>
  <c r="B47" i="48" s="1"/>
  <c r="E4" i="4"/>
  <c r="B5" i="62" s="1"/>
  <c r="B73" i="72" s="1"/>
  <c r="C4" i="4"/>
  <c r="K4" i="4" s="1"/>
  <c r="B46" i="48" s="1"/>
  <c r="B4" i="72" s="1"/>
  <c r="C1" i="73"/>
  <c r="S2" i="4"/>
  <c r="A4" i="52" s="1"/>
  <c r="B41" i="72" s="1"/>
  <c r="S1" i="4"/>
  <c r="B1" i="4"/>
  <c r="C60" i="78"/>
  <c r="D60" i="78" s="1"/>
  <c r="B56" i="78"/>
  <c r="B55" i="78"/>
  <c r="D55" i="78" s="1"/>
  <c r="B54" i="78"/>
  <c r="D54" i="78" s="1"/>
  <c r="D53" i="78"/>
  <c r="D52" i="78"/>
  <c r="D51" i="78"/>
  <c r="D56" i="78" s="1"/>
  <c r="C51" i="78"/>
  <c r="C56" i="78" s="1"/>
  <c r="C58" i="78" s="1"/>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B3" i="78"/>
  <c r="C53" i="10"/>
  <c r="C51" i="10"/>
  <c r="A13" i="51" s="1"/>
  <c r="B11" i="72" s="1"/>
  <c r="B51" i="10"/>
  <c r="H16" i="49"/>
  <c r="D16" i="49"/>
  <c r="D15" i="49"/>
  <c r="B2" i="49"/>
  <c r="A21" i="62"/>
  <c r="B67" i="72" s="1"/>
  <c r="A20" i="62"/>
  <c r="B66" i="72" s="1"/>
  <c r="A19" i="62"/>
  <c r="B65" i="72" s="1"/>
  <c r="A14" i="62"/>
  <c r="A13" i="62"/>
  <c r="B59" i="72" s="1"/>
  <c r="A12" i="62"/>
  <c r="A5" i="62"/>
  <c r="B4" i="62"/>
  <c r="B71" i="72" s="1"/>
  <c r="A4" i="62"/>
  <c r="B70" i="72" s="1"/>
  <c r="A10" i="52"/>
  <c r="B55" i="72" s="1"/>
  <c r="A8" i="52"/>
  <c r="B54" i="72" s="1"/>
  <c r="D6" i="52"/>
  <c r="A6" i="52"/>
  <c r="H2" i="52"/>
  <c r="F2" i="52"/>
  <c r="D2" i="52"/>
  <c r="A1" i="52"/>
  <c r="D21" i="53"/>
  <c r="D19" i="53"/>
  <c r="D20" i="53" s="1"/>
  <c r="B40" i="72" s="1"/>
  <c r="B19" i="53"/>
  <c r="D16" i="53"/>
  <c r="D17" i="53" s="1"/>
  <c r="B36" i="72" s="1"/>
  <c r="B16" i="53"/>
  <c r="B13" i="53"/>
  <c r="D12" i="53"/>
  <c r="D11" i="53"/>
  <c r="D10" i="53"/>
  <c r="D8" i="53"/>
  <c r="D9" i="53" s="1"/>
  <c r="B25" i="72" s="1"/>
  <c r="B8" i="53"/>
  <c r="A3" i="53"/>
  <c r="A2" i="53"/>
  <c r="A24" i="51"/>
  <c r="B18" i="72" s="1"/>
  <c r="A22" i="51"/>
  <c r="B17" i="72" s="1"/>
  <c r="A21" i="51"/>
  <c r="B16" i="72" s="1"/>
  <c r="A20" i="51"/>
  <c r="A18" i="51"/>
  <c r="B13" i="72" s="1"/>
  <c r="A15" i="51"/>
  <c r="B12" i="72" s="1"/>
  <c r="A4" i="51"/>
  <c r="A3" i="51"/>
  <c r="B49" i="48"/>
  <c r="B5" i="72" s="1"/>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D2" i="21"/>
  <c r="B13" i="76"/>
  <c r="F37" i="67"/>
  <c r="AO8" i="1"/>
  <c r="M26" i="67"/>
  <c r="E13" i="76"/>
  <c r="M28" i="67"/>
  <c r="D2" i="35"/>
  <c r="AO11" i="1"/>
  <c r="B8" i="76"/>
  <c r="M8" i="67"/>
  <c r="B11" i="76"/>
  <c r="F8" i="67"/>
  <c r="F9" i="67"/>
  <c r="E12" i="76"/>
  <c r="AO10" i="1"/>
  <c r="M27" i="67"/>
  <c r="C76" i="67"/>
  <c r="E8" i="76"/>
  <c r="D2" i="33"/>
  <c r="D2" i="34"/>
  <c r="F16" i="67"/>
  <c r="E11" i="76"/>
  <c r="L47" i="67"/>
  <c r="J15" i="67"/>
  <c r="D34" i="9"/>
  <c r="F20" i="31"/>
  <c r="AO7" i="1"/>
  <c r="M9" i="67"/>
  <c r="B9" i="76"/>
  <c r="E2" i="68"/>
  <c r="F36" i="67"/>
  <c r="F38" i="67"/>
  <c r="AO9" i="1"/>
  <c r="AO13" i="1"/>
  <c r="E2" i="69"/>
  <c r="F6" i="67"/>
  <c r="B10" i="76"/>
  <c r="AO12" i="1"/>
  <c r="D2" i="37"/>
  <c r="D2" i="36"/>
  <c r="M24" i="67"/>
  <c r="M6" i="67"/>
  <c r="E9" i="76"/>
  <c r="F26" i="67"/>
  <c r="M22" i="67"/>
  <c r="B7" i="76"/>
  <c r="F42" i="67"/>
  <c r="F40" i="67"/>
  <c r="E7" i="76"/>
  <c r="B12" i="76"/>
  <c r="D35" i="9"/>
  <c r="M23" i="67"/>
  <c r="E10" i="76"/>
  <c r="D62" i="43" l="1"/>
  <c r="W8" i="34"/>
  <c r="AA8" i="34"/>
  <c r="D24" i="15"/>
  <c r="G13" i="1"/>
  <c r="AA9" i="34"/>
  <c r="G27" i="12"/>
  <c r="G41" i="68"/>
  <c r="G22" i="69"/>
  <c r="G25" i="78"/>
  <c r="E29" i="6"/>
  <c r="K15" i="1" s="1"/>
  <c r="F30" i="6"/>
  <c r="E28" i="6"/>
  <c r="G30" i="6"/>
  <c r="G24" i="78"/>
  <c r="AZ14" i="3"/>
  <c r="AZ18" i="3"/>
  <c r="AZ22" i="3"/>
  <c r="AZ26" i="3"/>
  <c r="AZ30" i="3"/>
  <c r="AZ34" i="3"/>
  <c r="AZ38" i="3"/>
  <c r="AZ42" i="3"/>
  <c r="AZ46" i="3"/>
  <c r="AZ50" i="3"/>
  <c r="AZ54" i="3"/>
  <c r="AZ58" i="3"/>
  <c r="AZ62" i="3"/>
  <c r="AZ66" i="3"/>
  <c r="AZ70" i="3"/>
  <c r="AZ124" i="3"/>
  <c r="T35" i="4"/>
  <c r="A19" i="51" s="1"/>
  <c r="B14" i="72" s="1"/>
  <c r="D58" i="78"/>
  <c r="D62" i="78"/>
  <c r="C62" i="78" s="1"/>
  <c r="BA13" i="3"/>
  <c r="BA5" i="3" s="1"/>
  <c r="BL74" i="3"/>
  <c r="AZ74" i="3" s="1"/>
  <c r="BL78" i="3"/>
  <c r="AZ78" i="3" s="1"/>
  <c r="C18" i="78"/>
  <c r="A118" i="9"/>
  <c r="A2" i="9"/>
  <c r="J55" i="39"/>
  <c r="J50" i="40"/>
  <c r="B15" i="78"/>
  <c r="Y8" i="71"/>
  <c r="Z8" i="71" s="1"/>
  <c r="X8" i="71"/>
  <c r="AA8" i="71"/>
  <c r="AB8" i="71"/>
  <c r="K56" i="9"/>
  <c r="N56" i="9"/>
  <c r="M56" i="9"/>
  <c r="J56" i="9"/>
  <c r="BL81" i="3"/>
  <c r="BL82" i="3"/>
  <c r="G83" i="3"/>
  <c r="BL85" i="3"/>
  <c r="BL86" i="3"/>
  <c r="AZ86" i="3" s="1"/>
  <c r="G87" i="3"/>
  <c r="BL89" i="3"/>
  <c r="BL90" i="3"/>
  <c r="G91" i="3"/>
  <c r="BL93" i="3"/>
  <c r="BL94" i="3"/>
  <c r="G95" i="3"/>
  <c r="BL97" i="3"/>
  <c r="BL98" i="3"/>
  <c r="G99" i="3"/>
  <c r="BL101" i="3"/>
  <c r="BL102" i="3"/>
  <c r="AZ102" i="3" s="1"/>
  <c r="G103" i="3"/>
  <c r="BL105" i="3"/>
  <c r="BL106" i="3"/>
  <c r="G107" i="3"/>
  <c r="BL109" i="3"/>
  <c r="BL110" i="3"/>
  <c r="G111" i="3"/>
  <c r="BL113" i="3"/>
  <c r="BL114" i="3"/>
  <c r="G115" i="3"/>
  <c r="BL117" i="3"/>
  <c r="BL118" i="3"/>
  <c r="AZ118" i="3" s="1"/>
  <c r="G119" i="3"/>
  <c r="BL121" i="3"/>
  <c r="BL122" i="3"/>
  <c r="G123" i="3"/>
  <c r="BL125" i="3"/>
  <c r="BL126" i="3"/>
  <c r="G127" i="3"/>
  <c r="G128" i="3"/>
  <c r="AZ133" i="3"/>
  <c r="BA135" i="3"/>
  <c r="AZ135" i="3" s="1"/>
  <c r="BL138" i="3"/>
  <c r="G144" i="3"/>
  <c r="AZ149" i="3"/>
  <c r="BA151" i="3"/>
  <c r="AZ151" i="3" s="1"/>
  <c r="BL154" i="3"/>
  <c r="G160" i="3"/>
  <c r="AZ165" i="3"/>
  <c r="BA167" i="3"/>
  <c r="AZ167" i="3" s="1"/>
  <c r="BL170" i="3"/>
  <c r="G176" i="3"/>
  <c r="AZ178" i="3"/>
  <c r="AZ181" i="3"/>
  <c r="BA183" i="3"/>
  <c r="AZ183" i="3" s="1"/>
  <c r="BL186" i="3"/>
  <c r="G192" i="3"/>
  <c r="AZ197" i="3"/>
  <c r="BA199" i="3"/>
  <c r="AZ199" i="3" s="1"/>
  <c r="BL202" i="3"/>
  <c r="G208" i="3"/>
  <c r="AZ213" i="3"/>
  <c r="BA215" i="3"/>
  <c r="AZ215" i="3" s="1"/>
  <c r="BL218" i="3"/>
  <c r="G224" i="3"/>
  <c r="AZ229" i="3"/>
  <c r="BA231" i="3"/>
  <c r="AZ231" i="3" s="1"/>
  <c r="BL234" i="3"/>
  <c r="G240" i="3"/>
  <c r="AZ242" i="3"/>
  <c r="AZ245" i="3"/>
  <c r="BA247" i="3"/>
  <c r="AZ247" i="3" s="1"/>
  <c r="G256" i="3"/>
  <c r="AZ261" i="3"/>
  <c r="BA263" i="3"/>
  <c r="AZ263" i="3" s="1"/>
  <c r="BL266" i="3"/>
  <c r="AZ274" i="3"/>
  <c r="AZ277" i="3"/>
  <c r="BA279" i="3"/>
  <c r="AZ279" i="3" s="1"/>
  <c r="BL282" i="3"/>
  <c r="G288" i="3"/>
  <c r="AZ293" i="3"/>
  <c r="BA295" i="3"/>
  <c r="AZ295" i="3" s="1"/>
  <c r="BL298" i="3"/>
  <c r="AZ298" i="3" s="1"/>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s="1"/>
  <c r="U5" i="77" s="1"/>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E5" i="6"/>
  <c r="D19" i="12" s="1"/>
  <c r="C19" i="12" s="1"/>
  <c r="AZ82" i="3"/>
  <c r="AZ90" i="3"/>
  <c r="AZ94" i="3"/>
  <c r="AZ98" i="3"/>
  <c r="AZ106" i="3"/>
  <c r="AZ110" i="3"/>
  <c r="AZ114" i="3"/>
  <c r="BA122" i="3"/>
  <c r="AZ122" i="3" s="1"/>
  <c r="BA123" i="3"/>
  <c r="AZ123" i="3" s="1"/>
  <c r="BA126" i="3"/>
  <c r="AZ126" i="3" s="1"/>
  <c r="BA127" i="3"/>
  <c r="AZ127" i="3" s="1"/>
  <c r="BL130" i="3"/>
  <c r="AZ130" i="3" s="1"/>
  <c r="G136" i="3"/>
  <c r="AZ138" i="3"/>
  <c r="AZ141" i="3"/>
  <c r="BA143" i="3"/>
  <c r="AZ143" i="3" s="1"/>
  <c r="BL146" i="3"/>
  <c r="AZ146" i="3" s="1"/>
  <c r="G152" i="3"/>
  <c r="AZ154" i="3"/>
  <c r="AZ157" i="3"/>
  <c r="BA159" i="3"/>
  <c r="AZ159" i="3" s="1"/>
  <c r="BL162" i="3"/>
  <c r="AZ162" i="3" s="1"/>
  <c r="G168" i="3"/>
  <c r="AZ170" i="3"/>
  <c r="AZ173" i="3"/>
  <c r="BA175" i="3"/>
  <c r="AZ175" i="3" s="1"/>
  <c r="BL178" i="3"/>
  <c r="G184" i="3"/>
  <c r="AZ186" i="3"/>
  <c r="AZ189" i="3"/>
  <c r="BA191" i="3"/>
  <c r="AZ191" i="3" s="1"/>
  <c r="BL194" i="3"/>
  <c r="AZ194" i="3" s="1"/>
  <c r="G200" i="3"/>
  <c r="AZ202" i="3"/>
  <c r="AZ205" i="3"/>
  <c r="BA207" i="3"/>
  <c r="AZ207" i="3" s="1"/>
  <c r="BL210" i="3"/>
  <c r="AZ210" i="3" s="1"/>
  <c r="G216" i="3"/>
  <c r="AZ218" i="3"/>
  <c r="AZ221" i="3"/>
  <c r="BA223" i="3"/>
  <c r="AZ223" i="3" s="1"/>
  <c r="BL226" i="3"/>
  <c r="AZ226" i="3" s="1"/>
  <c r="G232" i="3"/>
  <c r="AZ234" i="3"/>
  <c r="AZ237" i="3"/>
  <c r="BA239" i="3"/>
  <c r="AZ239" i="3" s="1"/>
  <c r="BL242" i="3"/>
  <c r="G248" i="3"/>
  <c r="AZ250" i="3"/>
  <c r="AZ251" i="3"/>
  <c r="AZ253" i="3"/>
  <c r="BA255" i="3"/>
  <c r="AZ255" i="3" s="1"/>
  <c r="BL258" i="3"/>
  <c r="AZ258" i="3" s="1"/>
  <c r="G264" i="3"/>
  <c r="AZ266" i="3"/>
  <c r="AZ269" i="3"/>
  <c r="G280" i="3"/>
  <c r="AZ282" i="3"/>
  <c r="AZ285" i="3"/>
  <c r="BA287" i="3"/>
  <c r="AZ287" i="3" s="1"/>
  <c r="BL290" i="3"/>
  <c r="AZ290" i="3" s="1"/>
  <c r="G296" i="3"/>
  <c r="AZ301" i="3"/>
  <c r="BA303" i="3"/>
  <c r="AZ303" i="3" s="1"/>
  <c r="BL306" i="3"/>
  <c r="AZ306" i="3" s="1"/>
  <c r="AZ482" i="3"/>
  <c r="AZ483" i="3"/>
  <c r="AZ486" i="3"/>
  <c r="AZ487" i="3"/>
  <c r="AZ490" i="3"/>
  <c r="AZ491" i="3"/>
  <c r="AZ494" i="3"/>
  <c r="AZ495" i="3"/>
  <c r="AZ498" i="3"/>
  <c r="AZ499" i="3"/>
  <c r="AZ502" i="3"/>
  <c r="AZ503" i="3"/>
  <c r="AZ506" i="3"/>
  <c r="AZ507" i="3"/>
  <c r="AZ510" i="3"/>
  <c r="AZ582" i="3"/>
  <c r="D121" i="9"/>
  <c r="D7" i="52" s="1"/>
  <c r="K120" i="9"/>
  <c r="A18" i="62" s="1"/>
  <c r="B64" i="72" s="1"/>
  <c r="U44" i="34"/>
  <c r="AB44" i="34"/>
  <c r="J15" i="34"/>
  <c r="H15" i="34"/>
  <c r="E78" i="34"/>
  <c r="F78" i="34" s="1"/>
  <c r="G78" i="34" s="1"/>
  <c r="F15" i="34"/>
  <c r="J28" i="34"/>
  <c r="H28" i="34"/>
  <c r="W15" i="21"/>
  <c r="AC15" i="21"/>
  <c r="W23" i="21"/>
  <c r="AC23" i="21"/>
  <c r="S35" i="21"/>
  <c r="S43" i="21"/>
  <c r="F12" i="33"/>
  <c r="H12" i="33"/>
  <c r="J12" i="33"/>
  <c r="E79" i="33"/>
  <c r="F79" i="33" s="1"/>
  <c r="G79" i="33" s="1"/>
  <c r="J17" i="33"/>
  <c r="AC17" i="33" s="1"/>
  <c r="F17" i="33"/>
  <c r="AA17" i="33" s="1"/>
  <c r="AA45" i="33"/>
  <c r="S45" i="33"/>
  <c r="U39" i="37"/>
  <c r="AB39" i="37"/>
  <c r="AC33" i="35"/>
  <c r="W33" i="35"/>
  <c r="U32" i="34"/>
  <c r="AB32" i="34"/>
  <c r="S36" i="34"/>
  <c r="S38" i="34"/>
  <c r="U40" i="34"/>
  <c r="AB40" i="34"/>
  <c r="W17" i="34"/>
  <c r="AC17" i="34"/>
  <c r="J23" i="34"/>
  <c r="H23" i="34"/>
  <c r="E86" i="34"/>
  <c r="F86" i="34" s="1"/>
  <c r="G86" i="34" s="1"/>
  <c r="F23" i="34"/>
  <c r="J32" i="34"/>
  <c r="F32" i="34"/>
  <c r="H43" i="34"/>
  <c r="F43" i="34"/>
  <c r="F124" i="34"/>
  <c r="G124" i="34" s="1"/>
  <c r="H124" i="34" s="1"/>
  <c r="I124" i="34" s="1"/>
  <c r="J124" i="34" s="1"/>
  <c r="K124" i="34" s="1"/>
  <c r="L124" i="34" s="1"/>
  <c r="M124" i="34" s="1"/>
  <c r="H45" i="34"/>
  <c r="J45" i="34"/>
  <c r="U17" i="21"/>
  <c r="AB17" i="21"/>
  <c r="AB12" i="37"/>
  <c r="S14" i="37"/>
  <c r="U15" i="40"/>
  <c r="AB15" i="40"/>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G31" i="6"/>
  <c r="G9" i="1"/>
  <c r="F34" i="11"/>
  <c r="F11" i="12"/>
  <c r="C23" i="12" s="1"/>
  <c r="F34" i="68"/>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BL556" i="3"/>
  <c r="AZ556" i="3" s="1"/>
  <c r="BL560" i="3"/>
  <c r="AZ560" i="3" s="1"/>
  <c r="BL564" i="3"/>
  <c r="AZ564" i="3" s="1"/>
  <c r="BL568" i="3"/>
  <c r="AZ568" i="3" s="1"/>
  <c r="BL572" i="3"/>
  <c r="AZ572" i="3" s="1"/>
  <c r="BL576" i="3"/>
  <c r="AZ576" i="3" s="1"/>
  <c r="BA581" i="3"/>
  <c r="AZ581" i="3" s="1"/>
  <c r="G586" i="3"/>
  <c r="S7" i="1"/>
  <c r="K7" i="1"/>
  <c r="M7" i="1" s="1"/>
  <c r="B7" i="1"/>
  <c r="E7" i="1" s="1"/>
  <c r="R7" i="1"/>
  <c r="J57" i="9"/>
  <c r="J59" i="9" s="1"/>
  <c r="J61" i="9" s="1"/>
  <c r="C40" i="69"/>
  <c r="C21" i="69"/>
  <c r="F40" i="69"/>
  <c r="U19" i="34"/>
  <c r="U25" i="34"/>
  <c r="AB25" i="34"/>
  <c r="F28" i="34"/>
  <c r="W43" i="34"/>
  <c r="F45" i="34"/>
  <c r="S47" i="34"/>
  <c r="C29" i="77"/>
  <c r="S46" i="21"/>
  <c r="H17" i="33"/>
  <c r="AB17" i="33" s="1"/>
  <c r="AB44" i="33"/>
  <c r="U44" i="33"/>
  <c r="F13" i="35"/>
  <c r="H13" i="35"/>
  <c r="J13" i="35"/>
  <c r="BL580" i="3"/>
  <c r="AZ580" i="3" s="1"/>
  <c r="BL584" i="3"/>
  <c r="AZ584" i="3" s="1"/>
  <c r="K9" i="1"/>
  <c r="M9" i="1" s="1"/>
  <c r="E19" i="11"/>
  <c r="E19" i="68"/>
  <c r="B83" i="43"/>
  <c r="C15" i="40"/>
  <c r="B51" i="43"/>
  <c r="B62" i="43"/>
  <c r="B94" i="43"/>
  <c r="B73" i="43"/>
  <c r="C21" i="39"/>
  <c r="C8" i="74"/>
  <c r="A126" i="9"/>
  <c r="A12" i="52" s="1"/>
  <c r="B56" i="72" s="1"/>
  <c r="AB9" i="34"/>
  <c r="AA10" i="34"/>
  <c r="AB13" i="34"/>
  <c r="AA14" i="34"/>
  <c r="H17" i="34"/>
  <c r="AA21" i="34"/>
  <c r="AC29" i="34"/>
  <c r="AC30" i="34"/>
  <c r="AA31" i="34"/>
  <c r="AC36" i="34"/>
  <c r="AB39" i="34"/>
  <c r="AB42" i="34"/>
  <c r="J44" i="34"/>
  <c r="AC47" i="34"/>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K11" i="1"/>
  <c r="M11" i="1" s="1"/>
  <c r="B11" i="1"/>
  <c r="E11" i="1" s="1"/>
  <c r="C94" i="9"/>
  <c r="AB10" i="34"/>
  <c r="AB14" i="34"/>
  <c r="AA19" i="34"/>
  <c r="AB21" i="34"/>
  <c r="AA33" i="34"/>
  <c r="AA35" i="34"/>
  <c r="AC39" i="34"/>
  <c r="AA30" i="34"/>
  <c r="S30" i="34"/>
  <c r="AA44" i="34"/>
  <c r="S44" i="34"/>
  <c r="D22" i="67"/>
  <c r="D23" i="67"/>
  <c r="D7" i="77"/>
  <c r="C26" i="77" s="1"/>
  <c r="C32" i="77" s="1"/>
  <c r="C38" i="77" s="1"/>
  <c r="C39" i="77" s="1"/>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34" i="67"/>
  <c r="F62" i="67" s="1"/>
  <c r="B84" i="43"/>
  <c r="C17" i="40"/>
  <c r="B87" i="43"/>
  <c r="C23" i="40"/>
  <c r="B68" i="43"/>
  <c r="B100" i="43"/>
  <c r="B57" i="43"/>
  <c r="B77" i="43"/>
  <c r="C29" i="39"/>
  <c r="F34" i="15"/>
  <c r="F62" i="15" s="1"/>
  <c r="AC9" i="21"/>
  <c r="W9" i="21"/>
  <c r="H12" i="21"/>
  <c r="J12" i="21"/>
  <c r="H30" i="21"/>
  <c r="J30" i="21"/>
  <c r="F45" i="21"/>
  <c r="H45" i="21"/>
  <c r="S40" i="33"/>
  <c r="AA44" i="33"/>
  <c r="H31" i="33"/>
  <c r="J31" i="33"/>
  <c r="AC44" i="33"/>
  <c r="W44"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s="1"/>
  <c r="E81" i="33"/>
  <c r="F81" i="33" s="1"/>
  <c r="G81" i="33" s="1"/>
  <c r="H23" i="33"/>
  <c r="AB23" i="33" s="1"/>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s="1"/>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s="1"/>
  <c r="J23" i="33"/>
  <c r="AC23" i="33" s="1"/>
  <c r="H30" i="33"/>
  <c r="AB30" i="33" s="1"/>
  <c r="AB13" i="33"/>
  <c r="U13" i="33"/>
  <c r="F43" i="33"/>
  <c r="AA43" i="33" s="1"/>
  <c r="E125" i="33"/>
  <c r="F125" i="33" s="1"/>
  <c r="G125" i="33" s="1"/>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s="1"/>
  <c r="R10" i="79"/>
  <c r="AF10" i="79" s="1"/>
  <c r="R7" i="79"/>
  <c r="AF7" i="79" s="1"/>
  <c r="R8" i="79"/>
  <c r="AF8" i="79" s="1"/>
  <c r="V10" i="79"/>
  <c r="AJ10" i="79" s="1"/>
  <c r="V7" i="79"/>
  <c r="AJ7" i="79" s="1"/>
  <c r="V8" i="79"/>
  <c r="AJ8" i="79" s="1"/>
  <c r="O3" i="79"/>
  <c r="U19" i="79"/>
  <c r="AI19" i="79" s="1"/>
  <c r="U10" i="79"/>
  <c r="AI10" i="79" s="1"/>
  <c r="U11" i="79"/>
  <c r="AI11" i="79" s="1"/>
  <c r="U17" i="79"/>
  <c r="AI17" i="79" s="1"/>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s="1"/>
  <c r="R17" i="79"/>
  <c r="AF17" i="79" s="1"/>
  <c r="R16" i="79"/>
  <c r="AF16" i="79" s="1"/>
  <c r="R13" i="79"/>
  <c r="AF13" i="79" s="1"/>
  <c r="R11" i="79"/>
  <c r="AF11" i="79" s="1"/>
  <c r="R12" i="79"/>
  <c r="AF12" i="79" s="1"/>
  <c r="R15" i="79"/>
  <c r="AF15" i="79" s="1"/>
  <c r="V17" i="79"/>
  <c r="AJ17" i="79" s="1"/>
  <c r="V11" i="79"/>
  <c r="AJ11" i="79" s="1"/>
  <c r="V13" i="79"/>
  <c r="AJ13" i="79" s="1"/>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B25" i="36"/>
  <c r="U25" i="36"/>
  <c r="AA32" i="36"/>
  <c r="S32" i="36"/>
  <c r="AA8" i="39"/>
  <c r="J43" i="39"/>
  <c r="F43" i="39"/>
  <c r="AA8" i="40"/>
  <c r="S13" i="40"/>
  <c r="AB19" i="40"/>
  <c r="F32" i="40"/>
  <c r="H27" i="40"/>
  <c r="J27" i="40"/>
  <c r="AH5" i="79"/>
  <c r="W5" i="79"/>
  <c r="AK5" i="79" s="1"/>
  <c r="V15" i="79"/>
  <c r="AJ15" i="79" s="1"/>
  <c r="Y3" i="79"/>
  <c r="P41" i="79"/>
  <c r="T41" i="79"/>
  <c r="T37" i="79"/>
  <c r="T33" i="79"/>
  <c r="T31" i="79"/>
  <c r="W31" i="79" s="1"/>
  <c r="T36" i="79"/>
  <c r="E44" i="43"/>
  <c r="C44" i="43" s="1"/>
  <c r="I18" i="43"/>
  <c r="G18" i="43"/>
  <c r="E61" i="43"/>
  <c r="B59" i="43" s="1"/>
  <c r="N3" i="79"/>
  <c r="R6" i="79"/>
  <c r="AF6" i="79" s="1"/>
  <c r="R3" i="79"/>
  <c r="R5" i="79"/>
  <c r="AF5" i="79" s="1"/>
  <c r="V6" i="79"/>
  <c r="AJ6" i="79" s="1"/>
  <c r="V3" i="79"/>
  <c r="V5" i="79"/>
  <c r="AJ5" i="79" s="1"/>
  <c r="U9" i="79"/>
  <c r="AI9" i="79" s="1"/>
  <c r="U6" i="79"/>
  <c r="AI6" i="79" s="1"/>
  <c r="U3" i="79"/>
  <c r="S10" i="79"/>
  <c r="AG10" i="79" s="1"/>
  <c r="U12" i="79"/>
  <c r="AI12" i="79" s="1"/>
  <c r="S13" i="79"/>
  <c r="AG13" i="79" s="1"/>
  <c r="S12" i="79"/>
  <c r="AG12" i="79" s="1"/>
  <c r="U14" i="79"/>
  <c r="AI14" i="79" s="1"/>
  <c r="U16" i="79"/>
  <c r="AI16" i="79" s="1"/>
  <c r="R23" i="79"/>
  <c r="AF23" i="79" s="1"/>
  <c r="R21" i="79"/>
  <c r="AF21" i="79" s="1"/>
  <c r="V23" i="79"/>
  <c r="AJ23" i="79" s="1"/>
  <c r="V22" i="79"/>
  <c r="AJ22" i="79" s="1"/>
  <c r="V21" i="79"/>
  <c r="AJ21" i="79" s="1"/>
  <c r="AD35" i="79"/>
  <c r="S38" i="79"/>
  <c r="AG38" i="79" s="1"/>
  <c r="AD45" i="79"/>
  <c r="S49" i="79"/>
  <c r="AG49" i="79" s="1"/>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s="1"/>
  <c r="E93" i="43"/>
  <c r="B91" i="43" s="1"/>
  <c r="R9" i="79"/>
  <c r="AF9" i="79" s="1"/>
  <c r="V9" i="79"/>
  <c r="AJ9" i="79" s="1"/>
  <c r="S11" i="79"/>
  <c r="AG11" i="79" s="1"/>
  <c r="S8" i="79"/>
  <c r="AG8" i="79" s="1"/>
  <c r="V12" i="79"/>
  <c r="AJ12" i="79" s="1"/>
  <c r="W13" i="79"/>
  <c r="AK13" i="79" s="1"/>
  <c r="AH13" i="79"/>
  <c r="W17" i="79"/>
  <c r="AK17" i="79" s="1"/>
  <c r="AH17" i="79"/>
  <c r="T18" i="79"/>
  <c r="P18" i="79"/>
  <c r="AH19" i="79"/>
  <c r="W19" i="79"/>
  <c r="AK19" i="79" s="1"/>
  <c r="T38" i="79"/>
  <c r="U39" i="79"/>
  <c r="AI39" i="79" s="1"/>
  <c r="U36" i="79"/>
  <c r="AI36" i="79" s="1"/>
  <c r="P44" i="79"/>
  <c r="T44" i="79"/>
  <c r="V28" i="71"/>
  <c r="E27" i="71"/>
  <c r="E26" i="71" s="1"/>
  <c r="AA28" i="71"/>
  <c r="AA25" i="71"/>
  <c r="E11" i="43"/>
  <c r="E10" i="43"/>
  <c r="S3" i="79"/>
  <c r="S5" i="79"/>
  <c r="AG5" i="79" s="1"/>
  <c r="L3" i="79"/>
  <c r="P8" i="79"/>
  <c r="T8" i="79"/>
  <c r="T11" i="79"/>
  <c r="S16" i="79"/>
  <c r="AG16" i="79" s="1"/>
  <c r="S15" i="79"/>
  <c r="AG15" i="79" s="1"/>
  <c r="U18" i="79"/>
  <c r="AI18" i="79" s="1"/>
  <c r="U37" i="79"/>
  <c r="AI37" i="79" s="1"/>
  <c r="U47" i="79"/>
  <c r="AI47" i="79" s="1"/>
  <c r="U46" i="79"/>
  <c r="AI46" i="79" s="1"/>
  <c r="U40" i="79"/>
  <c r="AI40" i="79" s="1"/>
  <c r="AD46" i="79"/>
  <c r="AD48" i="79"/>
  <c r="S51" i="79"/>
  <c r="AG51" i="79" s="1"/>
  <c r="S47" i="79"/>
  <c r="AG47" i="79" s="1"/>
  <c r="S37" i="79"/>
  <c r="AG37" i="79" s="1"/>
  <c r="S33" i="79"/>
  <c r="AG33" i="79" s="1"/>
  <c r="AA16" i="71"/>
  <c r="AA10" i="71"/>
  <c r="AA9" i="71"/>
  <c r="AA22" i="71"/>
  <c r="AA19" i="71"/>
  <c r="AA21" i="71"/>
  <c r="E22" i="71"/>
  <c r="E21" i="71" s="1"/>
  <c r="E20" i="71" s="1"/>
  <c r="AA18" i="71"/>
  <c r="AB23" i="71"/>
  <c r="AB22" i="71"/>
  <c r="T16" i="79"/>
  <c r="V19" i="79"/>
  <c r="AJ19" i="79" s="1"/>
  <c r="P22" i="79"/>
  <c r="T22" i="79"/>
  <c r="S36" i="79"/>
  <c r="AG36" i="79" s="1"/>
  <c r="AD37" i="79"/>
  <c r="U38" i="79"/>
  <c r="AI38" i="79" s="1"/>
  <c r="S40" i="79"/>
  <c r="AG40" i="79" s="1"/>
  <c r="U41" i="79"/>
  <c r="AI41" i="79" s="1"/>
  <c r="S42" i="79"/>
  <c r="AG42" i="79" s="1"/>
  <c r="T43" i="79"/>
  <c r="AH46" i="79"/>
  <c r="W46" i="79"/>
  <c r="AK46" i="79" s="1"/>
  <c r="AD47" i="79"/>
  <c r="S48" i="79"/>
  <c r="AG48" i="79" s="1"/>
  <c r="P51" i="79"/>
  <c r="T50" i="79"/>
  <c r="T47" i="79"/>
  <c r="AB11" i="71"/>
  <c r="AB16" i="71"/>
  <c r="AB20" i="71"/>
  <c r="AB21" i="71"/>
  <c r="AB14" i="71"/>
  <c r="Y27" i="71"/>
  <c r="Z27" i="71" s="1"/>
  <c r="Y26" i="71"/>
  <c r="Z26" i="71" s="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s="1"/>
  <c r="T14" i="79"/>
  <c r="U15" i="79"/>
  <c r="AI15" i="79" s="1"/>
  <c r="T15" i="79"/>
  <c r="R20" i="79"/>
  <c r="AF20" i="79" s="1"/>
  <c r="V20" i="79"/>
  <c r="AJ20" i="79" s="1"/>
  <c r="AH20" i="79"/>
  <c r="AH23" i="79"/>
  <c r="S31" i="79"/>
  <c r="L31" i="79"/>
  <c r="T34" i="79"/>
  <c r="S35" i="79"/>
  <c r="AG35" i="79" s="1"/>
  <c r="S39" i="79"/>
  <c r="AG39" i="79" s="1"/>
  <c r="T42" i="79"/>
  <c r="AH45" i="79"/>
  <c r="S46" i="79"/>
  <c r="AG46" i="79" s="1"/>
  <c r="T48" i="79"/>
  <c r="AB3" i="71"/>
  <c r="AA11" i="71"/>
  <c r="AA12" i="71"/>
  <c r="AA15" i="71"/>
  <c r="AA17" i="71"/>
  <c r="Y18" i="71"/>
  <c r="Z18" i="71" s="1"/>
  <c r="AB18" i="71"/>
  <c r="C31" i="71"/>
  <c r="D30" i="71"/>
  <c r="X36" i="71"/>
  <c r="X32" i="71"/>
  <c r="X24" i="71"/>
  <c r="X20" i="71"/>
  <c r="F38" i="71"/>
  <c r="F39" i="71" s="1"/>
  <c r="F40" i="71" s="1"/>
  <c r="V40" i="71" s="1"/>
  <c r="AB34" i="71"/>
  <c r="AB36" i="71"/>
  <c r="AB37" i="71"/>
  <c r="C44" i="71"/>
  <c r="D43" i="71"/>
  <c r="D42" i="71"/>
  <c r="U13" i="79"/>
  <c r="AI13" i="79" s="1"/>
  <c r="R14" i="79"/>
  <c r="AF14" i="79" s="1"/>
  <c r="V14" i="79"/>
  <c r="AJ14" i="79" s="1"/>
  <c r="S19" i="79"/>
  <c r="AG19" i="79" s="1"/>
  <c r="T21" i="79"/>
  <c r="M31" i="79"/>
  <c r="P31" i="79" s="1"/>
  <c r="Z31" i="79"/>
  <c r="U34" i="79"/>
  <c r="AI34" i="79" s="1"/>
  <c r="T35" i="79"/>
  <c r="T39" i="79"/>
  <c r="U42" i="79"/>
  <c r="AI42" i="79" s="1"/>
  <c r="S44" i="79"/>
  <c r="AG44" i="79" s="1"/>
  <c r="U45" i="79"/>
  <c r="AI45" i="79" s="1"/>
  <c r="U48" i="79"/>
  <c r="AI48" i="79" s="1"/>
  <c r="T49" i="79"/>
  <c r="U49" i="79"/>
  <c r="AI49" i="79" s="1"/>
  <c r="AD50" i="79"/>
  <c r="T51" i="79"/>
  <c r="AB9" i="71"/>
  <c r="Y11" i="71"/>
  <c r="Z11" i="71" s="1"/>
  <c r="Y16" i="71"/>
  <c r="Z16" i="71" s="1"/>
  <c r="AA23" i="71"/>
  <c r="AA24" i="71"/>
  <c r="AB30" i="71"/>
  <c r="AB32" i="71"/>
  <c r="AB26" i="71"/>
  <c r="C35" i="71"/>
  <c r="D34" i="71"/>
  <c r="X37" i="71"/>
  <c r="D58" i="71"/>
  <c r="C59" i="71"/>
  <c r="O67" i="71"/>
  <c r="C66" i="71"/>
  <c r="D67" i="71"/>
  <c r="S50" i="79"/>
  <c r="AG50" i="79" s="1"/>
  <c r="AB10" i="71"/>
  <c r="AB12" i="71"/>
  <c r="AA13" i="71"/>
  <c r="AB17" i="71"/>
  <c r="AB19" i="71"/>
  <c r="Y21" i="71"/>
  <c r="Z21" i="71" s="1"/>
  <c r="X22" i="71"/>
  <c r="X25" i="71"/>
  <c r="X26" i="71"/>
  <c r="X34" i="71"/>
  <c r="AB39" i="71"/>
  <c r="AB38" i="71"/>
  <c r="C51" i="71"/>
  <c r="D50" i="71"/>
  <c r="AB13" i="71"/>
  <c r="Y15" i="71"/>
  <c r="Z15" i="71" s="1"/>
  <c r="AB15" i="71"/>
  <c r="X17" i="71"/>
  <c r="AA20" i="71"/>
  <c r="Y23" i="71"/>
  <c r="Z23" i="71" s="1"/>
  <c r="Y19" i="71"/>
  <c r="Z19" i="71" s="1"/>
  <c r="B30" i="71"/>
  <c r="B31" i="71" s="1"/>
  <c r="B32" i="71" s="1"/>
  <c r="S32" i="71" s="1"/>
  <c r="X28" i="71"/>
  <c r="X29" i="71"/>
  <c r="AA29" i="71"/>
  <c r="AA32" i="71"/>
  <c r="AA31" i="71"/>
  <c r="E36" i="71"/>
  <c r="U36" i="71" s="1"/>
  <c r="C56" i="71"/>
  <c r="F67" i="71"/>
  <c r="Q68" i="71"/>
  <c r="V68" i="71"/>
  <c r="X33" i="71"/>
  <c r="C39" i="71"/>
  <c r="D38" i="71"/>
  <c r="T72" i="71"/>
  <c r="D72" i="71"/>
  <c r="S76" i="71"/>
  <c r="E79" i="71"/>
  <c r="E78" i="71" s="1"/>
  <c r="U80" i="71"/>
  <c r="X12" i="71"/>
  <c r="Y13" i="71"/>
  <c r="Z13" i="71" s="1"/>
  <c r="X16" i="71"/>
  <c r="Y17" i="71"/>
  <c r="Z17" i="71" s="1"/>
  <c r="Y22" i="71"/>
  <c r="Z22" i="71" s="1"/>
  <c r="AB25" i="71"/>
  <c r="AA26" i="71"/>
  <c r="T28" i="71"/>
  <c r="D28" i="71"/>
  <c r="U28" i="71" s="1"/>
  <c r="C27" i="71"/>
  <c r="Y28" i="71"/>
  <c r="Z28" i="71" s="1"/>
  <c r="Y38" i="71"/>
  <c r="Z38" i="71" s="1"/>
  <c r="C63" i="71"/>
  <c r="C71" i="71"/>
  <c r="T76" i="71"/>
  <c r="D76" i="71"/>
  <c r="X19" i="71"/>
  <c r="B22" i="71"/>
  <c r="B21" i="71" s="1"/>
  <c r="B20" i="71" s="1"/>
  <c r="X23" i="71"/>
  <c r="AB27" i="71"/>
  <c r="AA30" i="71"/>
  <c r="E31" i="71"/>
  <c r="E32" i="71" s="1"/>
  <c r="U32" i="71" s="1"/>
  <c r="AA34" i="71"/>
  <c r="X35" i="71"/>
  <c r="Y36" i="71"/>
  <c r="Z36" i="71" s="1"/>
  <c r="Y37" i="71"/>
  <c r="Z37" i="71" s="1"/>
  <c r="T68" i="71"/>
  <c r="O68" i="71"/>
  <c r="D68" i="71"/>
  <c r="Y20" i="71"/>
  <c r="Z20" i="71" s="1"/>
  <c r="T24" i="71"/>
  <c r="D24" i="71"/>
  <c r="U24" i="71" s="1"/>
  <c r="C23" i="71"/>
  <c r="Y24" i="71"/>
  <c r="Z24" i="71" s="1"/>
  <c r="B26" i="71"/>
  <c r="X27" i="71"/>
  <c r="AB29" i="71"/>
  <c r="AB31" i="71"/>
  <c r="Y32" i="71"/>
  <c r="Z32" i="71" s="1"/>
  <c r="AA33" i="71"/>
  <c r="E59" i="71"/>
  <c r="E60" i="71" s="1"/>
  <c r="U60" i="71" s="1"/>
  <c r="E67" i="71"/>
  <c r="U68" i="71"/>
  <c r="X31" i="71"/>
  <c r="AB33" i="71"/>
  <c r="AB35" i="71"/>
  <c r="N20" i="1"/>
  <c r="N6" i="1" s="1"/>
  <c r="Y6" i="1" s="1"/>
  <c r="C37" i="34"/>
  <c r="E37" i="34" s="1"/>
  <c r="E8" i="43"/>
  <c r="N21" i="43"/>
  <c r="F26" i="43"/>
  <c r="BB5" i="3"/>
  <c r="E13" i="6" s="1"/>
  <c r="E9" i="43"/>
  <c r="C7" i="43" s="1"/>
  <c r="E21" i="43"/>
  <c r="J21" i="43"/>
  <c r="H76" i="43"/>
  <c r="M1" i="43"/>
  <c r="M2" i="43"/>
  <c r="N3" i="43"/>
  <c r="N5" i="43"/>
  <c r="M7" i="43"/>
  <c r="N8" i="43"/>
  <c r="N9" i="43"/>
  <c r="M12" i="43"/>
  <c r="H83" i="43"/>
  <c r="N1" i="43"/>
  <c r="N2" i="43"/>
  <c r="M4" i="43"/>
  <c r="M6" i="43"/>
  <c r="C6" i="43" s="1"/>
  <c r="N7" i="43"/>
  <c r="N12" i="43"/>
  <c r="H79" i="43"/>
  <c r="H87" i="43"/>
  <c r="N4" i="43"/>
  <c r="N6" i="43"/>
  <c r="F61" i="43" s="1"/>
  <c r="M10" i="43"/>
  <c r="M11" i="43"/>
  <c r="H72" i="43"/>
  <c r="M3" i="43"/>
  <c r="M5" i="43"/>
  <c r="M8" i="43"/>
  <c r="M9" i="43"/>
  <c r="N10" i="43"/>
  <c r="H90" i="43"/>
  <c r="D21" i="43"/>
  <c r="I21" i="43"/>
  <c r="M21" i="43"/>
  <c r="F38" i="43"/>
  <c r="F40" i="43"/>
  <c r="F42" i="43"/>
  <c r="H73" i="43"/>
  <c r="H77" i="43"/>
  <c r="H84" i="43"/>
  <c r="H88" i="43"/>
  <c r="H95" i="43"/>
  <c r="H101" i="43"/>
  <c r="H94" i="43"/>
  <c r="H97" i="43"/>
  <c r="H100" i="43"/>
  <c r="S4" i="43"/>
  <c r="K21" i="43"/>
  <c r="O21" i="43"/>
  <c r="F37" i="43"/>
  <c r="F39" i="43"/>
  <c r="F41" i="43"/>
  <c r="H75" i="43"/>
  <c r="H78" i="43"/>
  <c r="H86" i="43"/>
  <c r="H89" i="43"/>
  <c r="H93" i="43"/>
  <c r="H96" i="43"/>
  <c r="H99" i="43"/>
  <c r="H116" i="43"/>
  <c r="S2" i="43"/>
  <c r="S3" i="43"/>
  <c r="S5" i="43"/>
  <c r="S6" i="43"/>
  <c r="X7" i="43"/>
  <c r="C21" i="43"/>
  <c r="H21" i="43"/>
  <c r="L21" i="43"/>
  <c r="H74" i="43"/>
  <c r="T8" i="1"/>
  <c r="AQ8" i="1"/>
  <c r="T10" i="1"/>
  <c r="AQ10" i="1"/>
  <c r="F6" i="1"/>
  <c r="I24" i="43" s="1"/>
  <c r="C24" i="43" s="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W38" i="33"/>
  <c r="S38" i="33"/>
  <c r="U38" i="33"/>
  <c r="U33" i="33"/>
  <c r="W33" i="33"/>
  <c r="S33" i="33"/>
  <c r="W30" i="33"/>
  <c r="S30" i="33"/>
  <c r="U30" i="33"/>
  <c r="U29" i="33"/>
  <c r="W29" i="33"/>
  <c r="S29" i="33"/>
  <c r="S28" i="33"/>
  <c r="U28" i="33"/>
  <c r="W28" i="33"/>
  <c r="S27" i="33"/>
  <c r="W27" i="33"/>
  <c r="S9" i="33"/>
  <c r="U9" i="33"/>
  <c r="W9" i="33"/>
  <c r="AB8" i="33"/>
  <c r="S8" i="33"/>
  <c r="AC8" i="33"/>
  <c r="D93" i="9"/>
  <c r="B41" i="1"/>
  <c r="G1" i="69"/>
  <c r="L27" i="6"/>
  <c r="B6" i="1"/>
  <c r="E6" i="1" s="1"/>
  <c r="O16" i="1"/>
  <c r="C36" i="69"/>
  <c r="T12" i="1"/>
  <c r="AQ12" i="1"/>
  <c r="K1" i="12"/>
  <c r="F3" i="35"/>
  <c r="G1" i="68"/>
  <c r="G1" i="15"/>
  <c r="G5" i="3"/>
  <c r="B3" i="3" s="1"/>
  <c r="E13" i="3" s="1"/>
  <c r="H5" i="3"/>
  <c r="D3" i="33"/>
  <c r="D3" i="34"/>
  <c r="K6" i="1"/>
  <c r="D9" i="69"/>
  <c r="C9" i="69" s="1"/>
  <c r="D9" i="11"/>
  <c r="C9" i="11" s="1"/>
  <c r="D9" i="68"/>
  <c r="C34" i="34"/>
  <c r="B14" i="74"/>
  <c r="B1" i="74" s="1"/>
  <c r="P16" i="1"/>
  <c r="C11" i="12" s="1"/>
  <c r="C15" i="12" s="1"/>
  <c r="AQ7" i="1"/>
  <c r="T7" i="1"/>
  <c r="AR7" i="1"/>
  <c r="B3" i="35"/>
  <c r="B3" i="36"/>
  <c r="Z7" i="43"/>
  <c r="G26" i="43"/>
  <c r="N370" i="46"/>
  <c r="H26" i="43"/>
  <c r="B116" i="43"/>
  <c r="N94" i="46"/>
  <c r="T9" i="1"/>
  <c r="AQ9" i="1"/>
  <c r="T13" i="1"/>
  <c r="AQ13" i="1"/>
  <c r="E26" i="43"/>
  <c r="J26" i="43"/>
  <c r="G7" i="1"/>
  <c r="G11" i="1"/>
  <c r="G8" i="1"/>
  <c r="G12" i="1"/>
  <c r="G10" i="1"/>
  <c r="C6" i="78"/>
  <c r="D6" i="78" s="1"/>
  <c r="C7" i="78"/>
  <c r="D7" i="78" s="1"/>
  <c r="C5" i="78"/>
  <c r="D5" i="78" s="1"/>
  <c r="J1" i="73"/>
  <c r="L1" i="73"/>
  <c r="B2" i="1"/>
  <c r="B10" i="70"/>
  <c r="B9" i="70"/>
  <c r="B13" i="70"/>
  <c r="B8" i="70"/>
  <c r="B12" i="70"/>
  <c r="B7" i="70"/>
  <c r="B11" i="70"/>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127" i="9"/>
  <c r="D13" i="52" s="1"/>
  <c r="F43" i="15"/>
  <c r="L47" i="15"/>
  <c r="F40" i="15"/>
  <c r="F7" i="15"/>
  <c r="D5" i="73"/>
  <c r="M27" i="15"/>
  <c r="D6" i="73"/>
  <c r="L48" i="15"/>
  <c r="D4" i="73"/>
  <c r="F38" i="15"/>
  <c r="M26" i="15"/>
  <c r="M8" i="15"/>
  <c r="F42" i="15"/>
  <c r="F41" i="15"/>
  <c r="F6" i="15"/>
  <c r="J15" i="15"/>
  <c r="F35" i="15"/>
  <c r="D3" i="73"/>
  <c r="M29" i="67"/>
  <c r="M23" i="15"/>
  <c r="F26" i="15"/>
  <c r="F13" i="15"/>
  <c r="F16" i="15"/>
  <c r="F43" i="67"/>
  <c r="F7" i="67"/>
  <c r="M9" i="15"/>
  <c r="F36" i="15"/>
  <c r="F6" i="73"/>
  <c r="C76" i="15"/>
  <c r="D7" i="73"/>
  <c r="M21" i="15"/>
  <c r="M22" i="15"/>
  <c r="M6" i="15"/>
  <c r="M24" i="15"/>
  <c r="F5" i="73"/>
  <c r="M29" i="15"/>
  <c r="F7" i="73"/>
  <c r="C14" i="15"/>
  <c r="F37" i="15"/>
  <c r="M28" i="15"/>
  <c r="F8" i="15"/>
  <c r="F9" i="15"/>
  <c r="F13" i="67"/>
  <c r="F3" i="73"/>
  <c r="F4" i="73"/>
  <c r="L48" i="67"/>
  <c r="H69" i="43" l="1"/>
  <c r="H64" i="43"/>
  <c r="H65" i="43"/>
  <c r="H68" i="43"/>
  <c r="H66" i="43"/>
  <c r="H67" i="43"/>
  <c r="H63" i="43"/>
  <c r="H62" i="43"/>
  <c r="H61" i="43"/>
  <c r="AZ13" i="3"/>
  <c r="E8" i="6"/>
  <c r="E10" i="6"/>
  <c r="AQ11" i="1"/>
  <c r="T11" i="1"/>
  <c r="K1" i="73"/>
  <c r="P67" i="71"/>
  <c r="E66" i="71"/>
  <c r="S20" i="71"/>
  <c r="B19" i="71"/>
  <c r="B18" i="71" s="1"/>
  <c r="B17" i="71" s="1"/>
  <c r="B16" i="71" s="1"/>
  <c r="D71" i="71"/>
  <c r="C70" i="71"/>
  <c r="D70" i="71" s="1"/>
  <c r="C26" i="71"/>
  <c r="D26" i="71" s="1"/>
  <c r="D27" i="71"/>
  <c r="C40" i="71"/>
  <c r="D39" i="71"/>
  <c r="F66" i="71"/>
  <c r="Q67" i="71"/>
  <c r="D66" i="71"/>
  <c r="O65" i="71"/>
  <c r="O66" i="71"/>
  <c r="AH35" i="79"/>
  <c r="W35" i="79"/>
  <c r="AK35" i="79" s="1"/>
  <c r="AH21" i="79"/>
  <c r="W21" i="79"/>
  <c r="AK21" i="79" s="1"/>
  <c r="AH42" i="79"/>
  <c r="W42" i="79"/>
  <c r="AK42" i="79" s="1"/>
  <c r="AH14" i="79"/>
  <c r="W14" i="79"/>
  <c r="AK14" i="79" s="1"/>
  <c r="AH22" i="79"/>
  <c r="W22" i="79"/>
  <c r="AK22" i="79" s="1"/>
  <c r="AH8" i="79"/>
  <c r="W8" i="79"/>
  <c r="AK8" i="79" s="1"/>
  <c r="E17" i="43"/>
  <c r="AC43" i="39"/>
  <c r="W43" i="39"/>
  <c r="W25" i="35"/>
  <c r="AC25" i="35"/>
  <c r="W10" i="79"/>
  <c r="AK10" i="79" s="1"/>
  <c r="AH10" i="79"/>
  <c r="AH12" i="79"/>
  <c r="W12" i="79"/>
  <c r="AK12" i="79" s="1"/>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s="1"/>
  <c r="H90" i="34" s="1"/>
  <c r="I90" i="34" s="1"/>
  <c r="J90" i="34" s="1"/>
  <c r="K90" i="34" s="1"/>
  <c r="L90" i="34" s="1"/>
  <c r="M90" i="34" s="1"/>
  <c r="F27" i="34"/>
  <c r="AC45" i="34"/>
  <c r="W45" i="34"/>
  <c r="U43" i="34"/>
  <c r="AB43" i="34"/>
  <c r="AC12" i="33"/>
  <c r="W12" i="33"/>
  <c r="E30" i="6"/>
  <c r="K14" i="1"/>
  <c r="M14" i="1" s="1"/>
  <c r="AZ5" i="3"/>
  <c r="AY6" i="3" s="1"/>
  <c r="D23" i="71"/>
  <c r="C22" i="71"/>
  <c r="C64" i="71"/>
  <c r="D63" i="71"/>
  <c r="T56" i="71"/>
  <c r="D56" i="71"/>
  <c r="C52" i="71"/>
  <c r="D51" i="71"/>
  <c r="C32" i="71"/>
  <c r="D31" i="71"/>
  <c r="AH48" i="79"/>
  <c r="W48" i="79"/>
  <c r="AK48" i="79" s="1"/>
  <c r="D79" i="71"/>
  <c r="C78" i="71"/>
  <c r="D78" i="71" s="1"/>
  <c r="AH43" i="79"/>
  <c r="W43" i="79"/>
  <c r="AK43" i="79" s="1"/>
  <c r="W33" i="79"/>
  <c r="AK33" i="79" s="1"/>
  <c r="AH33" i="79"/>
  <c r="AC27" i="40"/>
  <c r="W27" i="40"/>
  <c r="W6" i="79"/>
  <c r="AK6" i="79" s="1"/>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D29" i="77"/>
  <c r="D26" i="77"/>
  <c r="D32" i="77" s="1"/>
  <c r="AB45" i="34"/>
  <c r="U45" i="34"/>
  <c r="S32" i="34"/>
  <c r="AA32" i="34"/>
  <c r="U23" i="34"/>
  <c r="AB23" i="34"/>
  <c r="U12" i="33"/>
  <c r="AB12" i="33"/>
  <c r="AB28" i="34"/>
  <c r="U28" i="34"/>
  <c r="U15" i="34"/>
  <c r="AB15" i="34"/>
  <c r="C60" i="71"/>
  <c r="D59" i="71"/>
  <c r="C36" i="71"/>
  <c r="D35" i="71"/>
  <c r="AH49" i="79"/>
  <c r="W49" i="79"/>
  <c r="AK49" i="79" s="1"/>
  <c r="AH15" i="79"/>
  <c r="W15" i="79"/>
  <c r="AK15" i="79" s="1"/>
  <c r="W47" i="79"/>
  <c r="AK47" i="79" s="1"/>
  <c r="AH47" i="79"/>
  <c r="W37" i="79"/>
  <c r="AK37" i="79" s="1"/>
  <c r="AH37" i="79"/>
  <c r="AB27" i="40"/>
  <c r="U27" i="40"/>
  <c r="W26" i="35"/>
  <c r="AC26" i="35"/>
  <c r="AH9" i="79"/>
  <c r="W9" i="79"/>
  <c r="AK9" i="79" s="1"/>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s="1"/>
  <c r="AH51" i="79"/>
  <c r="AH39" i="79"/>
  <c r="W39" i="79"/>
  <c r="AK39" i="79" s="1"/>
  <c r="D44" i="71"/>
  <c r="T44" i="71"/>
  <c r="AH34" i="79"/>
  <c r="W34" i="79"/>
  <c r="AK34" i="79" s="1"/>
  <c r="W50" i="79"/>
  <c r="AK50" i="79" s="1"/>
  <c r="AH50" i="79"/>
  <c r="AH16" i="79"/>
  <c r="W16" i="79"/>
  <c r="AK16" i="79" s="1"/>
  <c r="E19" i="71"/>
  <c r="E18" i="71" s="1"/>
  <c r="E17" i="71" s="1"/>
  <c r="E16" i="71" s="1"/>
  <c r="V20" i="71"/>
  <c r="AH11" i="79"/>
  <c r="W11" i="79"/>
  <c r="AK11" i="79" s="1"/>
  <c r="W44" i="79"/>
  <c r="AK44" i="79" s="1"/>
  <c r="AH44" i="79"/>
  <c r="AH38" i="79"/>
  <c r="W38" i="79"/>
  <c r="AK38" i="79" s="1"/>
  <c r="AH18" i="79"/>
  <c r="W18" i="79"/>
  <c r="AK18" i="79" s="1"/>
  <c r="W36" i="79"/>
  <c r="AK36" i="79" s="1"/>
  <c r="AH36" i="79"/>
  <c r="W41" i="79"/>
  <c r="AK41" i="79" s="1"/>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C36" i="33"/>
  <c r="E36" i="33" s="1"/>
  <c r="E11" i="6"/>
  <c r="E60" i="39" s="1"/>
  <c r="E12" i="6"/>
  <c r="E57" i="40" s="1"/>
  <c r="E15" i="6"/>
  <c r="E14" i="6"/>
  <c r="F50" i="43"/>
  <c r="H53" i="43" s="1"/>
  <c r="G53" i="43" s="1"/>
  <c r="D26" i="43"/>
  <c r="C25" i="43" s="1"/>
  <c r="G21" i="43"/>
  <c r="C20" i="43" s="1"/>
  <c r="C5" i="43" s="1"/>
  <c r="S15" i="33"/>
  <c r="U15" i="33"/>
  <c r="F31" i="15"/>
  <c r="F31" i="67"/>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F71" i="15"/>
  <c r="C34" i="15"/>
  <c r="F63" i="15"/>
  <c r="C62" i="15" s="1"/>
  <c r="J20" i="15"/>
  <c r="F64" i="15"/>
  <c r="C6" i="15"/>
  <c r="F68" i="15"/>
  <c r="F51" i="15"/>
  <c r="J53" i="15"/>
  <c r="F1" i="15" s="1"/>
  <c r="I54" i="15"/>
  <c r="J57" i="15"/>
  <c r="J55" i="15" s="1"/>
  <c r="J58" i="15" s="1"/>
  <c r="Q50" i="15" s="1"/>
  <c r="C27" i="15"/>
  <c r="F69" i="15"/>
  <c r="M7" i="15"/>
  <c r="J6" i="15" s="1"/>
  <c r="F50" i="15"/>
  <c r="L58" i="15"/>
  <c r="Q60" i="15" s="1"/>
  <c r="M59" i="15"/>
  <c r="L59" i="15"/>
  <c r="Q61" i="15" s="1"/>
  <c r="N59" i="15"/>
  <c r="F65" i="15"/>
  <c r="Q71" i="15"/>
  <c r="F66" i="15"/>
  <c r="F71" i="67"/>
  <c r="F50" i="67"/>
  <c r="C49" i="67" s="1"/>
  <c r="C6" i="67"/>
  <c r="M7" i="67"/>
  <c r="J6" i="67" s="1"/>
  <c r="C18" i="15"/>
  <c r="C15" i="15"/>
  <c r="E51" i="40"/>
  <c r="E56" i="39"/>
  <c r="F27" i="6"/>
  <c r="F31" i="6" s="1"/>
  <c r="C9" i="68"/>
  <c r="H16" i="1"/>
  <c r="Q16" i="1"/>
  <c r="M6"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I1" i="73"/>
  <c r="B39" i="1" s="1"/>
  <c r="F11" i="15" s="1"/>
  <c r="C7" i="39"/>
  <c r="C67" i="39" s="1"/>
  <c r="G23" i="43"/>
  <c r="C23" i="43" s="1"/>
  <c r="C7" i="36"/>
  <c r="C46" i="36" s="1"/>
  <c r="C7" i="40"/>
  <c r="C63" i="40" s="1"/>
  <c r="C7" i="21"/>
  <c r="C58" i="21" s="1"/>
  <c r="C7" i="37"/>
  <c r="C52" i="37" s="1"/>
  <c r="M47" i="9"/>
  <c r="C42" i="1"/>
  <c r="C7" i="35"/>
  <c r="C48" i="35" s="1"/>
  <c r="C7" i="33"/>
  <c r="C58" i="33" s="1"/>
  <c r="J51" i="67"/>
  <c r="C7" i="34"/>
  <c r="C59" i="34" s="1"/>
  <c r="F59" i="67"/>
  <c r="G1" i="73"/>
  <c r="C16" i="67"/>
  <c r="C17" i="15"/>
  <c r="C16" i="15"/>
  <c r="H52" i="43" l="1"/>
  <c r="G52" i="43" s="1"/>
  <c r="H56" i="43"/>
  <c r="G56" i="43" s="1"/>
  <c r="K56" i="43" s="1"/>
  <c r="H57" i="43"/>
  <c r="G57" i="43" s="1"/>
  <c r="K57" i="43" s="1"/>
  <c r="J57" i="43" s="1"/>
  <c r="D57" i="43" s="1"/>
  <c r="E3" i="6"/>
  <c r="E61" i="39"/>
  <c r="E56" i="40"/>
  <c r="C34" i="69"/>
  <c r="C35" i="69" s="1"/>
  <c r="K16" i="1"/>
  <c r="B40" i="1"/>
  <c r="F22" i="11" s="1"/>
  <c r="C26" i="11" s="1"/>
  <c r="D22" i="11" s="1"/>
  <c r="V16" i="71"/>
  <c r="E15" i="71"/>
  <c r="E14" i="71" s="1"/>
  <c r="E13" i="71" s="1"/>
  <c r="E12" i="71" s="1"/>
  <c r="T36" i="71"/>
  <c r="D36" i="71"/>
  <c r="T32" i="71"/>
  <c r="D32" i="71"/>
  <c r="AB27" i="34"/>
  <c r="U27" i="34"/>
  <c r="Q66" i="71"/>
  <c r="Q65" i="71"/>
  <c r="P66" i="71"/>
  <c r="P65" i="71"/>
  <c r="U26" i="35"/>
  <c r="AB26" i="35"/>
  <c r="T60" i="71"/>
  <c r="D60" i="71"/>
  <c r="AA26" i="35"/>
  <c r="S26" i="35"/>
  <c r="T52" i="71"/>
  <c r="D52" i="71"/>
  <c r="T64" i="71"/>
  <c r="D64" i="71"/>
  <c r="S27" i="34"/>
  <c r="AA27" i="34"/>
  <c r="T40" i="71"/>
  <c r="D40" i="71"/>
  <c r="C61" i="67"/>
  <c r="H55" i="43"/>
  <c r="G55" i="43" s="1"/>
  <c r="K55" i="43" s="1"/>
  <c r="H58" i="43"/>
  <c r="G58" i="43" s="1"/>
  <c r="M58" i="43" s="1"/>
  <c r="N58" i="43" s="1"/>
  <c r="E38" i="77"/>
  <c r="E39" i="77" s="1"/>
  <c r="C40" i="77" s="1"/>
  <c r="E32" i="77"/>
  <c r="E29" i="77"/>
  <c r="E26" i="77"/>
  <c r="C21" i="71"/>
  <c r="D22" i="71"/>
  <c r="S16" i="71"/>
  <c r="B15" i="71"/>
  <c r="B14" i="71" s="1"/>
  <c r="B13" i="71" s="1"/>
  <c r="B12" i="71" s="1"/>
  <c r="G36" i="33"/>
  <c r="F36" i="33"/>
  <c r="E27" i="6"/>
  <c r="E16" i="6"/>
  <c r="E63" i="39"/>
  <c r="E59" i="40"/>
  <c r="H54" i="43"/>
  <c r="G54" i="43" s="1"/>
  <c r="M54" i="43" s="1"/>
  <c r="H50" i="43"/>
  <c r="G50" i="43" s="1"/>
  <c r="K50" i="43" s="1"/>
  <c r="H51" i="43"/>
  <c r="G51" i="43" s="1"/>
  <c r="K51" i="43" s="1"/>
  <c r="M53" i="43"/>
  <c r="N53" i="43" s="1"/>
  <c r="K53" i="43"/>
  <c r="M56" i="43"/>
  <c r="N56" i="43" s="1"/>
  <c r="M57" i="43"/>
  <c r="N57" i="43" s="1"/>
  <c r="M52" i="43"/>
  <c r="N52" i="43" s="1"/>
  <c r="K52" i="43"/>
  <c r="M50" i="43"/>
  <c r="N50" i="43" s="1"/>
  <c r="D5" i="43"/>
  <c r="M17" i="67"/>
  <c r="M17" i="15"/>
  <c r="F59" i="15"/>
  <c r="Q60" i="67"/>
  <c r="H10" i="39"/>
  <c r="U10" i="39" s="1"/>
  <c r="F10" i="40"/>
  <c r="S10" i="40" s="1"/>
  <c r="H10" i="40"/>
  <c r="AB10" i="40" s="1"/>
  <c r="J10" i="40"/>
  <c r="AC10" i="40" s="1"/>
  <c r="J10" i="39"/>
  <c r="AC10" i="39" s="1"/>
  <c r="F10" i="39"/>
  <c r="AA10" i="39" s="1"/>
  <c r="J18" i="67"/>
  <c r="C32" i="15"/>
  <c r="C33" i="67"/>
  <c r="AB27" i="33"/>
  <c r="U27" i="33"/>
  <c r="Q73" i="15"/>
  <c r="Q52" i="15"/>
  <c r="C48" i="11"/>
  <c r="C30" i="11"/>
  <c r="C32" i="67"/>
  <c r="L56" i="15"/>
  <c r="Q74" i="15"/>
  <c r="J19" i="15"/>
  <c r="C33" i="15"/>
  <c r="C49" i="15"/>
  <c r="C61" i="15" s="1"/>
  <c r="AA37" i="34"/>
  <c r="S37" i="34"/>
  <c r="H37" i="34"/>
  <c r="I37" i="34"/>
  <c r="J37" i="34" s="1"/>
  <c r="C19" i="15"/>
  <c r="C20" i="15" s="1"/>
  <c r="C26" i="15" s="1"/>
  <c r="AB34" i="34"/>
  <c r="U34" i="34"/>
  <c r="M16" i="1"/>
  <c r="D19" i="11"/>
  <c r="C19"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F11" i="67"/>
  <c r="C53" i="67" s="1"/>
  <c r="C48" i="67" s="1"/>
  <c r="C60" i="67" s="1"/>
  <c r="F22" i="69"/>
  <c r="M11" i="15"/>
  <c r="J10" i="15" s="1"/>
  <c r="J5" i="15" s="1"/>
  <c r="J26" i="15" s="1"/>
  <c r="J29" i="15" s="1"/>
  <c r="M11" i="67"/>
  <c r="J10" i="67" s="1"/>
  <c r="J5" i="67" s="1"/>
  <c r="J26" i="67" s="1"/>
  <c r="F24" i="67"/>
  <c r="C24" i="67" s="1"/>
  <c r="F22" i="68"/>
  <c r="C65" i="40"/>
  <c r="D63" i="40"/>
  <c r="J18" i="15"/>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7" i="43"/>
  <c r="B70" i="39" s="1"/>
  <c r="A1" i="79"/>
  <c r="P29" i="43"/>
  <c r="P25" i="43"/>
  <c r="O23" i="43"/>
  <c r="P28" i="43"/>
  <c r="B66" i="40" s="1"/>
  <c r="P26" i="43"/>
  <c r="S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C53" i="15"/>
  <c r="C10" i="15"/>
  <c r="C5" i="15" s="1"/>
  <c r="C44" i="11"/>
  <c r="D41" i="11" s="1"/>
  <c r="K58" i="43" l="1"/>
  <c r="J58" i="43" s="1"/>
  <c r="M51" i="43"/>
  <c r="N51" i="43" s="1"/>
  <c r="K54" i="43"/>
  <c r="J54" i="43" s="1"/>
  <c r="M55" i="43"/>
  <c r="N55" i="43" s="1"/>
  <c r="AA10" i="40"/>
  <c r="C23" i="11"/>
  <c r="C38" i="69"/>
  <c r="E65" i="39"/>
  <c r="L36" i="43"/>
  <c r="N36" i="43" s="1"/>
  <c r="F25" i="12"/>
  <c r="C26" i="12" s="1"/>
  <c r="D25" i="12" s="1"/>
  <c r="F24" i="15"/>
  <c r="C24" i="15" s="1"/>
  <c r="C24" i="11"/>
  <c r="C41" i="77"/>
  <c r="B2" i="77"/>
  <c r="B3" i="77" s="1"/>
  <c r="C20" i="71"/>
  <c r="D21" i="71"/>
  <c r="V12" i="71"/>
  <c r="E11" i="71"/>
  <c r="E10" i="71" s="1"/>
  <c r="E9" i="71" s="1"/>
  <c r="E8" i="71" s="1"/>
  <c r="E7" i="71" s="1"/>
  <c r="E6" i="71" s="1"/>
  <c r="E5" i="71" s="1"/>
  <c r="S12" i="71"/>
  <c r="B11" i="71"/>
  <c r="B10" i="71" s="1"/>
  <c r="B9" i="71" s="1"/>
  <c r="B8" i="71" s="1"/>
  <c r="B7" i="71" s="1"/>
  <c r="B6" i="71" s="1"/>
  <c r="B5" i="71" s="1"/>
  <c r="AA36" i="33"/>
  <c r="S36" i="33"/>
  <c r="I36" i="33"/>
  <c r="J36" i="33" s="1"/>
  <c r="H36" i="33"/>
  <c r="K20" i="6"/>
  <c r="M20" i="6" s="1"/>
  <c r="I20" i="6" s="1"/>
  <c r="S20" i="6" s="1"/>
  <c r="K25" i="6"/>
  <c r="M25" i="6" s="1"/>
  <c r="I25" i="6" s="1"/>
  <c r="S25" i="6" s="1"/>
  <c r="K26" i="6"/>
  <c r="M26" i="6" s="1"/>
  <c r="I26" i="6" s="1"/>
  <c r="S26" i="6" s="1"/>
  <c r="K21" i="6"/>
  <c r="M21" i="6" s="1"/>
  <c r="I21" i="6" s="1"/>
  <c r="S21" i="6" s="1"/>
  <c r="K19" i="6"/>
  <c r="K24" i="6"/>
  <c r="M24" i="6" s="1"/>
  <c r="I24" i="6" s="1"/>
  <c r="S24" i="6" s="1"/>
  <c r="E31" i="6"/>
  <c r="K22" i="6"/>
  <c r="M22" i="6" s="1"/>
  <c r="I22" i="6" s="1"/>
  <c r="S22" i="6" s="1"/>
  <c r="K23" i="6"/>
  <c r="M23" i="6" s="1"/>
  <c r="I23" i="6" s="1"/>
  <c r="S23" i="6" s="1"/>
  <c r="N54" i="43"/>
  <c r="D54" i="43"/>
  <c r="W10" i="39"/>
  <c r="AB10" i="39"/>
  <c r="J52" i="43"/>
  <c r="D52" i="43"/>
  <c r="D53" i="43"/>
  <c r="J53" i="43"/>
  <c r="J50" i="43"/>
  <c r="D50" i="43"/>
  <c r="D58" i="43"/>
  <c r="J55" i="43"/>
  <c r="D55" i="43"/>
  <c r="J56" i="43"/>
  <c r="D56" i="43"/>
  <c r="J51" i="43"/>
  <c r="D51" i="43"/>
  <c r="U10" i="40"/>
  <c r="E6" i="3"/>
  <c r="C31" i="15"/>
  <c r="W10" i="40"/>
  <c r="J7" i="35"/>
  <c r="W7" i="35" s="1"/>
  <c r="H7" i="36"/>
  <c r="AB7" i="36" s="1"/>
  <c r="T36" i="36" s="1"/>
  <c r="G36" i="36" s="1"/>
  <c r="C48" i="15"/>
  <c r="C60" i="15" s="1"/>
  <c r="C59" i="15" s="1"/>
  <c r="J24" i="15"/>
  <c r="AB37" i="34"/>
  <c r="U37" i="34"/>
  <c r="C29" i="12"/>
  <c r="D28" i="12" s="1"/>
  <c r="J17" i="15"/>
  <c r="AC37" i="34"/>
  <c r="W37" i="34"/>
  <c r="C10" i="67"/>
  <c r="C5" i="67" s="1"/>
  <c r="C38" i="67" s="1"/>
  <c r="F45" i="68"/>
  <c r="C29" i="68"/>
  <c r="D27" i="68" s="1"/>
  <c r="C47" i="68"/>
  <c r="D45" i="68" s="1"/>
  <c r="D20" i="12"/>
  <c r="C20" i="12" s="1"/>
  <c r="C18" i="12" s="1"/>
  <c r="D10" i="68"/>
  <c r="D10" i="11"/>
  <c r="C10" i="11" s="1"/>
  <c r="D10" i="69"/>
  <c r="L16" i="1"/>
  <c r="C34" i="68"/>
  <c r="C14" i="12"/>
  <c r="C16" i="12" s="1"/>
  <c r="D17" i="12"/>
  <c r="C17" i="12" s="1"/>
  <c r="N16" i="1"/>
  <c r="C34" i="11"/>
  <c r="C38" i="11" s="1"/>
  <c r="C47" i="69"/>
  <c r="D45" i="69" s="1"/>
  <c r="F45" i="69"/>
  <c r="C29" i="69"/>
  <c r="D27" i="69" s="1"/>
  <c r="D29" i="6"/>
  <c r="D28" i="6"/>
  <c r="D26" i="6"/>
  <c r="D24" i="6"/>
  <c r="D22" i="6"/>
  <c r="D20" i="6"/>
  <c r="E61" i="40"/>
  <c r="M19" i="9"/>
  <c r="C118" i="9" s="1"/>
  <c r="L19" i="9"/>
  <c r="D23" i="6"/>
  <c r="D11" i="6"/>
  <c r="D8" i="6"/>
  <c r="D25" i="6"/>
  <c r="D13" i="6"/>
  <c r="D10" i="6"/>
  <c r="D15" i="6"/>
  <c r="D12" i="6"/>
  <c r="D9" i="6"/>
  <c r="D5" i="6"/>
  <c r="D21" i="6"/>
  <c r="D19" i="6"/>
  <c r="D6" i="6"/>
  <c r="C18" i="4"/>
  <c r="D14" i="6"/>
  <c r="C47" i="11"/>
  <c r="D45" i="11" s="1"/>
  <c r="C29" i="11"/>
  <c r="D27" i="11" s="1"/>
  <c r="C20" i="11"/>
  <c r="C25" i="11" s="1"/>
  <c r="C66" i="67"/>
  <c r="C44" i="69"/>
  <c r="D41" i="69" s="1"/>
  <c r="C26" i="68"/>
  <c r="D22" i="68" s="1"/>
  <c r="C26" i="69"/>
  <c r="D22" i="69" s="1"/>
  <c r="C23" i="68"/>
  <c r="F41" i="69"/>
  <c r="J24" i="67"/>
  <c r="F41" i="68"/>
  <c r="C44" i="68"/>
  <c r="D41" i="68" s="1"/>
  <c r="E67" i="39"/>
  <c r="D69" i="39"/>
  <c r="Q66" i="67"/>
  <c r="Q57" i="67"/>
  <c r="J7" i="21"/>
  <c r="F7" i="37"/>
  <c r="F7" i="21"/>
  <c r="F7" i="35"/>
  <c r="H7" i="34"/>
  <c r="H7" i="37"/>
  <c r="F7" i="33"/>
  <c r="F7" i="36"/>
  <c r="Q61" i="67"/>
  <c r="Q74" i="67"/>
  <c r="F1" i="67"/>
  <c r="Q52" i="67"/>
  <c r="E63" i="40"/>
  <c r="D65" i="40"/>
  <c r="F7" i="34"/>
  <c r="J7" i="33"/>
  <c r="H7" i="21"/>
  <c r="H7" i="35"/>
  <c r="J7" i="34"/>
  <c r="J7" i="37"/>
  <c r="H7" i="33"/>
  <c r="J7" i="36"/>
  <c r="C38" i="15"/>
  <c r="AE6" i="1"/>
  <c r="P36" i="43" l="1"/>
  <c r="Q36" i="43"/>
  <c r="C22" i="11"/>
  <c r="C23" i="15"/>
  <c r="C29" i="15" s="1"/>
  <c r="C57" i="15" s="1"/>
  <c r="C64" i="15" s="1"/>
  <c r="H26" i="6"/>
  <c r="O36" i="43"/>
  <c r="M36" i="43"/>
  <c r="L37" i="43"/>
  <c r="P37" i="43" s="1"/>
  <c r="H23" i="6"/>
  <c r="R23" i="6" s="1"/>
  <c r="AC7" i="35"/>
  <c r="V38" i="35" s="1"/>
  <c r="I38" i="35" s="1"/>
  <c r="I42" i="35" s="1"/>
  <c r="J42" i="35" s="1"/>
  <c r="T20" i="71"/>
  <c r="D20" i="71"/>
  <c r="U20" i="71" s="1"/>
  <c r="C19" i="71"/>
  <c r="U7" i="36"/>
  <c r="H22" i="6"/>
  <c r="R22" i="6" s="1"/>
  <c r="AB36" i="33"/>
  <c r="U36" i="33"/>
  <c r="AC36" i="33"/>
  <c r="W36" i="33"/>
  <c r="H20" i="6"/>
  <c r="R20" i="6" s="1"/>
  <c r="H25" i="6"/>
  <c r="R25" i="6" s="1"/>
  <c r="H21" i="6"/>
  <c r="R21" i="6" s="1"/>
  <c r="H24" i="6"/>
  <c r="R24" i="6" s="1"/>
  <c r="S6" i="1"/>
  <c r="K27" i="6"/>
  <c r="M19" i="6"/>
  <c r="E50" i="43"/>
  <c r="B48" i="43" s="1"/>
  <c r="C28" i="43" s="1"/>
  <c r="C28" i="11"/>
  <c r="C27" i="11" s="1"/>
  <c r="C66" i="15"/>
  <c r="C21" i="12"/>
  <c r="C22" i="12" s="1"/>
  <c r="C30" i="12" s="1"/>
  <c r="C28" i="12" s="1"/>
  <c r="A7" i="51"/>
  <c r="B7" i="72" s="1"/>
  <c r="C4" i="52"/>
  <c r="B45" i="72" s="1"/>
  <c r="A10" i="51"/>
  <c r="B9" i="72" s="1"/>
  <c r="C10" i="69"/>
  <c r="C8" i="69" s="1"/>
  <c r="D19" i="69"/>
  <c r="R26" i="6"/>
  <c r="F50" i="11"/>
  <c r="F50" i="68"/>
  <c r="F50" i="69"/>
  <c r="C35" i="11"/>
  <c r="C33" i="11" s="1"/>
  <c r="C42" i="11" s="1"/>
  <c r="D27" i="6"/>
  <c r="D16" i="6"/>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U7" i="34"/>
  <c r="AB7" i="34"/>
  <c r="T49" i="34" s="1"/>
  <c r="G49" i="34" s="1"/>
  <c r="AA7" i="34"/>
  <c r="R49" i="34" s="1"/>
  <c r="S7" i="34"/>
  <c r="AA7" i="35"/>
  <c r="R38" i="35" s="1"/>
  <c r="S7" i="35"/>
  <c r="AC7" i="36"/>
  <c r="V36" i="36" s="1"/>
  <c r="I36" i="36" s="1"/>
  <c r="G41" i="36" s="1"/>
  <c r="H41" i="36" s="1"/>
  <c r="W7" i="36"/>
  <c r="AB7" i="21"/>
  <c r="T48" i="21" s="1"/>
  <c r="G48" i="21" s="1"/>
  <c r="U7" i="21"/>
  <c r="U7" i="37"/>
  <c r="AB7" i="37"/>
  <c r="T42" i="37" s="1"/>
  <c r="G42" i="37" s="1"/>
  <c r="E69" i="39"/>
  <c r="F67" i="39"/>
  <c r="F41" i="67"/>
  <c r="C14" i="67"/>
  <c r="C17" i="67"/>
  <c r="C31" i="11" l="1"/>
  <c r="C13" i="15"/>
  <c r="Q70" i="15" s="1"/>
  <c r="J59" i="15"/>
  <c r="J60" i="15" s="1"/>
  <c r="Q48" i="15" s="1"/>
  <c r="Q49" i="15"/>
  <c r="C36" i="15"/>
  <c r="J14" i="15"/>
  <c r="J22" i="15" s="1"/>
  <c r="N37" i="43"/>
  <c r="Q37" i="43"/>
  <c r="M37" i="43"/>
  <c r="O37" i="43"/>
  <c r="D19" i="71"/>
  <c r="C18" i="71"/>
  <c r="V48" i="33"/>
  <c r="I48" i="33" s="1"/>
  <c r="G53" i="33" s="1"/>
  <c r="H53" i="33" s="1"/>
  <c r="C18" i="67"/>
  <c r="C15" i="67"/>
  <c r="AQ6" i="1"/>
  <c r="T6" i="1"/>
  <c r="T16" i="1" s="1"/>
  <c r="S16" i="1"/>
  <c r="AR6" i="1"/>
  <c r="E6" i="70"/>
  <c r="E2" i="70" s="1"/>
  <c r="M27" i="6"/>
  <c r="I19" i="6"/>
  <c r="T16" i="43"/>
  <c r="V16" i="43" s="1"/>
  <c r="T5" i="43"/>
  <c r="V5" i="43" s="1"/>
  <c r="T9" i="43"/>
  <c r="V9" i="43" s="1"/>
  <c r="T15" i="43"/>
  <c r="V15" i="43" s="1"/>
  <c r="T6" i="43"/>
  <c r="V6" i="43" s="1"/>
  <c r="T8" i="43"/>
  <c r="V8" i="43" s="1"/>
  <c r="T13" i="43"/>
  <c r="V13" i="43" s="1"/>
  <c r="C33" i="43"/>
  <c r="T10" i="43"/>
  <c r="V10" i="43" s="1"/>
  <c r="T7" i="43"/>
  <c r="V7" i="43" s="1"/>
  <c r="T11" i="43"/>
  <c r="V11" i="43" s="1"/>
  <c r="T12" i="43"/>
  <c r="V12" i="43" s="1"/>
  <c r="T3" i="43"/>
  <c r="V3" i="43" s="1"/>
  <c r="T4" i="43"/>
  <c r="V4" i="43" s="1"/>
  <c r="T2" i="43"/>
  <c r="V2" i="43" s="1"/>
  <c r="T14" i="43"/>
  <c r="V14" i="43" s="1"/>
  <c r="C39" i="43"/>
  <c r="C42" i="43"/>
  <c r="C41" i="43"/>
  <c r="C40" i="43"/>
  <c r="C38" i="43"/>
  <c r="C37" i="43"/>
  <c r="D31" i="6"/>
  <c r="I5" i="6" s="1"/>
  <c r="F69" i="67"/>
  <c r="J29" i="67"/>
  <c r="C27" i="12"/>
  <c r="C25" i="12" s="1"/>
  <c r="C32" i="12" s="1"/>
  <c r="B2" i="12" s="1"/>
  <c r="B3" i="12" s="1"/>
  <c r="C39" i="11"/>
  <c r="C43" i="11" s="1"/>
  <c r="C41" i="11" s="1"/>
  <c r="D37" i="69"/>
  <c r="C37" i="69" s="1"/>
  <c r="C33" i="69" s="1"/>
  <c r="C19" i="69"/>
  <c r="C19" i="68"/>
  <c r="D37" i="68"/>
  <c r="C37" i="68" s="1"/>
  <c r="C33" i="68" s="1"/>
  <c r="C37" i="15"/>
  <c r="G47" i="37"/>
  <c r="H47" i="37" s="1"/>
  <c r="G46" i="37"/>
  <c r="H46" i="37" s="1"/>
  <c r="G53" i="34"/>
  <c r="H53" i="34" s="1"/>
  <c r="G54" i="34"/>
  <c r="H54" i="34" s="1"/>
  <c r="E48" i="21"/>
  <c r="I53" i="21" s="1"/>
  <c r="J53" i="21" s="1"/>
  <c r="R49" i="21"/>
  <c r="G43" i="35"/>
  <c r="H43" i="35" s="1"/>
  <c r="G42" i="35"/>
  <c r="H42" i="35" s="1"/>
  <c r="I52" i="21"/>
  <c r="J52" i="21" s="1"/>
  <c r="I40" i="36"/>
  <c r="J40" i="36" s="1"/>
  <c r="I46" i="37"/>
  <c r="J46" i="37" s="1"/>
  <c r="R43" i="37"/>
  <c r="E42" i="37"/>
  <c r="I47" i="37" s="1"/>
  <c r="J47" i="37" s="1"/>
  <c r="G52" i="33"/>
  <c r="H52" i="33" s="1"/>
  <c r="F69" i="39"/>
  <c r="G67" i="39"/>
  <c r="I53" i="34"/>
  <c r="J53" i="34" s="1"/>
  <c r="R37" i="36"/>
  <c r="E36" i="36"/>
  <c r="G53" i="21"/>
  <c r="H53" i="21" s="1"/>
  <c r="G52" i="21"/>
  <c r="H52" i="21" s="1"/>
  <c r="R39" i="35"/>
  <c r="E38" i="35"/>
  <c r="R50" i="34"/>
  <c r="E49" i="34"/>
  <c r="I54" i="34" s="1"/>
  <c r="J54" i="34" s="1"/>
  <c r="E48" i="33"/>
  <c r="F65" i="40"/>
  <c r="G63" i="40"/>
  <c r="R49" i="33" l="1"/>
  <c r="C48" i="33" s="1"/>
  <c r="C30" i="15"/>
  <c r="C39" i="15" s="1"/>
  <c r="C40" i="15" s="1"/>
  <c r="Q47" i="15" s="1"/>
  <c r="Q53" i="15" s="1"/>
  <c r="C75" i="15"/>
  <c r="C56" i="15"/>
  <c r="C65" i="15" s="1"/>
  <c r="C58" i="15" s="1"/>
  <c r="C67" i="15" s="1"/>
  <c r="C68" i="15" s="1"/>
  <c r="C71" i="15" s="1"/>
  <c r="L46" i="15"/>
  <c r="J13" i="15"/>
  <c r="J23" i="15" s="1"/>
  <c r="J16" i="15" s="1"/>
  <c r="J25" i="15" s="1"/>
  <c r="I52" i="33"/>
  <c r="J52" i="33" s="1"/>
  <c r="D18" i="71"/>
  <c r="C17" i="71"/>
  <c r="C19" i="67"/>
  <c r="C20" i="67" s="1"/>
  <c r="I27" i="6"/>
  <c r="H19" i="6"/>
  <c r="S19" i="6"/>
  <c r="S27" i="6" s="1"/>
  <c r="C46" i="11"/>
  <c r="C45" i="11" s="1"/>
  <c r="C49" i="11" s="1"/>
  <c r="C51" i="11" s="1"/>
  <c r="C52" i="11" s="1"/>
  <c r="B2" i="11" s="1"/>
  <c r="B3" i="11" s="1"/>
  <c r="E41" i="43"/>
  <c r="G41" i="43"/>
  <c r="I41" i="43" s="1"/>
  <c r="C34" i="43"/>
  <c r="E34" i="43" s="1"/>
  <c r="G38" i="43"/>
  <c r="I38" i="43" s="1"/>
  <c r="E38" i="43"/>
  <c r="G39" i="43"/>
  <c r="I39" i="43" s="1"/>
  <c r="E39" i="43"/>
  <c r="G37" i="43"/>
  <c r="I37" i="43" s="1"/>
  <c r="E37" i="43"/>
  <c r="E42" i="43"/>
  <c r="G42" i="43"/>
  <c r="I42" i="43" s="1"/>
  <c r="E40" i="43"/>
  <c r="G40" i="43"/>
  <c r="I40" i="43" s="1"/>
  <c r="E33" i="43"/>
  <c r="I6" i="6"/>
  <c r="C39" i="69"/>
  <c r="C43" i="69" s="1"/>
  <c r="C42" i="69"/>
  <c r="C20" i="68"/>
  <c r="C25" i="68" s="1"/>
  <c r="C24" i="68"/>
  <c r="C24" i="69"/>
  <c r="C42" i="68"/>
  <c r="C39" i="68"/>
  <c r="G69" i="39"/>
  <c r="H67" i="39"/>
  <c r="C49" i="21"/>
  <c r="C48" i="21"/>
  <c r="E52" i="33"/>
  <c r="F52" i="33" s="1"/>
  <c r="E53" i="33"/>
  <c r="F53" i="33" s="1"/>
  <c r="E42" i="35"/>
  <c r="F42" i="35" s="1"/>
  <c r="E43" i="35"/>
  <c r="F43" i="35" s="1"/>
  <c r="I43" i="35"/>
  <c r="J43" i="35" s="1"/>
  <c r="C36" i="36"/>
  <c r="C37" i="36"/>
  <c r="C42" i="37"/>
  <c r="C43" i="37"/>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C43" i="15"/>
  <c r="L51" i="15"/>
  <c r="C83" i="15" l="1"/>
  <c r="C82" i="15" s="1"/>
  <c r="B2" i="15"/>
  <c r="B3" i="15" s="1"/>
  <c r="Q56" i="15"/>
  <c r="Q69" i="15"/>
  <c r="Q68" i="15" s="1"/>
  <c r="Q65" i="15"/>
  <c r="C49" i="33"/>
  <c r="B3" i="33" s="1"/>
  <c r="C80" i="15"/>
  <c r="C79" i="15" s="1"/>
  <c r="C46" i="15"/>
  <c r="D17" i="71"/>
  <c r="C16" i="71"/>
  <c r="C23" i="67"/>
  <c r="C26" i="67"/>
  <c r="H27" i="6"/>
  <c r="R19" i="6"/>
  <c r="C30" i="43"/>
  <c r="B2" i="43" s="1"/>
  <c r="C7" i="69"/>
  <c r="C5" i="69" s="1"/>
  <c r="C31" i="43"/>
  <c r="Q67" i="15"/>
  <c r="L57" i="15"/>
  <c r="L60" i="15" s="1"/>
  <c r="Q66" i="15" s="1"/>
  <c r="C56" i="11"/>
  <c r="C57" i="11" s="1"/>
  <c r="C22" i="68"/>
  <c r="C43" i="68"/>
  <c r="C41" i="68" s="1"/>
  <c r="C28" i="68"/>
  <c r="C27" i="68" s="1"/>
  <c r="C41" i="69"/>
  <c r="C46" i="68"/>
  <c r="C45" i="68" s="1"/>
  <c r="C46" i="69"/>
  <c r="C45" i="69" s="1"/>
  <c r="H69" i="39"/>
  <c r="I67" i="39"/>
  <c r="H65" i="40"/>
  <c r="I63" i="40"/>
  <c r="B3" i="34"/>
  <c r="B2" i="34"/>
  <c r="B6" i="76"/>
  <c r="E6" i="76"/>
  <c r="Q75" i="15" l="1"/>
  <c r="B2" i="33"/>
  <c r="C29" i="67"/>
  <c r="Q49" i="67" s="1"/>
  <c r="T16" i="71"/>
  <c r="C15" i="71"/>
  <c r="M23" i="43"/>
  <c r="D16" i="71"/>
  <c r="U16" i="71" s="1"/>
  <c r="R27" i="6"/>
  <c r="R6" i="1"/>
  <c r="E2" i="76"/>
  <c r="B2" i="76"/>
  <c r="C23" i="69"/>
  <c r="C20" i="69"/>
  <c r="C25" i="69" s="1"/>
  <c r="B3" i="43"/>
  <c r="Q57" i="15"/>
  <c r="Q62" i="15" s="1"/>
  <c r="C31" i="68"/>
  <c r="C49" i="68"/>
  <c r="C51" i="68" s="1"/>
  <c r="C49" i="69"/>
  <c r="C51" i="69" s="1"/>
  <c r="I65" i="40"/>
  <c r="J63" i="40"/>
  <c r="I69" i="39"/>
  <c r="J67" i="39"/>
  <c r="F35" i="67"/>
  <c r="M21" i="67"/>
  <c r="J14" i="67" l="1"/>
  <c r="J22" i="67" s="1"/>
  <c r="C13" i="67"/>
  <c r="C75" i="67" s="1"/>
  <c r="C57" i="67"/>
  <c r="C64" i="67" s="1"/>
  <c r="J59" i="67"/>
  <c r="J60" i="67" s="1"/>
  <c r="Q48" i="67" s="1"/>
  <c r="C36" i="67"/>
  <c r="C14" i="71"/>
  <c r="D15" i="71"/>
  <c r="J20" i="67"/>
  <c r="J17" i="67" s="1"/>
  <c r="F63" i="67"/>
  <c r="C62" i="67" s="1"/>
  <c r="C59" i="67" s="1"/>
  <c r="C34" i="67"/>
  <c r="C31" i="67" s="1"/>
  <c r="R16" i="1"/>
  <c r="C28" i="69"/>
  <c r="C27" i="69" s="1"/>
  <c r="B3" i="76"/>
  <c r="C22" i="69"/>
  <c r="C52" i="68"/>
  <c r="C57" i="68" s="1"/>
  <c r="C56" i="68" s="1"/>
  <c r="J69" i="39"/>
  <c r="K67" i="39"/>
  <c r="J65" i="40"/>
  <c r="K63" i="40"/>
  <c r="J13" i="67" l="1"/>
  <c r="J23" i="67" s="1"/>
  <c r="J16" i="67" s="1"/>
  <c r="J25" i="67" s="1"/>
  <c r="C37" i="67"/>
  <c r="C30" i="67" s="1"/>
  <c r="C39" i="67" s="1"/>
  <c r="C40" i="67" s="1"/>
  <c r="Q70" i="67"/>
  <c r="C56" i="67"/>
  <c r="C65" i="67" s="1"/>
  <c r="C58" i="67" s="1"/>
  <c r="C67" i="67" s="1"/>
  <c r="C68" i="67" s="1"/>
  <c r="L46" i="67"/>
  <c r="D14" i="71"/>
  <c r="C13" i="71"/>
  <c r="C31" i="69"/>
  <c r="C52" i="69" s="1"/>
  <c r="B2" i="69" s="1"/>
  <c r="B2" i="68"/>
  <c r="B3" i="68" s="1"/>
  <c r="K65" i="40"/>
  <c r="L63" i="40"/>
  <c r="K69" i="39"/>
  <c r="L67" i="39"/>
  <c r="C19" i="9"/>
  <c r="Q65" i="67" l="1"/>
  <c r="Q75" i="67" s="1"/>
  <c r="C43" i="67"/>
  <c r="Q47" i="67"/>
  <c r="Q53" i="67" s="1"/>
  <c r="C71" i="67"/>
  <c r="C45" i="67"/>
  <c r="C46" i="67" s="1"/>
  <c r="Q56" i="67"/>
  <c r="Q62" i="67" s="1"/>
  <c r="C83" i="67"/>
  <c r="C82" i="67" s="1"/>
  <c r="Q69" i="67"/>
  <c r="Q68" i="67" s="1"/>
  <c r="D2" i="67"/>
  <c r="B3" i="67" s="1"/>
  <c r="C80" i="67"/>
  <c r="C79" i="67" s="1"/>
  <c r="D13" i="71"/>
  <c r="C12" i="71"/>
  <c r="C21" i="9"/>
  <c r="C102" i="9"/>
  <c r="B3" i="69"/>
  <c r="C57" i="69"/>
  <c r="C56" i="69" s="1"/>
  <c r="M67" i="39"/>
  <c r="L69" i="39"/>
  <c r="M63" i="40"/>
  <c r="L65" i="40"/>
  <c r="D20" i="9"/>
  <c r="L51" i="67"/>
  <c r="C20" i="9"/>
  <c r="B2" i="67" l="1"/>
  <c r="Q67" i="67"/>
  <c r="T12" i="71"/>
  <c r="D12" i="71"/>
  <c r="U12" i="71" s="1"/>
  <c r="C11" i="71"/>
  <c r="C103" i="9"/>
  <c r="D103" i="9"/>
  <c r="G20" i="9"/>
  <c r="C32" i="9" s="1"/>
  <c r="M65" i="40"/>
  <c r="N63" i="40"/>
  <c r="M69" i="39"/>
  <c r="N67" i="39"/>
  <c r="D19" i="9"/>
  <c r="AO6" i="1"/>
  <c r="B6" i="70" l="1"/>
  <c r="B2" i="70" s="1"/>
  <c r="B3" i="70" s="1"/>
  <c r="D102" i="9"/>
  <c r="G19" i="9"/>
  <c r="G21" i="9" s="1"/>
  <c r="D21" i="9"/>
  <c r="D22" i="9"/>
  <c r="D11" i="71"/>
  <c r="C10" i="71"/>
  <c r="C35" i="9"/>
  <c r="C34" i="9" s="1"/>
  <c r="R24" i="31"/>
  <c r="N65" i="40"/>
  <c r="O63" i="40"/>
  <c r="O65" i="40" s="1"/>
  <c r="N69" i="39"/>
  <c r="O67" i="39"/>
  <c r="O69" i="39" s="1"/>
  <c r="D14" i="74" l="1"/>
  <c r="B5" i="74" s="1"/>
  <c r="D5" i="74" s="1"/>
  <c r="C9" i="71"/>
  <c r="D10" i="71"/>
  <c r="S24" i="31"/>
  <c r="R25" i="31"/>
  <c r="S25" i="31" s="1"/>
  <c r="R26" i="31"/>
  <c r="S26" i="31" s="1"/>
  <c r="H7" i="40"/>
  <c r="F7" i="40"/>
  <c r="J7" i="40"/>
  <c r="J7" i="39"/>
  <c r="H7" i="39"/>
  <c r="F7" i="39"/>
  <c r="G14" i="74" l="1"/>
  <c r="B6" i="74" s="1"/>
  <c r="D6" i="74" s="1"/>
  <c r="E14" i="74"/>
  <c r="F14" i="74"/>
  <c r="C8" i="71"/>
  <c r="D9" i="71"/>
  <c r="S22" i="31"/>
  <c r="AC7" i="39"/>
  <c r="V47" i="39" s="1"/>
  <c r="I47" i="39" s="1"/>
  <c r="W7" i="39"/>
  <c r="S7" i="39"/>
  <c r="AA7" i="39"/>
  <c r="R47" i="39" s="1"/>
  <c r="AA7" i="40"/>
  <c r="R42" i="40" s="1"/>
  <c r="S7" i="40"/>
  <c r="W7" i="40"/>
  <c r="AC7" i="40"/>
  <c r="V42" i="40" s="1"/>
  <c r="I42" i="40" s="1"/>
  <c r="AB7" i="39"/>
  <c r="T47" i="39" s="1"/>
  <c r="G47" i="39" s="1"/>
  <c r="U7" i="39"/>
  <c r="AB7" i="40"/>
  <c r="T42" i="40" s="1"/>
  <c r="G42" i="40" s="1"/>
  <c r="U7" i="40"/>
  <c r="D8" i="71" l="1"/>
  <c r="C7" i="71"/>
  <c r="R22" i="31"/>
  <c r="B20" i="31"/>
  <c r="B21" i="31" s="1"/>
  <c r="E42" i="40"/>
  <c r="I47" i="40" s="1"/>
  <c r="J47" i="40" s="1"/>
  <c r="R43" i="40"/>
  <c r="I46" i="40"/>
  <c r="J46" i="40" s="1"/>
  <c r="G47" i="40"/>
  <c r="H47" i="40" s="1"/>
  <c r="G46" i="40"/>
  <c r="H46" i="40" s="1"/>
  <c r="G52" i="39"/>
  <c r="H52" i="39" s="1"/>
  <c r="G51" i="39"/>
  <c r="H51" i="39" s="1"/>
  <c r="E47" i="39"/>
  <c r="I52" i="39" s="1"/>
  <c r="J52" i="39" s="1"/>
  <c r="R48" i="39"/>
  <c r="I51" i="39"/>
  <c r="J51" i="39" s="1"/>
  <c r="D7" i="71" l="1"/>
  <c r="C6" i="71"/>
  <c r="C48" i="39"/>
  <c r="C47" i="39"/>
  <c r="C43" i="40"/>
  <c r="C42" i="40"/>
  <c r="E51" i="39"/>
  <c r="F51" i="39" s="1"/>
  <c r="E52" i="39"/>
  <c r="F52" i="39" s="1"/>
  <c r="E46" i="40"/>
  <c r="F46" i="40" s="1"/>
  <c r="E47" i="40"/>
  <c r="F47" i="40" s="1"/>
  <c r="D6" i="71" l="1"/>
  <c r="C5" i="71"/>
  <c r="B60" i="40"/>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D5" i="71" l="1"/>
  <c r="M24" i="43"/>
  <c r="G118" i="9"/>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<sst xmlns="http://schemas.openxmlformats.org/spreadsheetml/2006/main" count="8068" uniqueCount="2802">
  <si>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</si>
  <si>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</si>
  <si>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</si>
  <si>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</si>
  <si>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</si>
  <si>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</si>
  <si>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</si>
  <si>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</si>
  <si>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</si>
  <si>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</si>
  <si>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</si>
  <si>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</si>
  <si>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</si>
  <si>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</si>
  <si>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</si>
  <si>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</si>
  <si>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</si>
  <si>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</si>
  <si>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</si>
  <si>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</si>
  <si>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</si>
  <si>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</si>
  <si>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</si>
  <si>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</si>
  <si>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</si>
  <si>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</si>
  <si>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</si>
  <si>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</si>
  <si>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</si>
  <si>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</si>
  <si>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</si>
  <si>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</si>
  <si>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</si>
  <si>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</si>
  <si>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</si>
  <si>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</si>
  <si>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</si>
  <si>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</si>
  <si>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</si>
  <si>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</si>
  <si>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</si>
  <si>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</si>
  <si>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</si>
  <si>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</si>
  <si>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</si>
  <si>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</si>
  <si>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</si>
  <si>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</si>
  <si>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</si>
  <si>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</si>
  <si>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</si>
  <si>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</si>
  <si>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</si>
  <si>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</si>
  <si>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</si>
  <si>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</si>
  <si>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</si>
  <si>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</si>
  <si>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</si>
  <si>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</si>
  <si>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</si>
  <si>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</si>
  <si>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</si>
  <si>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</si>
  <si>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</si>
  <si>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</si>
  <si>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</si>
  <si>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</si>
  <si>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</si>
  <si>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</si>
  <si>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</si>
  <si>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</si>
  <si>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</si>
  <si>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</si>
  <si>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</si>
  <si>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</si>
  <si>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</si>
  <si>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</si>
  <si>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</si>
  <si>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</si>
  <si>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</si>
  <si>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</si>
  <si>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</si>
  <si>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</si>
  <si>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</si>
  <si>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</si>
  <si>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</si>
  <si>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</si>
  <si>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</si>
  <si>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</si>
  <si>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</si>
  <si>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</si>
  <si>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</si>
  <si>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</si>
  <si>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</si>
  <si>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</si>
  <si>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</si>
  <si>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</si>
  <si>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</si>
  <si>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</si>
  <si>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</si>
  <si>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</si>
  <si>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</si>
  <si>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</si>
  <si>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</si>
  <si>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</si>
  <si>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</si>
  <si>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</si>
  <si>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</si>
  <si>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</si>
  <si>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</si>
  <si>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</si>
  <si>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</si>
  <si>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</si>
  <si>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</si>
  <si>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</si>
  <si>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</si>
  <si>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</si>
  <si>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</si>
  <si>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</si>
  <si>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</si>
  <si>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</si>
  <si>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</si>
  <si>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</si>
  <si>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</si>
  <si>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</si>
  <si>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</si>
  <si>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</si>
  <si>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</si>
  <si>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</si>
  <si>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</si>
  <si>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</si>
  <si>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</si>
  <si>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</si>
  <si>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</si>
  <si>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</si>
  <si>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</si>
  <si>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</si>
  <si>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</si>
  <si>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</si>
  <si>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</si>
  <si>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</si>
  <si>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</si>
  <si>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</si>
  <si>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</si>
  <si>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</si>
  <si>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</si>
  <si>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</si>
  <si>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</si>
  <si>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</si>
  <si>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</si>
  <si>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</si>
  <si>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</si>
  <si>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</si>
  <si>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</si>
  <si>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</si>
  <si>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</si>
  <si>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</si>
  <si>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</si>
  <si>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</si>
  <si>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</si>
  <si>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</si>
  <si>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</si>
  <si>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</si>
  <si>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</si>
  <si>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</si>
  <si>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</si>
  <si>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</si>
  <si>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</si>
  <si>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</si>
  <si>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</si>
  <si>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</si>
  <si>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</si>
  <si>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</si>
  <si>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</si>
  <si>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</si>
  <si>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</si>
  <si>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</si>
  <si>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</si>
  <si>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</si>
  <si>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</si>
  <si>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</si>
  <si>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</si>
  <si>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</si>
  <si>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</si>
  <si>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</si>
  <si>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</si>
  <si>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</si>
  <si>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</si>
  <si>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</si>
  <si>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</si>
  <si>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</si>
  <si>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</si>
  <si>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</si>
  <si>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</si>
  <si>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</si>
  <si>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</si>
  <si>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</si>
  <si>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</si>
  <si>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</si>
  <si>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</si>
  <si>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</si>
  <si>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</si>
  <si>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</si>
  <si>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</si>
  <si>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</si>
  <si>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</si>
  <si>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</si>
  <si>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</si>
  <si>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</si>
  <si>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</si>
  <si>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</si>
  <si>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</si>
  <si>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</si>
  <si>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</si>
  <si>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</si>
  <si>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</si>
  <si>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</si>
  <si>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</si>
  <si>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</si>
  <si>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</si>
  <si>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</si>
  <si>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</si>
  <si>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</si>
  <si>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</si>
  <si>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</si>
  <si>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</si>
  <si>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</si>
  <si>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</si>
  <si>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</si>
  <si>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</si>
  <si>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</si>
  <si>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</si>
  <si>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</si>
  <si>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</si>
  <si>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</si>
  <si>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</si>
  <si>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</si>
  <si>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</si>
  <si>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</si>
  <si>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</si>
  <si>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</si>
  <si>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</si>
  <si>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</si>
  <si>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</si>
  <si>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</si>
  <si>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</si>
  <si>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</si>
  <si>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</si>
  <si>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</si>
  <si>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</si>
  <si>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</si>
  <si>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</si>
  <si>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</si>
  <si>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</si>
  <si>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</si>
  <si>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</si>
  <si>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</si>
  <si>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</si>
  <si>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</si>
  <si>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</si>
  <si>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</si>
  <si>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</si>
  <si>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</si>
  <si>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</si>
  <si>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</si>
  <si>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</si>
  <si>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</si>
  <si>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</si>
  <si>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</si>
  <si>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</si>
  <si>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</si>
  <si>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</si>
  <si>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</si>
  <si>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</si>
  <si>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</si>
  <si>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</si>
  <si>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</si>
  <si>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</si>
  <si>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</si>
  <si>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</si>
  <si>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</si>
  <si>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</si>
  <si>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</si>
  <si>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</si>
  <si>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</si>
  <si>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</si>
  <si>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</si>
  <si>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</si>
  <si>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</si>
  <si>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</si>
  <si>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</si>
  <si>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</si>
  <si>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</si>
  <si>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</si>
  <si>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</si>
  <si>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</si>
  <si>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</si>
  <si>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</si>
  <si>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</si>
  <si>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</si>
  <si>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</si>
  <si>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</si>
  <si>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</si>
  <si>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</si>
  <si>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</si>
  <si>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</si>
  <si>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</si>
  <si>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</si>
  <si>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</si>
  <si>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</si>
  <si>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</si>
  <si>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</si>
  <si>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</si>
  <si>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</si>
  <si>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</si>
  <si>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</si>
  <si>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</si>
  <si>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</si>
  <si>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</si>
  <si>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</si>
  <si>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</si>
  <si>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</si>
  <si>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</si>
  <si>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</si>
  <si>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</si>
  <si>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</si>
  <si>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</si>
  <si>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</si>
  <si>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</si>
  <si>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</si>
  <si>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</si>
  <si>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</si>
  <si>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</si>
  <si>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</si>
  <si>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</si>
  <si>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</si>
  <si>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</si>
  <si>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</si>
  <si>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</si>
  <si>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</si>
  <si>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</si>
  <si>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</si>
  <si>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</si>
  <si>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</si>
  <si>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</si>
  <si>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</si>
  <si>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</si>
  <si>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</si>
  <si>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</si>
  <si>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</si>
  <si>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</si>
  <si>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</si>
  <si>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</si>
  <si>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</si>
  <si>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</si>
  <si>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</si>
  <si>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</si>
  <si>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</si>
  <si>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</si>
  <si>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</si>
  <si>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</si>
  <si>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</si>
  <si>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</si>
  <si>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</si>
  <si>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</si>
  <si>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</si>
  <si>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</si>
  <si>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</si>
  <si>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</si>
  <si>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</si>
  <si>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</si>
  <si>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</si>
  <si>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</si>
  <si>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</si>
  <si>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</si>
  <si>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</si>
  <si>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</si>
  <si>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</si>
  <si>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</si>
  <si>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</si>
  <si>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</si>
  <si>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</si>
  <si>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</si>
  <si>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</si>
  <si>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</si>
  <si>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</si>
  <si>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</si>
  <si>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</si>
  <si>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</si>
  <si>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</si>
  <si>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</si>
  <si>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</si>
  <si>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</si>
  <si>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</si>
  <si>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</si>
  <si>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</si>
  <si>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</si>
  <si>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</si>
  <si>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</si>
  <si>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</si>
  <si>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</si>
  <si>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</si>
  <si>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</si>
  <si>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</si>
  <si>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</si>
  <si>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</si>
  <si>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</si>
  <si>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</si>
  <si>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</si>
  <si>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</si>
  <si>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</si>
  <si>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</si>
  <si>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</si>
  <si>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</si>
  <si>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</si>
  <si>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</si>
  <si>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</si>
  <si>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</si>
  <si>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</si>
  <si>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</si>
  <si>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</si>
  <si>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</si>
  <si>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</si>
  <si>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</si>
  <si>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</si>
  <si>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</si>
  <si>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</si>
  <si>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</si>
  <si>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</si>
  <si>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</si>
  <si>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</si>
  <si>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</si>
  <si>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</si>
  <si>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</si>
  <si>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</si>
  <si>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</si>
  <si>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</si>
  <si>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</si>
  <si>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</si>
  <si>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</si>
  <si>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</si>
  <si>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</si>
  <si>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</si>
  <si>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</si>
  <si>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</si>
  <si>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</si>
  <si>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</si>
  <si>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</si>
  <si>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</si>
  <si>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</si>
  <si>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</si>
  <si>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</si>
  <si>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</si>
  <si>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</si>
  <si>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</si>
  <si>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</si>
  <si>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</si>
  <si>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</si>
  <si>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</si>
  <si>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</si>
  <si>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</si>
  <si>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</si>
  <si>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</si>
  <si>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</si>
  <si>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</si>
  <si>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</si>
  <si>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</si>
  <si>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</si>
  <si>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</si>
  <si>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</si>
  <si>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</si>
  <si>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</si>
  <si>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</si>
  <si>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</si>
  <si>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</si>
  <si>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</si>
  <si>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</si>
  <si>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</si>
  <si>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</si>
  <si>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</si>
  <si>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</si>
  <si>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</si>
  <si>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</si>
  <si>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</si>
  <si>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</si>
  <si>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</si>
  <si>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</si>
  <si>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</si>
  <si>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</si>
  <si>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</si>
  <si>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</si>
  <si>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</si>
  <si>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</si>
  <si>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</si>
  <si>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</si>
  <si>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</si>
  <si>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</si>
  <si>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</si>
  <si>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</si>
  <si>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</si>
  <si>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</si>
  <si>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</si>
  <si>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</si>
  <si>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</si>
  <si>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</si>
  <si>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</si>
  <si>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</si>
  <si>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</si>
  <si>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</si>
  <si>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</si>
  <si>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</si>
  <si>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</si>
  <si>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</si>
  <si>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</si>
  <si>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</si>
  <si>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</si>
  <si>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</si>
  <si>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</si>
  <si>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</si>
  <si>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</si>
  <si>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</si>
  <si>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</si>
  <si>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</si>
  <si>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</si>
  <si>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</si>
  <si>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</si>
  <si>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</si>
  <si>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</si>
  <si>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</si>
  <si>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</si>
  <si>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</si>
  <si>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</si>
  <si>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</si>
  <si>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</si>
  <si>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</si>
  <si>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</si>
  <si>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</si>
  <si>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</si>
  <si>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</si>
  <si>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</si>
  <si>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</si>
  <si>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</si>
  <si>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</si>
  <si>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</si>
  <si>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</si>
  <si>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</si>
  <si>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</si>
  <si>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</si>
  <si>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</si>
  <si>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</si>
  <si>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</si>
  <si>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</si>
  <si>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</si>
  <si>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</si>
  <si>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</si>
  <si>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</si>
  <si>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</si>
  <si>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</si>
  <si>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</si>
  <si>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</si>
  <si>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</si>
  <si>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</si>
  <si>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</si>
  <si>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</si>
  <si>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</si>
  <si>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</si>
  <si>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</si>
  <si>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</si>
  <si>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</si>
  <si>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</si>
  <si>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</si>
  <si>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</si>
  <si>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</si>
  <si>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</si>
  <si>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</si>
  <si>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</si>
  <si>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</si>
  <si>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</si>
  <si>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</si>
  <si>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</si>
  <si>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</si>
  <si>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</si>
  <si>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</si>
  <si>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</si>
  <si>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</si>
  <si>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</si>
  <si>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</si>
  <si>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</si>
  <si>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</si>
  <si>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</si>
  <si>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</si>
  <si>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</si>
  <si>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</si>
  <si>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</si>
  <si>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</si>
  <si>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</si>
  <si>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</si>
  <si>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</si>
  <si>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</si>
  <si>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</si>
  <si>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</si>
  <si>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</si>
  <si>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</si>
  <si>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</si>
  <si>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</si>
  <si>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</si>
  <si>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</si>
  <si>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</si>
  <si>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</si>
  <si>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</si>
  <si>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</si>
  <si>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</si>
  <si>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</si>
  <si>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</si>
  <si>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</si>
  <si>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</si>
  <si>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</si>
  <si>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</si>
  <si>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</si>
  <si>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</si>
  <si>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</si>
  <si>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</si>
  <si>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</si>
  <si>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</si>
  <si>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</si>
  <si>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</si>
  <si>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</si>
  <si>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</si>
  <si>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</si>
  <si>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</si>
  <si>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</si>
  <si>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</si>
  <si>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</si>
  <si>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</si>
  <si>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</si>
  <si>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</si>
  <si>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</si>
  <si>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</si>
  <si>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</si>
  <si>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</si>
  <si>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</si>
  <si>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</si>
  <si>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</si>
  <si>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</si>
  <si>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</si>
  <si>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</si>
  <si>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</si>
  <si>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</si>
  <si>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</si>
  <si>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</si>
  <si>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</si>
  <si>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</si>
  <si>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</si>
  <si>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</si>
  <si>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</si>
  <si>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</si>
  <si>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</si>
  <si>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</si>
  <si>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</si>
  <si>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</si>
  <si>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</si>
  <si>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</si>
  <si>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</si>
  <si>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</si>
  <si>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</si>
  <si>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</si>
  <si>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</si>
  <si>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</si>
  <si>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</si>
  <si>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</si>
  <si>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</si>
  <si>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</si>
  <si>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</si>
  <si>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</si>
  <si>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</si>
  <si>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</si>
  <si>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</si>
  <si>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</si>
  <si>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</si>
  <si>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</si>
  <si>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</si>
  <si>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</si>
  <si>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</si>
  <si>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</si>
  <si>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</si>
  <si>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</si>
  <si>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</si>
  <si>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</si>
  <si>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</si>
  <si>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</si>
  <si>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</si>
  <si>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</si>
  <si>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</si>
  <si>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</si>
  <si>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</si>
  <si>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</si>
  <si>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</si>
  <si>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</si>
  <si>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</si>
  <si>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</si>
  <si>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</si>
  <si>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</si>
  <si>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</si>
  <si>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</si>
  <si>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</si>
  <si>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</si>
  <si>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</si>
  <si>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</si>
  <si>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</si>
  <si>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</si>
  <si>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</si>
  <si>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</si>
  <si>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</si>
  <si>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</si>
  <si>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</si>
  <si>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</si>
  <si>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</si>
  <si>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</si>
  <si>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</si>
  <si>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</si>
  <si>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</si>
  <si>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</si>
  <si>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</si>
  <si>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</si>
  <si>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</si>
  <si>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</si>
  <si>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</si>
  <si>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</si>
  <si>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</si>
  <si>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</si>
  <si>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</si>
  <si>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</si>
  <si>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</si>
  <si>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</si>
  <si>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</si>
  <si>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</si>
  <si>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</si>
  <si>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</si>
  <si>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</si>
  <si>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</si>
  <si>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</si>
  <si>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</si>
  <si>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</si>
  <si>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</si>
  <si>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</si>
  <si>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</si>
  <si>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</si>
  <si>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</si>
  <si>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</si>
  <si>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</si>
  <si>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</si>
  <si>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</si>
  <si>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</si>
  <si>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</si>
  <si>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</si>
  <si>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</si>
  <si>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</si>
  <si>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</si>
  <si>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</si>
  <si>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</si>
  <si>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</si>
  <si>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</si>
  <si>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</si>
  <si>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</si>
  <si>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</si>
  <si>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</si>
  <si>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</si>
  <si>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</si>
  <si>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</si>
  <si>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</si>
  <si>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</si>
  <si>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</si>
  <si>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</si>
  <si>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</si>
  <si>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</si>
  <si>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</si>
  <si>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</si>
  <si>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</si>
  <si>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</si>
  <si>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</si>
  <si>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</si>
  <si>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</si>
  <si>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</si>
  <si>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</si>
  <si>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</si>
  <si>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</si>
  <si>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</si>
  <si>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</si>
  <si>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</si>
  <si>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</si>
  <si>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</si>
  <si>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</si>
  <si>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</si>
  <si>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</si>
  <si>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</si>
  <si>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</si>
  <si>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</si>
  <si>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</si>
  <si>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</si>
  <si>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</si>
  <si>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</si>
  <si>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</si>
  <si>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</si>
  <si>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</si>
  <si>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</si>
  <si>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</si>
  <si>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</si>
  <si>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</si>
  <si>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</si>
  <si>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</si>
  <si>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</si>
  <si>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</si>
  <si>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</si>
  <si>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</si>
  <si>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</si>
  <si>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</si>
  <si>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</si>
  <si>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</si>
  <si>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</si>
  <si>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</si>
  <si>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</si>
  <si>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</si>
  <si>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</si>
  <si>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</si>
  <si>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</si>
  <si>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</si>
  <si>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</si>
  <si>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</si>
  <si>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</si>
  <si>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</si>
  <si>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</si>
  <si>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</si>
  <si>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</si>
  <si>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</si>
  <si>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</si>
  <si>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</si>
  <si>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</si>
  <si>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</si>
  <si>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</si>
  <si>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</si>
  <si>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</si>
  <si>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</si>
  <si>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</si>
  <si>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</si>
  <si>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</si>
  <si>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</si>
  <si>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</si>
  <si>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</si>
  <si>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</si>
  <si>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</si>
  <si>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</si>
  <si>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</si>
  <si>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</si>
  <si>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</si>
  <si>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</si>
  <si>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</si>
  <si>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</si>
  <si>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</si>
  <si>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</si>
  <si>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</si>
  <si>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</si>
  <si>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</si>
  <si>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</si>
  <si>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</si>
  <si>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</si>
  <si>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</si>
  <si>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</si>
  <si>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</si>
  <si>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</si>
  <si>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</si>
  <si>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</si>
  <si>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</si>
  <si>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</si>
  <si>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</si>
  <si>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</si>
  <si>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</si>
  <si>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</si>
  <si>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</si>
  <si>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</si>
  <si>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</si>
  <si>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</si>
  <si>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</si>
  <si>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</si>
  <si>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</si>
  <si>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</si>
  <si>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</si>
  <si>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</si>
  <si>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</si>
  <si>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</si>
  <si>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</si>
  <si>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</si>
  <si>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</si>
  <si>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</si>
  <si>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</si>
  <si>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</si>
  <si>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</si>
  <si>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</si>
  <si>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</si>
  <si>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</si>
  <si>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</si>
  <si>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</si>
  <si>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</si>
  <si>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</si>
  <si>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</si>
  <si>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</si>
  <si>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</si>
  <si>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</si>
  <si>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</si>
  <si>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</si>
  <si>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</si>
  <si>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</si>
  <si>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</si>
  <si>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</si>
  <si>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</si>
  <si>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</si>
  <si>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</si>
  <si>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</si>
  <si>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</si>
  <si>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</si>
  <si>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</si>
  <si>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</si>
  <si>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</si>
  <si>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</si>
  <si>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</si>
  <si>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</si>
  <si>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</si>
  <si>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</si>
  <si>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</si>
  <si>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</si>
  <si>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</si>
  <si>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</si>
  <si>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</si>
  <si>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</si>
  <si>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</si>
  <si>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</si>
  <si>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</si>
  <si>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</si>
  <si>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</si>
  <si>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</si>
  <si>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</si>
  <si>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</si>
  <si>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</si>
  <si>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</si>
  <si>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</si>
  <si>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</si>
  <si>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</si>
  <si>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</si>
  <si>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</si>
  <si>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</si>
  <si>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</si>
  <si>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</si>
  <si>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</si>
  <si>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</si>
  <si>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</si>
  <si>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</si>
  <si>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</si>
  <si>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</si>
  <si>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</si>
  <si>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</si>
  <si>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</si>
  <si>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</si>
  <si>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</si>
  <si>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</si>
  <si>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</si>
  <si>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</si>
  <si>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</si>
  <si>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</si>
  <si>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</si>
  <si>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</si>
  <si>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</si>
  <si>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</si>
  <si>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</si>
  <si>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</si>
  <si>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</si>
  <si>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</si>
  <si>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</si>
  <si>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</si>
  <si>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</si>
  <si>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</si>
  <si>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</si>
  <si>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</si>
  <si>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</si>
  <si>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</si>
  <si>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</si>
  <si>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</si>
  <si>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</si>
  <si>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</si>
  <si>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</si>
  <si>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</si>
  <si>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</si>
  <si>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</si>
  <si>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</si>
  <si>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</si>
  <si>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</si>
  <si>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</si>
  <si>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</si>
  <si>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</si>
  <si>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</si>
  <si>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</si>
  <si>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</si>
  <si>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</si>
  <si>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</si>
  <si>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</si>
  <si>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</si>
  <si>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</si>
  <si>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</si>
  <si>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</si>
  <si>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</si>
  <si>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</si>
  <si>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</si>
  <si>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</si>
  <si>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</si>
  <si>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</si>
  <si>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</si>
  <si>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</si>
  <si>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</si>
  <si>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</si>
  <si>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</si>
  <si>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</si>
  <si>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</si>
  <si>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</si>
  <si>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</si>
  <si>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</si>
  <si>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</si>
  <si>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</si>
  <si>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</si>
  <si>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</si>
  <si>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</si>
  <si>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</si>
  <si>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</si>
  <si>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</si>
  <si>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</si>
  <si>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</si>
  <si>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</si>
  <si>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</si>
  <si>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</si>
  <si>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</si>
  <si>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</si>
  <si>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</si>
  <si>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</si>
  <si>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</si>
  <si>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</si>
  <si>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</si>
  <si>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</si>
  <si>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</si>
  <si>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</si>
  <si>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</si>
  <si>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</si>
  <si>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</si>
  <si>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</si>
  <si>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</si>
  <si>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</si>
  <si>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</si>
  <si>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</si>
  <si>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</si>
  <si>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</si>
  <si>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</si>
  <si>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</si>
  <si>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</si>
  <si>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</si>
  <si>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</si>
  <si>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</si>
  <si>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</si>
  <si>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</si>
  <si>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</si>
  <si>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</si>
  <si>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</si>
  <si>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</si>
  <si>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</si>
  <si>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</si>
  <si>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</si>
  <si>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</si>
  <si>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</si>
  <si>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</si>
  <si>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</si>
  <si>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</si>
  <si>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</si>
  <si>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</si>
  <si>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</si>
  <si>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</si>
  <si>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</si>
  <si>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</si>
  <si>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</si>
  <si>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</si>
  <si>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</si>
  <si>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</si>
  <si>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</si>
  <si>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</si>
  <si>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</si>
  <si>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</si>
  <si>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</si>
  <si>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</si>
  <si>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</si>
  <si>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</si>
  <si>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</si>
  <si>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</si>
  <si>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</si>
  <si>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</si>
  <si>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</si>
  <si>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</si>
  <si>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</si>
  <si>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</si>
  <si>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</si>
  <si>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</si>
  <si>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</si>
  <si>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</si>
  <si>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</si>
  <si>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</si>
  <si>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</si>
  <si>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</si>
  <si>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</si>
  <si>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</si>
  <si>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</si>
  <si>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</si>
  <si>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</si>
  <si>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</si>
  <si>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</si>
  <si>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</si>
  <si>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</si>
  <si>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</si>
  <si>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</si>
  <si>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</si>
  <si>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</si>
  <si>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</si>
  <si>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</si>
  <si>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</si>
  <si>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</si>
  <si>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</si>
  <si>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</si>
  <si>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</si>
  <si>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</si>
  <si>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</si>
  <si>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</si>
  <si>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</si>
  <si>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</si>
  <si>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</si>
  <si>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</si>
  <si>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</si>
  <si>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</si>
  <si>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</si>
  <si>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</si>
  <si>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</si>
  <si>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</si>
  <si>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</si>
  <si>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</si>
  <si>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</si>
  <si>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</si>
  <si>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</si>
  <si>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</si>
  <si>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</si>
  <si>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</si>
  <si>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</si>
  <si>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</si>
  <si>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</si>
  <si>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</si>
  <si>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</si>
  <si>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</si>
  <si>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</si>
  <si>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</si>
  <si>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</si>
  <si>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</si>
  <si>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</si>
  <si>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</si>
  <si>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</si>
  <si>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</si>
  <si>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</si>
  <si>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</si>
  <si>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</si>
  <si>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</si>
  <si>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</si>
  <si>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</si>
  <si>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</si>
  <si>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</si>
  <si>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</si>
  <si>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</si>
  <si>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</si>
  <si>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</si>
  <si>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</si>
  <si>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</si>
  <si>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</si>
  <si>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</si>
  <si>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</si>
  <si>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</si>
  <si>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</si>
  <si>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</si>
  <si>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</si>
  <si>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</si>
  <si>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</si>
  <si>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</si>
  <si>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</si>
  <si>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</si>
  <si>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</si>
  <si>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</si>
  <si>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</si>
  <si>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</si>
  <si>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</si>
  <si>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</si>
  <si>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</si>
  <si>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</si>
  <si>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</si>
  <si>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</si>
  <si>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</si>
  <si>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</si>
  <si>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</si>
  <si>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</si>
  <si>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</si>
  <si>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</si>
  <si>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</si>
  <si>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</si>
  <si>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</si>
  <si>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</si>
  <si>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</si>
  <si>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</si>
  <si>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</si>
  <si>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</si>
  <si>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</si>
  <si>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</si>
  <si>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</si>
  <si>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</si>
  <si>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</si>
  <si>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</si>
  <si>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</si>
  <si>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</si>
  <si>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</si>
  <si>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</si>
  <si>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</si>
  <si>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</si>
  <si>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</si>
  <si>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</si>
  <si>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</si>
  <si>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</si>
  <si>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</si>
  <si>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</si>
  <si>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</si>
  <si>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</si>
  <si>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</si>
  <si>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</si>
  <si>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</si>
  <si>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</si>
  <si>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</si>
  <si>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</si>
  <si>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</si>
  <si>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</si>
  <si>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</si>
  <si>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</si>
  <si>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</si>
  <si>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</si>
  <si>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</si>
  <si>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</si>
  <si>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</si>
  <si>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</si>
  <si>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</si>
  <si>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</si>
  <si>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</si>
  <si>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</si>
  <si>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</si>
  <si>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</si>
  <si>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</si>
  <si>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</si>
  <si>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</si>
  <si>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</si>
  <si>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</si>
  <si>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</si>
  <si>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</si>
  <si>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</si>
  <si>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</si>
  <si>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</si>
  <si>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</si>
  <si>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</si>
  <si>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</si>
  <si>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</si>
  <si>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</si>
  <si>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</si>
  <si>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</si>
  <si>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</si>
  <si>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</si>
  <si>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</si>
  <si>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</si>
  <si>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</si>
  <si>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</si>
  <si>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</si>
  <si>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</si>
  <si>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</si>
  <si>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</si>
  <si>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</si>
  <si>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</si>
  <si>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</si>
  <si>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</si>
  <si>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</si>
  <si>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</si>
  <si>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</si>
  <si>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</si>
  <si>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</si>
  <si>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</si>
  <si>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</si>
  <si>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</si>
  <si>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</si>
  <si>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</si>
  <si>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</si>
  <si>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</si>
  <si>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</si>
  <si>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</si>
  <si>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</si>
  <si>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</si>
  <si>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</si>
  <si>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</si>
  <si>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</si>
  <si>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</si>
  <si>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</si>
  <si>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</si>
  <si>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</si>
  <si>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</si>
  <si>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</si>
  <si>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</si>
  <si>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</si>
  <si>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</si>
  <si>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</si>
  <si>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</si>
  <si>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</si>
  <si>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</si>
  <si>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</si>
  <si>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</si>
  <si>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</si>
  <si>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</si>
  <si>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</si>
  <si>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</si>
  <si>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</si>
  <si>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</si>
  <si>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</si>
  <si>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</si>
  <si>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</si>
  <si>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</si>
  <si>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</si>
  <si>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</si>
  <si>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</si>
  <si>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</si>
  <si>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</si>
  <si>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</si>
  <si>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</si>
  <si>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</si>
  <si>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</si>
  <si>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</si>
  <si>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</si>
  <si>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</si>
  <si>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</si>
  <si>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</si>
  <si>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</si>
  <si>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</si>
  <si>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</si>
  <si>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</si>
  <si>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</si>
  <si>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</si>
  <si>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</si>
  <si>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</si>
  <si>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</si>
  <si>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</si>
  <si>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</si>
  <si>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</si>
  <si>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</si>
  <si>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</si>
  <si>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</si>
  <si>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</si>
  <si>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</si>
  <si>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</si>
  <si>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</si>
  <si>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</si>
  <si>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</si>
  <si>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</si>
  <si>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</si>
  <si>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</si>
  <si>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</si>
  <si>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</si>
  <si>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</si>
  <si>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</si>
  <si>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</si>
  <si>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</si>
  <si>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</si>
  <si>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</si>
  <si>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</si>
  <si>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</si>
  <si>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</si>
  <si>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</si>
  <si>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</si>
  <si>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</si>
  <si>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</si>
  <si>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</si>
  <si>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</si>
  <si>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</si>
  <si>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</si>
  <si>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</si>
  <si>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</si>
  <si>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</si>
  <si>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</si>
  <si>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</si>
  <si>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</si>
  <si>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</si>
  <si>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</si>
  <si>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</si>
  <si>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</si>
  <si>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</si>
  <si>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</si>
  <si>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</si>
  <si>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</si>
  <si>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</si>
  <si>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</si>
  <si>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</si>
  <si>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</si>
  <si>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</si>
  <si>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</si>
  <si>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</si>
  <si>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</si>
  <si>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</si>
  <si>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</si>
  <si>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</si>
  <si>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</si>
  <si>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</si>
  <si>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</si>
  <si>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</si>
  <si>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</si>
  <si>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</si>
  <si>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</si>
  <si>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</si>
  <si>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</si>
  <si>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</si>
  <si>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</si>
  <si>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</si>
  <si>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</si>
  <si>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</si>
  <si>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</si>
  <si>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</si>
  <si>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</si>
  <si>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</si>
  <si>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</si>
  <si>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</si>
  <si>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</si>
  <si>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</si>
  <si>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</si>
  <si>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</si>
  <si>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</si>
  <si>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</si>
  <si>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</si>
  <si>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</si>
  <si>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</si>
  <si>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</si>
  <si>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</si>
  <si>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</si>
  <si>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</si>
  <si>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</si>
  <si>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</si>
  <si>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</si>
  <si>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</si>
  <si>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</si>
  <si>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</si>
  <si>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</si>
  <si>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</si>
  <si>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</si>
  <si>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</si>
  <si>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</si>
  <si>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</si>
  <si>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</si>
  <si>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</si>
  <si>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</si>
  <si>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</si>
  <si>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</si>
  <si>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</si>
  <si>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</si>
  <si>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</si>
  <si>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</si>
  <si>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</si>
  <si>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</si>
  <si>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</si>
  <si>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</si>
  <si>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</si>
  <si>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</si>
  <si>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</si>
  <si>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</si>
  <si>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</si>
  <si>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</si>
  <si>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</si>
  <si>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</si>
  <si>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</si>
  <si>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</si>
  <si>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</si>
  <si>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</si>
  <si>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</si>
  <si>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</si>
  <si>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</si>
  <si>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</si>
  <si>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</si>
  <si>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</si>
  <si>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</si>
  <si>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</si>
  <si>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</si>
  <si>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</si>
  <si>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</si>
  <si>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</si>
  <si>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</si>
  <si>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</si>
  <si>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</si>
  <si>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</si>
  <si>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</si>
  <si>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</si>
  <si>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</si>
  <si>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</si>
  <si>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</si>
  <si>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</si>
  <si>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</si>
  <si>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</si>
  <si>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</si>
  <si>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</si>
  <si>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</si>
  <si>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</si>
  <si>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</si>
  <si>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</si>
  <si>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</si>
  <si>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</si>
  <si>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</si>
  <si>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</si>
  <si>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</si>
  <si>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</si>
  <si>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</si>
  <si>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</si>
  <si>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</si>
  <si>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</si>
  <si>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</si>
  <si>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</si>
  <si>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</si>
  <si>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</si>
  <si>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</si>
  <si>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</si>
  <si>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</si>
  <si>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</si>
  <si>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</si>
  <si>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</si>
  <si>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</si>
  <si>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</si>
  <si>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</si>
  <si>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</si>
  <si>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</si>
  <si>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</si>
  <si>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</si>
  <si>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</si>
  <si>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</si>
  <si>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</si>
  <si>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</si>
  <si>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</si>
  <si>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</si>
  <si>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</si>
  <si>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</si>
  <si>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</si>
  <si>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</si>
  <si>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</si>
  <si>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</si>
  <si>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</si>
  <si>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</si>
  <si>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</si>
  <si>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</si>
  <si>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</si>
  <si>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</si>
  <si>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</si>
  <si>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</si>
  <si>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</si>
  <si>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</si>
  <si>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</si>
  <si>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</si>
  <si>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</si>
  <si>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</si>
  <si>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</si>
  <si>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</si>
  <si>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</si>
  <si>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</si>
  <si>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</si>
  <si>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</si>
  <si>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</si>
  <si>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</si>
  <si>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</si>
  <si>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</si>
  <si>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</si>
  <si>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</si>
  <si>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</si>
  <si>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</si>
  <si>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</si>
  <si>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</si>
  <si>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</si>
  <si>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</si>
  <si>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</si>
  <si>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</si>
  <si>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</si>
  <si>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</si>
  <si>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</si>
  <si>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</si>
  <si>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</si>
  <si>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</si>
  <si>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</si>
  <si>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</si>
  <si>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</si>
  <si>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</si>
  <si>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</si>
  <si>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</si>
  <si>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</si>
  <si>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</si>
  <si>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</si>
  <si>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</si>
  <si>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</si>
  <si>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</si>
  <si>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</si>
  <si>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</si>
  <si>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</si>
  <si>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</si>
  <si>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</si>
  <si>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</si>
  <si>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</si>
  <si>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</si>
  <si>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</si>
  <si>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</si>
  <si>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</si>
  <si>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</si>
  <si>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</si>
  <si>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</si>
  <si>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</si>
  <si>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</si>
  <si>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</si>
  <si>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</si>
  <si>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</si>
  <si>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</si>
  <si>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</si>
  <si>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</si>
  <si>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</si>
  <si>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</si>
  <si>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</si>
  <si>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</si>
  <si>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</si>
  <si>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</si>
  <si>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</si>
  <si>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</si>
  <si>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</si>
  <si>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</si>
  <si>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</si>
  <si>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</si>
  <si>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</si>
  <si>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</si>
  <si>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</si>
  <si>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</si>
  <si>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</si>
  <si>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</si>
  <si>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</si>
  <si>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</si>
  <si>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</si>
  <si>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</si>
  <si>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</si>
  <si>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</si>
  <si>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</si>
  <si>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</si>
  <si>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</si>
  <si>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</si>
  <si>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</si>
  <si>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</si>
  <si>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</si>
  <si>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</si>
  <si>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</si>
  <si>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</si>
  <si>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</si>
  <si>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</si>
  <si>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</si>
  <si>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</si>
  <si>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</si>
  <si>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</si>
  <si>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</si>
  <si>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</si>
  <si>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</si>
  <si>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</si>
  <si>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</si>
  <si>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</si>
  <si>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</si>
  <si>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</si>
  <si>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</si>
  <si>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</si>
  <si>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</si>
  <si>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</si>
  <si>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</si>
  <si>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</si>
  <si>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</si>
  <si>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</si>
  <si>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</si>
  <si>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</si>
  <si>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</si>
  <si>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</si>
  <si>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</si>
  <si>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</si>
  <si>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</si>
  <si>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</si>
  <si>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</si>
  <si>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</si>
  <si>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</si>
  <si>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</si>
  <si>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</si>
  <si>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</si>
  <si>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</si>
  <si>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</si>
  <si>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</si>
  <si>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</si>
  <si>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</si>
  <si>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</si>
  <si>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</si>
  <si>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</si>
  <si>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</si>
  <si>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</si>
  <si>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</si>
  <si>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</si>
  <si>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</si>
  <si>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</si>
  <si>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</si>
  <si>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</si>
  <si>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</si>
  <si>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</si>
  <si>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</si>
  <si>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</si>
  <si>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</si>
  <si>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</si>
  <si>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</si>
  <si>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</si>
  <si>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</si>
  <si>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</si>
  <si>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</si>
  <si>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</si>
  <si>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</si>
  <si>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</si>
  <si>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</si>
  <si>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</si>
  <si>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</si>
  <si>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</si>
  <si>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</si>
  <si>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</si>
  <si>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</si>
  <si>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</si>
  <si>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</si>
  <si>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</si>
  <si>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</si>
  <si>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</si>
  <si>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</si>
  <si>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</si>
  <si>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</si>
  <si>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</si>
  <si>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</si>
  <si>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</si>
  <si>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</si>
  <si>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</si>
  <si>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</si>
  <si>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</si>
  <si>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</si>
  <si>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</si>
  <si>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</si>
  <si>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</si>
  <si>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</si>
  <si>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</si>
  <si>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</si>
  <si>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</si>
  <si>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</si>
  <si>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</si>
  <si>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</si>
  <si>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</si>
  <si>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</si>
  <si>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</si>
  <si>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</si>
  <si>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</si>
  <si>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</si>
  <si>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</si>
  <si>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</si>
  <si>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</si>
  <si>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</si>
  <si>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</si>
  <si>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</si>
  <si>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</si>
  <si>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</si>
  <si>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</si>
  <si>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</si>
  <si>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</si>
  <si>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</si>
  <si>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</si>
  <si>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</si>
  <si>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</si>
  <si>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</si>
  <si>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</si>
  <si>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</si>
  <si>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</si>
  <si>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</si>
  <si>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</si>
  <si>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</si>
  <si>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</si>
  <si>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</si>
  <si>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</si>
  <si>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</si>
  <si>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</si>
  <si>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</si>
  <si>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</si>
  <si>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</si>
  <si>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</si>
  <si>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</si>
  <si>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</si>
  <si>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</si>
  <si>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</si>
  <si>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</si>
  <si>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</si>
  <si>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</si>
  <si>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</si>
  <si>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</si>
  <si>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</si>
  <si>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</si>
  <si>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</si>
  <si>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</si>
  <si>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</si>
  <si>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</si>
  <si>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</si>
  <si>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</si>
  <si>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</si>
  <si>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</si>
  <si>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</si>
  <si>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</si>
  <si>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</si>
  <si>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</si>
  <si>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</si>
  <si>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</si>
  <si>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</si>
  <si>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</si>
  <si>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</si>
  <si>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</si>
  <si>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</si>
  <si>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</si>
  <si>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</si>
  <si>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</si>
  <si>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</si>
  <si>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</si>
  <si>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</si>
  <si>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</si>
  <si>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</si>
  <si>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</si>
  <si>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</si>
  <si>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</si>
  <si>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</si>
  <si>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</si>
  <si>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</si>
  <si>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</si>
  <si>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</si>
  <si>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</si>
  <si>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</si>
  <si>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</si>
  <si>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</si>
  <si>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</si>
  <si>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</si>
  <si>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</si>
  <si>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</si>
  <si>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</si>
  <si>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</si>
  <si>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</si>
  <si>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</si>
  <si>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</si>
  <si>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</si>
  <si>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</si>
  <si>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</si>
  <si>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</si>
  <si>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</si>
  <si>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</si>
  <si>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</si>
  <si>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</si>
  <si>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</si>
  <si>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</si>
  <si>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</si>
  <si>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</si>
  <si>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</si>
  <si>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</si>
  <si>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</si>
  <si>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</si>
  <si>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</si>
  <si>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</si>
  <si>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</si>
  <si>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</si>
  <si>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</si>
  <si>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</si>
  <si>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</si>
  <si>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</si>
  <si>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</si>
  <si>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</si>
  <si>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</si>
  <si>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</si>
  <si>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</si>
  <si>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</si>
  <si>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</si>
  <si>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</si>
  <si>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</si>
  <si>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</si>
  <si>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</si>
  <si>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</si>
  <si>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</si>
  <si>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</si>
  <si>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</si>
  <si>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</si>
  <si>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</si>
  <si>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</si>
  <si>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</si>
  <si>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</si>
  <si>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</si>
  <si>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</si>
  <si>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</si>
  <si>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</si>
  <si>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</si>
  <si>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</si>
  <si>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</si>
  <si>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</si>
  <si>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</si>
  <si>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</si>
  <si>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</si>
  <si>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</si>
  <si>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</si>
  <si>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</si>
  <si>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</si>
  <si>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</si>
  <si>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</si>
  <si>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</si>
  <si>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</si>
  <si>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</si>
  <si>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</si>
  <si>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</si>
  <si>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</si>
  <si>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</si>
  <si>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</si>
  <si>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</si>
  <si>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</si>
  <si>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</si>
  <si>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</si>
  <si>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</si>
  <si>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</si>
  <si>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</si>
  <si>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</si>
  <si>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</si>
  <si>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</si>
  <si>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</si>
  <si>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</si>
  <si>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</si>
  <si>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</si>
  <si>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</si>
  <si>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</si>
  <si>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</si>
  <si>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</si>
  <si>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</si>
  <si>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</si>
  <si>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</si>
  <si>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</si>
  <si>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</si>
  <si>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</si>
  <si>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</si>
  <si>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</si>
  <si>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</si>
  <si>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</si>
  <si>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</si>
  <si>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</si>
  <si>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</si>
  <si>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</si>
  <si>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</si>
  <si>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</si>
  <si>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</si>
  <si>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</si>
  <si>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</si>
  <si>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</si>
  <si>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</si>
  <si>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</si>
  <si>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</si>
  <si>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</si>
  <si>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</si>
  <si>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</si>
  <si>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</si>
  <si>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</si>
  <si>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</si>
  <si>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</si>
  <si>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</si>
  <si>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</si>
  <si>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</si>
  <si>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</si>
  <si>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</si>
  <si>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</si>
  <si>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</si>
  <si>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</si>
  <si>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</si>
  <si>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</si>
  <si>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</si>
  <si>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</si>
  <si>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</si>
  <si>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</si>
  <si>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</si>
  <si>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</si>
  <si>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</si>
  <si>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</si>
  <si>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</si>
  <si>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</si>
  <si>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</si>
  <si>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</si>
  <si>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</si>
  <si>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</si>
  <si>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</si>
  <si>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</si>
  <si>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</si>
  <si>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</si>
  <si>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</si>
  <si>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</si>
  <si>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</si>
  <si>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</si>
  <si>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</si>
  <si>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</si>
  <si>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</si>
  <si>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</si>
  <si>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</si>
  <si>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</si>
  <si>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</si>
  <si>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</si>
  <si>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</si>
  <si>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</si>
  <si>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</si>
  <si>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</si>
  <si>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</si>
  <si>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</si>
  <si>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</si>
  <si>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</si>
  <si>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</si>
  <si>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</si>
  <si>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</si>
  <si>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</si>
  <si>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</si>
  <si>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</si>
  <si>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</si>
  <si>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</si>
  <si>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</si>
  <si>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</si>
  <si>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</si>
  <si>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</si>
  <si>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</si>
  <si>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</si>
  <si>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</si>
  <si>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</si>
  <si>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</si>
  <si>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</si>
  <si>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</si>
  <si>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</si>
  <si>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</si>
  <si>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</si>
  <si>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</si>
  <si>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</si>
  <si>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</si>
  <si>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</si>
  <si>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</si>
  <si>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</si>
  <si>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</si>
  <si>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</si>
  <si>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</si>
  <si>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</si>
  <si>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</si>
  <si>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</si>
  <si>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</si>
  <si>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</si>
  <si>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</si>
  <si>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</si>
  <si>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</si>
  <si>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</si>
  <si>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</si>
  <si>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</si>
  <si>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</si>
  <si>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</si>
  <si>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</si>
  <si>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</si>
  <si>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</si>
  <si>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</si>
  <si>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</si>
  <si>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</si>
  <si>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</si>
  <si>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</si>
  <si>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</si>
  <si>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</si>
  <si>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</si>
  <si>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</si>
  <si>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</si>
  <si>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</si>
  <si>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</si>
  <si>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</si>
  <si>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</si>
  <si>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</si>
  <si>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</si>
  <si>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</si>
  <si>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</si>
  <si>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</si>
  <si>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</si>
  <si>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</si>
  <si>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</si>
  <si>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</si>
  <si>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</si>
  <si>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</si>
  <si>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</si>
  <si>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</si>
  <si>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</si>
  <si>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</si>
  <si>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</si>
  <si>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</si>
  <si>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</si>
  <si>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</si>
  <si>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</si>
  <si>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</si>
  <si>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</si>
  <si>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</si>
  <si>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</si>
  <si>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</si>
  <si>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</si>
  <si>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</si>
  <si>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</si>
  <si>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</si>
  <si>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</si>
  <si>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</si>
  <si>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</si>
  <si>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</si>
  <si>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</si>
  <si>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</si>
  <si>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</si>
  <si>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</si>
  <si>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</si>
  <si>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</si>
  <si>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</si>
  <si>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</si>
  <si>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</si>
  <si>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</si>
  <si>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</si>
  <si>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</si>
  <si>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</si>
  <si>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</si>
  <si>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</si>
  <si>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</si>
  <si>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</si>
  <si>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</si>
  <si>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</si>
  <si>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</si>
  <si>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</si>
  <si>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</si>
  <si>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</si>
  <si>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</si>
  <si>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</si>
  <si>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</si>
  <si>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</si>
  <si>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</si>
  <si>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</si>
  <si>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</si>
  <si>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</si>
  <si>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</si>
  <si>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</si>
  <si>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</si>
  <si>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</si>
  <si>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</si>
  <si>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</si>
  <si>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</si>
  <si>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</si>
  <si>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</si>
  <si>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</si>
  <si>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</si>
  <si>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</si>
  <si>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</si>
  <si>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</si>
  <si>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</si>
  <si>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</si>
  <si>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</si>
  <si>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</si>
  <si>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</si>
  <si>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</si>
  <si>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</si>
  <si>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</si>
  <si>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</si>
  <si>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</si>
  <si>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</si>
  <si>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</si>
  <si>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</si>
  <si>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</si>
  <si>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</si>
  <si>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</si>
  <si>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</si>
  <si>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</si>
  <si>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</si>
  <si>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</si>
  <si>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</si>
  <si>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</si>
  <si>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</si>
  <si>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</si>
  <si>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</si>
  <si>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</si>
  <si>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</si>
  <si>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</si>
  <si>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</si>
  <si>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</si>
  <si>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</si>
  <si>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</si>
  <si>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</si>
  <si>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</si>
  <si>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</si>
  <si>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</si>
  <si>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</si>
  <si>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</si>
  <si>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</si>
  <si>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</si>
  <si>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</si>
  <si>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</si>
  <si>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</si>
  <si>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</si>
  <si>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</si>
  <si>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</si>
  <si>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</si>
  <si>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</si>
  <si>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</si>
  <si>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</si>
  <si>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</si>
  <si>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</si>
  <si>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</si>
  <si>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</si>
  <si>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</si>
  <si>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</si>
  <si>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</si>
  <si>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</si>
  <si>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</si>
  <si>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</si>
  <si>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</si>
  <si>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</si>
  <si>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</si>
  <si>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</si>
  <si>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</si>
  <si>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</si>
  <si>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</si>
  <si>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</si>
  <si>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</si>
  <si>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</si>
  <si>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</si>
  <si>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</si>
  <si>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</si>
  <si>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</si>
  <si>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</si>
  <si>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</si>
  <si>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</si>
  <si>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</si>
  <si>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</si>
  <si>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</si>
  <si>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</si>
  <si>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</si>
  <si>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</si>
  <si>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</si>
  <si>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</si>
  <si>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</si>
  <si>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</si>
  <si>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</si>
  <si>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</si>
  <si>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</si>
  <si>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</si>
  <si>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</si>
  <si>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</si>
  <si>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</si>
  <si>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</si>
  <si>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</si>
  <si>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</si>
  <si>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</si>
  <si>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</si>
  <si>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</si>
  <si>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</si>
  <si>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</si>
  <si>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</si>
  <si>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</si>
  <si>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</si>
  <si>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</si>
  <si>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</si>
  <si>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</si>
  <si>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</si>
  <si>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</si>
  <si>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</si>
  <si>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</si>
  <si>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</si>
  <si>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</si>
  <si>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</si>
  <si>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</si>
  <si>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</si>
  <si>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</si>
  <si>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</si>
  <si>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</si>
  <si>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</si>
  <si>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</si>
  <si>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</si>
  <si>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</si>
  <si>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</si>
  <si>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</si>
  <si>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</si>
  <si>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</si>
  <si>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</si>
  <si>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</si>
  <si>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</si>
  <si>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</si>
  <si>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</si>
  <si>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</si>
  <si>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</si>
  <si>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</si>
  <si>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</si>
  <si>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</si>
  <si>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</si>
  <si>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</si>
  <si>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</si>
  <si>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</si>
  <si>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</si>
  <si>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</si>
  <si>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</si>
  <si>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</si>
  <si>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</si>
  <si>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</si>
  <si>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</si>
  <si>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</si>
  <si>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</si>
  <si>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</si>
  <si>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</si>
  <si>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</si>
  <si>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</si>
  <si>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</si>
  <si>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</si>
  <si>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</si>
  <si>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</si>
  <si>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</si>
  <si>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</si>
  <si>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</si>
  <si>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</si>
  <si>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</si>
  <si>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</si>
  <si>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</si>
  <si>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</si>
  <si>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</si>
  <si>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</si>
  <si>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</si>
  <si>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</si>
  <si>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</si>
  <si>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</si>
  <si>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</si>
  <si>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</si>
  <si>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</si>
  <si>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</si>
  <si>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</si>
  <si>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</si>
  <si>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</si>
  <si>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</si>
  <si>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</si>
  <si>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</si>
  <si>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</si>
  <si>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</si>
  <si>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</si>
  <si>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</si>
  <si>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</si>
  <si>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</si>
  <si>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</si>
  <si>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</si>
  <si>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</si>
  <si>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</si>
  <si>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</si>
  <si>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</si>
  <si>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</si>
  <si>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</si>
  <si>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</si>
  <si>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</si>
  <si>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</si>
  <si>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</si>
  <si>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</si>
  <si>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</si>
  <si>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</si>
  <si>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</si>
  <si>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</si>
  <si>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</si>
  <si>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</si>
  <si>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</si>
  <si>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</si>
  <si>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</si>
  <si>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</si>
  <si>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</si>
  <si>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</si>
  <si>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</si>
  <si>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</si>
  <si>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</si>
  <si>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</si>
  <si>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</si>
  <si>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</si>
  <si>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</si>
  <si>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</si>
  <si>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</si>
  <si>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</si>
  <si>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</si>
  <si>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</si>
  <si>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</si>
  <si>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</si>
  <si>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</si>
  <si>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</si>
  <si>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</si>
  <si>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</si>
  <si>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</si>
  <si>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</si>
  <si>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</si>
  <si>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</si>
  <si>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</si>
  <si>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</si>
  <si>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</si>
  <si>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</si>
  <si>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</si>
  <si>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</si>
  <si>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</si>
  <si>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</si>
  <si>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</si>
  <si>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</si>
  <si>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</si>
  <si>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</si>
  <si>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</si>
  <si>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</si>
  <si>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</si>
  <si>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</si>
  <si>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</si>
  <si>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</si>
  <si>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</si>
  <si>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</si>
  <si>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</si>
  <si>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</si>
  <si>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</si>
  <si>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</si>
  <si>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</si>
  <si>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</si>
  <si>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</si>
  <si>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</si>
  <si>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</si>
  <si>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</si>
  <si>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</si>
  <si>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</si>
  <si>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</si>
  <si>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</si>
  <si>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</si>
  <si>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</si>
  <si>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</si>
  <si>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</si>
  <si>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</si>
  <si>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</si>
  <si>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</si>
  <si>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</si>
  <si>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</si>
  <si>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</si>
  <si>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</si>
  <si>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</si>
  <si>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</si>
  <si>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</si>
  <si>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</si>
  <si>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</si>
  <si>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</si>
  <si>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</si>
  <si>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</si>
  <si>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</si>
  <si>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</si>
  <si>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</si>
  <si>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</si>
  <si>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</si>
  <si>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</si>
  <si>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</si>
  <si>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</si>
  <si>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</si>
  <si>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</si>
  <si>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</si>
  <si>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</si>
  <si>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</si>
  <si>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</si>
  <si>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</si>
  <si>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</si>
  <si>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</si>
  <si>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</si>
  <si>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</si>
  <si>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</si>
  <si>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</si>
  <si>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</si>
  <si>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</si>
  <si>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</si>
  <si>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</si>
  <si>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</si>
  <si>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</si>
  <si>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</si>
  <si>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</si>
  <si>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</si>
  <si>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</si>
  <si>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</si>
  <si>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</si>
  <si>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</si>
  <si>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</si>
  <si>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</si>
  <si>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</si>
  <si>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</si>
  <si>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</si>
  <si>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</si>
  <si>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</si>
  <si>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</si>
  <si>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</si>
  <si>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</si>
  <si>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</si>
  <si>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</si>
  <si>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</si>
  <si>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</si>
  <si>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</si>
  <si>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</si>
  <si>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</si>
  <si>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</si>
  <si>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</si>
  <si>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</si>
  <si>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</si>
  <si>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</si>
  <si>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</si>
  <si>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</si>
  <si>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</si>
  <si>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</si>
  <si>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</si>
  <si>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</si>
  <si>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</si>
  <si>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</si>
  <si>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</si>
  <si>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</si>
  <si>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</si>
  <si>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</si>
  <si>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</si>
  <si>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</si>
  <si>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</si>
  <si>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</si>
  <si>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</si>
  <si>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</si>
  <si>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</si>
  <si>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</si>
  <si>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</si>
  <si>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</si>
  <si>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</si>
  <si>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</si>
  <si>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</si>
  <si>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</si>
  <si>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</si>
  <si>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</si>
  <si>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</si>
  <si>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</si>
  <si>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</si>
  <si>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</si>
  <si>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</si>
  <si>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</si>
  <si>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</si>
  <si>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</si>
  <si>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</si>
  <si>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</si>
  <si>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</si>
  <si>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</si>
  <si>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</si>
  <si>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</si>
  <si>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</si>
  <si>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</si>
  <si>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</si>
  <si>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</si>
  <si>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</si>
  <si>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</si>
  <si>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</si>
  <si>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</si>
  <si>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</si>
  <si>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</si>
  <si>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</si>
  <si>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</si>
  <si>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</si>
  <si>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</si>
  <si>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</si>
  <si>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</si>
  <si>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</si>
  <si>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</si>
  <si>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</si>
  <si>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</si>
  <si>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</si>
  <si>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</si>
  <si>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</si>
  <si>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</si>
  <si>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</si>
  <si>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</si>
  <si>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</si>
  <si>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</si>
  <si>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</si>
  <si>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</si>
  <si>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</si>
  <si>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</si>
  <si>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</si>
  <si>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</si>
  <si>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</si>
  <si>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</si>
  <si>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</si>
  <si>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</si>
  <si>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</si>
  <si>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</si>
  <si>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</si>
  <si>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</si>
  <si>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</si>
  <si>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</si>
  <si>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</si>
  <si>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</si>
  <si>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</si>
  <si>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</si>
  <si>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</si>
  <si>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</si>
  <si>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</si>
  <si>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</si>
  <si>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</si>
  <si>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</si>
  <si>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</si>
  <si>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</si>
  <si>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</si>
  <si>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</si>
  <si>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</si>
  <si>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</si>
  <si>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</si>
  <si>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</si>
  <si>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</si>
  <si>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</si>
  <si>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</si>
  <si>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</si>
  <si>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</si>
  <si>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</si>
  <si>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</si>
  <si>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</si>
  <si>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</si>
  <si>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</si>
  <si>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</si>
  <si>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</si>
  <si>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</si>
  <si>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</si>
  <si>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</si>
  <si>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</si>
  <si>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</si>
  <si>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</si>
  <si>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</si>
  <si>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</si>
  <si>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</si>
  <si>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</si>
  <si>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</si>
  <si>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</si>
  <si>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</si>
  <si>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</si>
  <si>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</si>
  <si>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</si>
  <si>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</si>
  <si>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</si>
  <si>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</si>
  <si>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</si>
  <si>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</si>
  <si>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</si>
  <si>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</si>
  <si>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</si>
  <si>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</si>
  <si>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</si>
  <si>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</si>
  <si>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</si>
  <si>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</si>
  <si>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</si>
  <si>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</si>
  <si>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</si>
  <si>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</si>
  <si>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</si>
  <si>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</si>
  <si>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</si>
  <si>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</si>
  <si>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</si>
  <si>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</si>
  <si>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</si>
  <si>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</si>
  <si>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</si>
  <si>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</si>
  <si>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</si>
  <si>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</si>
  <si>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</si>
  <si>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</si>
  <si>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</si>
  <si>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</si>
  <si>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</si>
  <si>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</si>
  <si>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</si>
  <si>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</si>
  <si>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</si>
  <si>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</si>
  <si>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</si>
  <si>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</si>
  <si>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</si>
  <si>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</si>
  <si>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</si>
  <si>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</si>
  <si>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</si>
  <si>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</si>
  <si>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</si>
  <si>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</si>
  <si>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</si>
  <si>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</si>
  <si>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</si>
  <si>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</si>
  <si>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</si>
  <si>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</si>
  <si>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</si>
  <si>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</si>
  <si>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</si>
  <si>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</si>
  <si>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</si>
  <si>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</si>
  <si>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</si>
  <si>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</si>
  <si>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</si>
  <si>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</si>
  <si>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</si>
  <si>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</si>
  <si>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</si>
  <si>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</si>
  <si>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</si>
  <si>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</si>
  <si>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</si>
  <si>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</si>
  <si>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</si>
  <si>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</si>
  <si>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</si>
  <si>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</si>
  <si>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</si>
  <si>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</si>
  <si>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</si>
  <si>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</si>
  <si>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</si>
  <si>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</si>
  <si>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</si>
  <si>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</si>
  <si>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</si>
  <si>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</si>
  <si>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</si>
  <si>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</si>
  <si>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</si>
  <si>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</si>
  <si>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</si>
  <si>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</si>
  <si>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</si>
  <si>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</si>
  <si>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</si>
  <si>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</si>
  <si>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</si>
  <si>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</si>
  <si>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</si>
  <si>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</si>
  <si>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</si>
  <si>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</si>
  <si>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</si>
  <si>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</si>
  <si>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</si>
  <si>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</si>
  <si>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</si>
  <si>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</si>
  <si>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</si>
  <si>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</si>
  <si>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</si>
  <si>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</si>
  <si>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</si>
  <si>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</si>
  <si>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</si>
  <si>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</si>
  <si>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</si>
  <si>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</si>
  <si>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</si>
  <si>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</si>
  <si>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</si>
  <si>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</si>
  <si>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</si>
  <si>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</si>
  <si>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</si>
  <si>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</si>
  <si>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</si>
  <si>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</si>
  <si>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</si>
  <si>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</si>
  <si>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</si>
  <si>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</si>
  <si>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</si>
  <si>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</si>
  <si>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</si>
  <si>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</si>
  <si>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</si>
  <si>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</si>
  <si>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</si>
  <si>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</si>
  <si>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</si>
  <si>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</si>
  <si>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</si>
  <si>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</si>
  <si>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</si>
  <si>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</si>
  <si>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</si>
  <si>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</si>
  <si>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</si>
  <si>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</si>
  <si>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</si>
  <si>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与级别开发程度不一致</t>
  </si>
  <si>
    <t>按公示增长率计算</t>
  </si>
  <si>
    <t>中心城区</t>
  </si>
  <si>
    <t>未包含在土地购买价格中</t>
  </si>
  <si>
    <t>已包含在土地取得成本中</t>
  </si>
  <si>
    <t>钢混</t>
    <phoneticPr fontId="224" type="noConversion"/>
  </si>
  <si>
    <t>企业</t>
  </si>
  <si>
    <t>工业（办公）</t>
  </si>
  <si>
    <t>工业（办公）</t>
    <phoneticPr fontId="224" type="noConversion"/>
  </si>
  <si>
    <t>比较法-办公</t>
  </si>
  <si>
    <t>办公</t>
    <phoneticPr fontId="224" type="noConversion"/>
  </si>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</sst>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5">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33</xdr:row>
      <xdr:rowOff>142150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04762" cy="5800000"/>
        </a:xfrm>
        <a:prstGeom prst="rect">
          <a:avLst/>
        </a:prstGeom>
      </xdr:spPr>
    </xdr:pic>
    <xdr:clientData/>
  </xdr:twoCellAnchor>
  <xdr:twoCellAnchor editAs="oneCell">
    <xdr:from>
      <xdr:col>5</xdr:col>
      <xdr:colOff>285750</xdr:colOff>
      <xdr:row>0</xdr:row>
      <xdr:rowOff>0</xdr:rowOff>
    </xdr:from>
    <xdr:to>
      <xdr:col>10</xdr:col>
      <xdr:colOff>551988</xdr:colOff>
      <xdr:row>35</xdr:row>
      <xdr:rowOff>37345</xdr:rowOff>
    </xdr:to>
    <xdr:pic>
      <xdr:nvPicPr>
        <xdr:cNvPr id="5" name="图片 4"/>
        <xdr:cNvPicPr>
          <a:picLocks noChangeAspect="1"/>
        </xdr:cNvPicPr>
      </xdr:nvPicPr>
      <xdr:blipFill>
        <a:blip xmlns:r="http://schemas.openxmlformats.org/officeDocument/2006/relationships" r:embed="rId2"/>
        <a:stretch>
          <a:fillRect/>
        </a:stretch>
      </xdr:blipFill>
      <xdr:spPr>
        <a:xfrm>
          <a:off x="3714750" y="0"/>
          <a:ext cx="3695238" cy="6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估价对象为北京市房地产，为所有。根据《国有土地使用证》[]，估价对象（分摊）出让国有建设用地使用权面积为0平方米，建筑面积为332.39平方米。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估价对象为北京市房地产,属开发建设的办公项目，该项目尚在开发建设中。根据《国有土地使用证》[]，估价对象（分摊）出让国有建设用地使用权面积为0平方米，规划建筑面积为332.39平方米。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2025年10月15日（评估专业人员实地查勘之日）</v>
      </c>
    </row>
    <row r="13" spans="1:2">
      <c r="A13" s="3157" t="s">
        <v>13</v>
      </c>
      <c r="B13" s="3158"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本次评估采用的主估价方法为比较法和成本法。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640</v>
      </c>
    </row>
    <row r="21" spans="1:2">
      <c r="A21" s="3157" t="s">
        <v>21</v>
      </c>
      <c r="B21" s="3158">
        <f ca="1">'预评函-2'!D7</f>
        <v>19251</v>
      </c>
    </row>
    <row r="22" spans="1:2">
      <c r="A22" s="3157" t="s">
        <v>22</v>
      </c>
      <c r="B22" s="3158" t="str">
        <f ca="1">'预评函-2'!D6</f>
        <v>陆佰肆拾万元整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640</v>
      </c>
    </row>
    <row r="31" spans="1:2">
      <c r="A31" s="3157" t="s">
        <v>31</v>
      </c>
      <c r="B31" s="3158">
        <f ca="1">'预评函-2'!D15</f>
        <v>19251</v>
      </c>
    </row>
    <row r="32" spans="1:2">
      <c r="A32" s="3157" t="s">
        <v>32</v>
      </c>
      <c r="B32" s="3158" t="str">
        <f ca="1">'预评函-2'!D14</f>
        <v>陆佰肆拾万元整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332.39</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8"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296" t="s">
        <v>368</v>
      </c>
      <c r="C54" s="3045" t="s">
        <v>369</v>
      </c>
    </row>
    <row r="55" spans="1:4">
      <c r="A55" s="3208"/>
      <c r="B55" s="296" t="s">
        <v>370</v>
      </c>
      <c r="C55" s="3045" t="s">
        <v>371</v>
      </c>
    </row>
    <row r="56" spans="1:4">
      <c r="A56" s="3208"/>
      <c r="B56" s="296" t="s">
        <v>372</v>
      </c>
      <c r="C56" s="3045" t="s">
        <v>373</v>
      </c>
    </row>
    <row r="57" spans="1:4">
      <c r="A57" s="3208"/>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09" t="s">
        <v>378</v>
      </c>
      <c r="J2" s="3209"/>
      <c r="K2" s="3209"/>
      <c r="L2" s="3209"/>
      <c r="M2" s="3209"/>
      <c r="N2" s="3209"/>
      <c r="O2" s="3209"/>
      <c r="P2" s="3209"/>
      <c r="Q2" s="3209"/>
      <c r="R2" s="3209"/>
    </row>
    <row r="3" spans="1:18">
      <c r="A3" s="444" t="s">
        <v>379</v>
      </c>
      <c r="B3" s="3001">
        <f>项目基本情况!D3</f>
        <v>45945</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1.17</v>
      </c>
      <c r="D5" s="3003">
        <f>IF(ISERROR(ROUND(POWER(1+E5,A5-C5)*(POWER(1+E5,C5)-1)/(POWER(1+E5,A5)-1),3)),0,ROUND(POWER(1+E5,A5-C5)*(POWER(1+E5,C5)-1)/(POWER(1+E5,A5)-1),4))</f>
        <v>5.67E-2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11.18</v>
      </c>
      <c r="D6" s="3003">
        <f>IF(ISERROR(ROUND(POWER(1+E6,A6-C6)*(POWER(1+E6,C6)-1)/(POWER(1+E6,A6)-1),3)),0,ROUND(POWER(1+E6,A6-C6)*(POWER(1+E6,C6)-1)/(POWER(1+E6,A6)-1),4))</f>
        <v>0.41310000000000002</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31.2</v>
      </c>
      <c r="D7" s="3003">
        <f>IF(ISERROR(ROUND(POWER(1+E7,A7-C7)*(POWER(1+E7,C7)-1)/(POWER(1+E7,A7)-1),3)),0,ROUND(POWER(1+E7,A7-C7)*(POWER(1+E7,C7)-1)/(POWER(1+E7,A7)-1),4))</f>
        <v>0.75429999999999997</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workbookViewId="0">
      <selection activeCell="C38" sqref="C38"/>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45945</v>
      </c>
      <c r="C3" s="2884" t="s">
        <v>477</v>
      </c>
      <c r="D3" s="2883">
        <f>B3</f>
        <v>45945</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7" t="s">
        <v>483</v>
      </c>
      <c r="E8" s="2899" t="s">
        <v>368</v>
      </c>
      <c r="F8" s="2900"/>
      <c r="G8" s="2655"/>
      <c r="H8" s="2655"/>
      <c r="I8" s="2655"/>
      <c r="J8" s="2517"/>
      <c r="K8" s="2973"/>
      <c r="L8" s="2971"/>
      <c r="M8" s="2971"/>
      <c r="N8" s="2517"/>
      <c r="O8" s="2341"/>
      <c r="P8" s="2517"/>
      <c r="Q8" s="2517"/>
      <c r="R8" s="2517"/>
    </row>
    <row r="9" spans="1:30">
      <c r="A9" s="2901" t="s">
        <v>484</v>
      </c>
      <c r="B9" s="2902" t="s">
        <v>368</v>
      </c>
      <c r="C9" s="2903"/>
      <c r="D9" s="3238"/>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2796</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56531</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29</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5"/>
      <c r="C16" s="3226"/>
      <c r="D16" s="3227"/>
      <c r="E16" s="2925" t="s">
        <v>502</v>
      </c>
      <c r="F16" s="3228"/>
      <c r="G16" s="3229"/>
      <c r="H16" s="3229"/>
      <c r="I16" s="3230"/>
      <c r="J16" s="2517"/>
      <c r="K16" s="2979"/>
      <c r="L16" s="2341"/>
      <c r="M16" s="2341"/>
      <c r="N16" s="2517"/>
      <c r="O16" s="2341"/>
      <c r="P16" s="2517"/>
      <c r="Q16" s="2517"/>
      <c r="R16" s="2517"/>
    </row>
    <row r="17" spans="1:28">
      <c r="A17" s="1859" t="s">
        <v>503</v>
      </c>
      <c r="B17" s="1848" t="s">
        <v>504</v>
      </c>
      <c r="C17" s="953">
        <f>'数据-汇总表'!E3</f>
        <v>332.39</v>
      </c>
      <c r="D17" s="1901" t="s">
        <v>505</v>
      </c>
      <c r="E17" s="3231" t="s">
        <v>506</v>
      </c>
      <c r="F17" s="3232"/>
      <c r="G17" s="3232"/>
      <c r="H17" s="3232"/>
      <c r="I17" s="3233"/>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4" t="s">
        <v>509</v>
      </c>
      <c r="F18" s="3235"/>
      <c r="G18" s="3235"/>
      <c r="H18" s="3235"/>
      <c r="I18" s="3236"/>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2" t="s">
        <v>514</v>
      </c>
      <c r="C20" s="3213"/>
      <c r="D20" s="3214" t="s">
        <v>515</v>
      </c>
      <c r="E20" s="3215"/>
      <c r="F20" s="2934" t="s">
        <v>516</v>
      </c>
      <c r="G20" s="2655"/>
      <c r="H20" s="2655"/>
      <c r="I20" s="2655"/>
      <c r="J20" s="2517"/>
      <c r="K20" s="3210"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0"/>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2006</v>
      </c>
      <c r="H22" s="2655"/>
      <c r="I22" s="2655"/>
      <c r="J22" s="2517"/>
      <c r="K22" s="3210"/>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19</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50-(G23+2)</f>
        <v>29</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8"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8"/>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8"/>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9"/>
      <c r="B30" s="1848" t="s">
        <v>535</v>
      </c>
      <c r="C30" s="3216"/>
      <c r="D30" s="3217"/>
      <c r="E30" s="2655"/>
      <c r="F30" s="2655"/>
      <c r="G30" s="2655"/>
      <c r="H30" s="2655"/>
      <c r="I30" s="2655"/>
      <c r="J30" s="2517"/>
      <c r="K30" s="2972"/>
      <c r="L30" s="2971"/>
      <c r="M30" s="2971"/>
      <c r="N30" s="2517"/>
      <c r="O30" s="2341"/>
      <c r="P30" s="2517"/>
      <c r="Q30" s="2517"/>
      <c r="R30" s="2517"/>
      <c r="S30" s="2517"/>
      <c r="T30" s="2517"/>
      <c r="U30" s="2517"/>
      <c r="V30" s="2517"/>
    </row>
    <row r="31" spans="1:28">
      <c r="A31" s="3220"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1"/>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1"/>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1" t="s">
        <v>546</v>
      </c>
      <c r="T34" s="1889" t="str">
        <f>NUMBERSTRING(7-K34,1)&amp;"通"</f>
        <v>七通</v>
      </c>
      <c r="U34" s="2517"/>
      <c r="V34" s="2517"/>
    </row>
    <row r="35" spans="1:30">
      <c r="A35" s="2959"/>
      <c r="B35" s="3211" t="s">
        <v>547</v>
      </c>
      <c r="C35" s="3211"/>
      <c r="D35" s="3211"/>
      <c r="E35" s="3211"/>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1"/>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295</v>
      </c>
      <c r="C37" s="2963" t="s">
        <v>295</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2380</v>
      </c>
      <c r="C38" s="2965" t="s">
        <v>2344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332.39</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332.39</v>
      </c>
      <c r="H5" s="2806">
        <f t="shared" ref="H5:AT5" si="0">SUM(H13:H656)</f>
        <v>332.39</v>
      </c>
      <c r="I5" s="2806">
        <f t="shared" si="0"/>
        <v>332.39</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332.39</v>
      </c>
      <c r="BA5" s="2859">
        <f t="shared" si="1"/>
        <v>332.39</v>
      </c>
      <c r="BB5" s="2859">
        <f t="shared" si="1"/>
        <v>332.39</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2006</v>
      </c>
      <c r="D13" s="2820" t="s">
        <v>605</v>
      </c>
      <c r="E13" s="2806">
        <f>IF($C$3="是",ROUND($A$3*G13/$B$3,2),ROUND($A$3*(G13-AT13)/$B$3,2))</f>
        <v>0</v>
      </c>
      <c r="F13" s="2821"/>
      <c r="G13" s="2822">
        <f>H13+AC13+AT13</f>
        <v>332.39</v>
      </c>
      <c r="H13" s="2809">
        <f>SUMIF(I$12:AB$12,"总值",I13:AB13)</f>
        <v>332.39</v>
      </c>
      <c r="I13" s="2834">
        <v>332.39</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2006</v>
      </c>
      <c r="AY13" s="2350">
        <f>ROUND($AY$6*AZ13/$AZ$5,2)</f>
        <v>0</v>
      </c>
      <c r="AZ13" s="2806">
        <f>BA13+BL13</f>
        <v>332.39</v>
      </c>
      <c r="BA13" s="2806">
        <f>SUM(BB13:BK13)</f>
        <v>332.39</v>
      </c>
      <c r="BB13" s="2806">
        <f>IF($D13="是",I13-J13,0)</f>
        <v>332.39</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O57" sqref="O57"/>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48" t="s">
        <v>607</v>
      </c>
      <c r="B2" s="3248"/>
      <c r="C2" s="3248"/>
      <c r="D2" s="2142" t="s">
        <v>608</v>
      </c>
      <c r="E2" s="2734" t="s">
        <v>609</v>
      </c>
      <c r="F2" s="2592"/>
      <c r="G2" s="2735"/>
      <c r="H2" s="2736"/>
      <c r="I2" s="2430" t="s">
        <v>610</v>
      </c>
      <c r="J2" s="2592"/>
      <c r="K2" s="2592"/>
      <c r="L2" s="2592"/>
      <c r="M2" s="2592"/>
      <c r="N2" s="1175"/>
      <c r="O2" s="2592"/>
      <c r="P2" s="2592"/>
    </row>
    <row r="3" spans="1:16" ht="15">
      <c r="A3" s="3249" t="s">
        <v>611</v>
      </c>
      <c r="B3" s="3249"/>
      <c r="C3" s="3249"/>
      <c r="D3" s="2737">
        <f>'数据-基础表'!AY6</f>
        <v>0</v>
      </c>
      <c r="E3" s="2737">
        <f>'数据-基础表'!AZ5</f>
        <v>332.39</v>
      </c>
      <c r="F3" s="2592"/>
      <c r="G3" s="2738"/>
      <c r="H3" s="2241" t="s">
        <v>612</v>
      </c>
      <c r="I3" s="2096" t="e">
        <f>ROUND('数据-基础表'!B3/'数据-基础表'!A3,2)</f>
        <v>#DIV/0!</v>
      </c>
      <c r="J3" s="2592"/>
      <c r="K3" s="2592"/>
      <c r="L3" s="2592"/>
      <c r="M3" s="2592"/>
      <c r="N3" s="1175"/>
      <c r="O3" s="2592"/>
      <c r="P3" s="2592"/>
    </row>
    <row r="4" spans="1:16" ht="15">
      <c r="A4" s="3250"/>
      <c r="B4" s="3251"/>
      <c r="C4" s="3252"/>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3" t="s">
        <v>616</v>
      </c>
      <c r="C5" s="3253"/>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3" t="s">
        <v>617</v>
      </c>
      <c r="C6" s="3253"/>
      <c r="D6" s="2241">
        <f>ROUND($D$3*E6/$E$3,2)</f>
        <v>0</v>
      </c>
      <c r="E6" s="2742">
        <f>E3-E5</f>
        <v>332.39</v>
      </c>
      <c r="F6" s="2592"/>
      <c r="G6" s="2744" t="s">
        <v>618</v>
      </c>
      <c r="H6" s="2745" t="s">
        <v>614</v>
      </c>
      <c r="I6" s="2784" t="e">
        <f>ROUND(F31/D31,2)</f>
        <v>#DIV/0!</v>
      </c>
      <c r="J6" s="2592"/>
      <c r="K6" s="2592"/>
      <c r="L6" s="2592"/>
      <c r="M6" s="2592"/>
      <c r="N6" s="2592"/>
      <c r="O6" s="2592"/>
      <c r="P6" s="2592"/>
    </row>
    <row r="7" spans="1:16" ht="15">
      <c r="A7" s="3239"/>
      <c r="B7" s="3240"/>
      <c r="C7" s="3241"/>
      <c r="D7" s="2739" t="s">
        <v>608</v>
      </c>
      <c r="E7" s="2746" t="s">
        <v>619</v>
      </c>
      <c r="F7" s="2592"/>
      <c r="G7" s="2747" t="s">
        <v>620</v>
      </c>
      <c r="H7" s="2712"/>
      <c r="I7" s="2785">
        <v>2.5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332.39</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332.39</v>
      </c>
      <c r="F16" s="2592"/>
      <c r="G16" s="2592"/>
      <c r="H16" s="2752" t="s">
        <v>632</v>
      </c>
      <c r="I16" s="2786"/>
      <c r="J16" s="2288"/>
      <c r="K16" s="3242" t="s">
        <v>632</v>
      </c>
      <c r="L16" s="3243"/>
      <c r="M16" s="3243"/>
      <c r="N16" s="3243"/>
      <c r="O16" s="3243"/>
      <c r="P16" s="3244"/>
    </row>
    <row r="17" spans="1:19" ht="15">
      <c r="A17" s="2703" t="s">
        <v>633</v>
      </c>
      <c r="B17" s="2753" t="s">
        <v>634</v>
      </c>
      <c r="C17" s="2262" t="s">
        <v>635</v>
      </c>
      <c r="D17" s="2754" t="s">
        <v>608</v>
      </c>
      <c r="E17" s="2755" t="s">
        <v>609</v>
      </c>
      <c r="F17" s="2756"/>
      <c r="G17" s="2757"/>
      <c r="H17" s="2758" t="s">
        <v>636</v>
      </c>
      <c r="I17" s="2787" t="s">
        <v>637</v>
      </c>
      <c r="J17" s="2288"/>
      <c r="K17" s="3245" t="s">
        <v>638</v>
      </c>
      <c r="L17" s="3246"/>
      <c r="M17" s="3247"/>
      <c r="N17" s="3245" t="s">
        <v>639</v>
      </c>
      <c r="O17" s="3246"/>
      <c r="P17" s="3247"/>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2800</v>
      </c>
      <c r="D19" s="2241">
        <f>ROUND($D$3*E19/$E$3,2)</f>
        <v>0</v>
      </c>
      <c r="E19" s="2766">
        <f t="shared" ref="E19:E26" si="1">SUM(F19:G19)</f>
        <v>332.39</v>
      </c>
      <c r="F19" s="2767">
        <f>'数据-基础表'!I13</f>
        <v>332.39</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332.39</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332.39</v>
      </c>
      <c r="F27" s="2772">
        <f>IF(SUM(F19:F26)=E8,SUM(F19:F26),"地上面积有误")</f>
        <v>332.39</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332.39</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332.39</v>
      </c>
      <c r="F31" s="2780">
        <f>F27+F30</f>
        <v>332.39</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C6" sqref="C6"/>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45945</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56531</v>
      </c>
      <c r="F6" s="2577">
        <f>SUMIF(项目基本情况!C$12:I$12,C6,项目基本情况!C$15:I$15)</f>
        <v>29</v>
      </c>
      <c r="G6" s="2578">
        <f>IF(ISERROR(ROUND(POWER(1+H6,D6-F6)*(POWER(1+H6,F6)-1)/(POWER(1+H6,D6)-1),3)),0,ROUND(POWER(1+H6,D6-F6)*(POWER(1+H6,F6)-1)/(POWER(1+H6,D6)-1),3))</f>
        <v>0.82899999999999996</v>
      </c>
      <c r="H6" s="2579">
        <v>0.05</v>
      </c>
      <c r="I6" s="2579">
        <v>5.5E-2</v>
      </c>
      <c r="J6" s="2580">
        <v>7.0000000000000007E-2</v>
      </c>
      <c r="K6" s="2663">
        <f>SUMIF('数据-汇总表'!C$19:C$33,A6,'数据-汇总表'!E$19:E$33)</f>
        <v>332.39</v>
      </c>
      <c r="L6" s="2664">
        <v>4500</v>
      </c>
      <c r="M6" s="2665">
        <f t="shared" ref="M6:M14" si="0">ROUND(K6*L6/10000,0)</f>
        <v>150</v>
      </c>
      <c r="N6" s="2666">
        <f>N20</f>
        <v>0.77</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3</v>
      </c>
      <c r="V6" s="2687">
        <v>0.02</v>
      </c>
      <c r="W6" s="2687">
        <v>0.15</v>
      </c>
      <c r="X6" s="2688"/>
      <c r="Y6" s="2704">
        <f>N6</f>
        <v>0.77</v>
      </c>
      <c r="Z6" s="2705"/>
      <c r="AA6" s="2580"/>
      <c r="AB6" s="2580"/>
      <c r="AC6" s="2688"/>
      <c r="AD6" s="2706"/>
      <c r="AE6" s="2707">
        <f ca="1">IF(AN6="",0,SUMIF(INDIRECT("'"&amp;AN6&amp;"'"&amp;"!E:E"),$AE$5,INDIRECT("'"&amp;AN6&amp;"'"&amp;"!F:F")))</f>
        <v>29</v>
      </c>
      <c r="AF6" s="2228"/>
      <c r="AG6" s="1595">
        <f>IF(AF6="",0,AE6-AF6)</f>
        <v>0</v>
      </c>
      <c r="AH6" s="2715"/>
      <c r="AI6" s="2716">
        <v>365</v>
      </c>
      <c r="AJ6" s="2228"/>
      <c r="AK6" s="2717">
        <v>5.0000000000000001E-3</v>
      </c>
      <c r="AL6" s="2718">
        <v>1.5E-3</v>
      </c>
      <c r="AM6" s="2719">
        <v>5.0000000000000001E-3</v>
      </c>
      <c r="AN6" s="2720" t="s">
        <v>285</v>
      </c>
      <c r="AO6" s="1227">
        <f ca="1">SUMIF(INDIRECT("'"&amp;AN6&amp;"'"&amp;"!A:A"),"总价",INDIRECT("'"&amp;AN6&amp;"'"&amp;"!B:B"))</f>
        <v>443.8818</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0.82899999999999996</v>
      </c>
      <c r="H16" s="2588">
        <f>ROUND(SUMPRODUCT(H6:H13,K6:K13)/SUMPRODUCT((H6:H13&gt;0)*(K6:K13)),3)</f>
        <v>0.05</v>
      </c>
      <c r="I16" s="2672"/>
      <c r="J16" s="2672"/>
      <c r="K16" s="2673">
        <f>SUM(K6:K15)</f>
        <v>332.39</v>
      </c>
      <c r="L16" s="2674">
        <f>ROUND(M16*10000/SUM(K6:K14),0)</f>
        <v>4513</v>
      </c>
      <c r="M16" s="2674">
        <f>SUM(M6:M14)</f>
        <v>150</v>
      </c>
      <c r="N16" s="2675">
        <f>ROUND(SUMPRODUCT(M6:M14,N6:N14)/M16,3)</f>
        <v>0.77</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2006</v>
      </c>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0.68</v>
      </c>
      <c r="O18" s="2125">
        <v>0.5</v>
      </c>
      <c r="P18" s="2125"/>
      <c r="Q18" s="2125"/>
      <c r="R18" s="2125"/>
      <c r="S18" s="2125"/>
      <c r="T18" s="2125">
        <f>'数据-汇总表'!G19</f>
        <v>0</v>
      </c>
      <c r="U18" s="2125">
        <v>1200000</v>
      </c>
      <c r="V18" s="2125" t="e">
        <f>U18/T18/365</f>
        <v>#DIV/0!</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1.5</v>
      </c>
      <c r="C20" s="2599" t="s">
        <v>703</v>
      </c>
      <c r="D20" s="2593"/>
      <c r="E20" s="2592"/>
      <c r="F20" s="2592"/>
      <c r="G20" s="2592"/>
      <c r="H20" s="2592"/>
      <c r="I20" s="2592"/>
      <c r="J20" s="2592"/>
      <c r="K20" s="2676"/>
      <c r="L20" s="2676"/>
      <c r="M20" s="2125"/>
      <c r="N20" s="2125">
        <f>ROUND(N18*O18+N19*O19,2)</f>
        <v>0.77</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1.5</v>
      </c>
      <c r="C21" s="2592"/>
      <c r="D21" s="2593"/>
      <c r="E21" s="2592"/>
      <c r="F21" s="2592"/>
      <c r="G21" s="2592"/>
      <c r="H21" s="2592"/>
      <c r="I21" s="2592"/>
      <c r="J21" s="2592"/>
      <c r="K21" s="2676"/>
      <c r="L21" s="2676"/>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1.5</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1.5</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3.0599999999999999E-2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4" t="s">
        <v>764</v>
      </c>
      <c r="B1" s="3255"/>
      <c r="C1" s="3255"/>
      <c r="D1" s="3255"/>
      <c r="E1" s="3255"/>
      <c r="F1" s="3255"/>
      <c r="G1" s="3255"/>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332.39</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45945</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640</v>
      </c>
      <c r="C5" s="2485">
        <f ca="1">IF(B5=D14,结果表!H102,ROUND(B5*10000/$B$1,0))</f>
        <v>19251</v>
      </c>
      <c r="D5" s="2485" t="e">
        <f ca="1">ROUND(B5*10000/$B$2,0)</f>
        <v>#DIV/0!</v>
      </c>
      <c r="E5" s="2486"/>
      <c r="F5" s="2487"/>
      <c r="G5" s="2487"/>
      <c r="H5" s="2487"/>
      <c r="I5" s="2487"/>
      <c r="J5" s="2487"/>
      <c r="K5" s="2487"/>
    </row>
    <row r="6" spans="1:11" ht="16.5">
      <c r="A6" s="2485" t="s">
        <v>794</v>
      </c>
      <c r="B6" s="2485">
        <f ca="1">SUM(G14:G23)</f>
        <v>640</v>
      </c>
      <c r="C6" s="2485">
        <f ca="1">IF(B6=G14,结果表!H108,ROUND(B6*10000/$B$1,0))</f>
        <v>19251</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332.39</v>
      </c>
      <c r="C14" s="2496"/>
      <c r="D14" s="2496">
        <f ca="1">结果表!G19</f>
        <v>640</v>
      </c>
      <c r="E14" s="2496">
        <f ca="1">ROUND(D14*10000/B14,0)</f>
        <v>19254</v>
      </c>
      <c r="F14" s="2496" t="e">
        <f ca="1">ROUND(D14*10000/C14,0)</f>
        <v>#DIV/0!</v>
      </c>
      <c r="G14" s="2496">
        <f ca="1">D14</f>
        <v>640</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20" sqref="D20"/>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0" t="str">
        <f>项目基本情况!S2</f>
        <v>北京市房地产</v>
      </c>
      <c r="B2" s="3331"/>
      <c r="C2" s="3331"/>
      <c r="D2" s="3331"/>
      <c r="E2" s="3331"/>
      <c r="F2" s="3331"/>
      <c r="G2" s="3331"/>
      <c r="H2" s="3331"/>
      <c r="I2" s="3332"/>
    </row>
    <row r="3" spans="1:12" ht="12.75">
      <c r="A3" s="3333" t="s">
        <v>818</v>
      </c>
      <c r="B3" s="3334"/>
      <c r="C3" s="3334"/>
      <c r="D3" s="3334"/>
      <c r="E3" s="3334"/>
      <c r="F3" s="3334"/>
      <c r="G3" s="3334"/>
      <c r="H3" s="3334"/>
      <c r="I3" s="3334"/>
    </row>
    <row r="4" spans="1:12" ht="14.25">
      <c r="A4" s="2223" t="s">
        <v>819</v>
      </c>
      <c r="B4" s="2224" t="s">
        <v>820</v>
      </c>
      <c r="C4" s="2225" t="s">
        <v>2799</v>
      </c>
      <c r="D4" s="2225" t="s">
        <v>250</v>
      </c>
      <c r="E4" s="3335" t="s">
        <v>821</v>
      </c>
      <c r="F4" s="3336"/>
      <c r="G4" s="3336"/>
      <c r="H4" s="3336"/>
      <c r="I4" s="3337"/>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成本法</v>
      </c>
    </row>
    <row r="5" spans="1:12" ht="12.75">
      <c r="A5" s="3257" t="s">
        <v>822</v>
      </c>
      <c r="B5" s="3265">
        <v>25</v>
      </c>
      <c r="C5" s="3347"/>
      <c r="D5" s="3268"/>
      <c r="E5" s="1888" t="s">
        <v>823</v>
      </c>
      <c r="F5" s="2229"/>
      <c r="G5" s="2229"/>
      <c r="H5" s="2229"/>
      <c r="I5" s="2109"/>
    </row>
    <row r="6" spans="1:12" ht="12.75">
      <c r="A6" s="3257"/>
      <c r="B6" s="3265"/>
      <c r="C6" s="3348"/>
      <c r="D6" s="3268"/>
      <c r="E6" s="1888" t="s">
        <v>824</v>
      </c>
      <c r="F6" s="2229"/>
      <c r="G6" s="2229"/>
      <c r="H6" s="2229"/>
      <c r="I6" s="2109"/>
    </row>
    <row r="7" spans="1:12" ht="12.75">
      <c r="A7" s="3257"/>
      <c r="B7" s="3265"/>
      <c r="C7" s="3349"/>
      <c r="D7" s="3268"/>
      <c r="E7" s="1888" t="s">
        <v>825</v>
      </c>
      <c r="F7" s="2229"/>
      <c r="G7" s="2229"/>
      <c r="H7" s="2229"/>
      <c r="I7" s="2109"/>
    </row>
    <row r="8" spans="1:12" ht="12.75">
      <c r="A8" s="3257" t="s">
        <v>826</v>
      </c>
      <c r="B8" s="3265">
        <v>15</v>
      </c>
      <c r="C8" s="3347"/>
      <c r="D8" s="3268"/>
      <c r="E8" s="1888" t="s">
        <v>827</v>
      </c>
      <c r="F8" s="2229"/>
      <c r="G8" s="2229"/>
      <c r="H8" s="2229"/>
      <c r="I8" s="2109"/>
    </row>
    <row r="9" spans="1:12" ht="12.75">
      <c r="A9" s="3257"/>
      <c r="B9" s="3265"/>
      <c r="C9" s="3349"/>
      <c r="D9" s="3268"/>
      <c r="E9" s="1888" t="s">
        <v>828</v>
      </c>
      <c r="F9" s="2229"/>
      <c r="G9" s="2229"/>
      <c r="H9" s="2229"/>
      <c r="I9" s="2109"/>
    </row>
    <row r="10" spans="1:12" ht="12.75">
      <c r="A10" s="3257" t="s">
        <v>829</v>
      </c>
      <c r="B10" s="3265">
        <v>15</v>
      </c>
      <c r="C10" s="3347"/>
      <c r="D10" s="3268"/>
      <c r="E10" s="1888" t="s">
        <v>830</v>
      </c>
      <c r="F10" s="2229"/>
      <c r="G10" s="2229"/>
      <c r="H10" s="2229"/>
      <c r="I10" s="2109"/>
    </row>
    <row r="11" spans="1:12" ht="12.75">
      <c r="A11" s="3257"/>
      <c r="B11" s="3265"/>
      <c r="C11" s="3349"/>
      <c r="D11" s="3268"/>
      <c r="E11" s="1888" t="s">
        <v>831</v>
      </c>
      <c r="F11" s="2229"/>
      <c r="G11" s="2229"/>
      <c r="H11" s="2229"/>
      <c r="I11" s="2109"/>
    </row>
    <row r="12" spans="1:12" ht="12.75">
      <c r="A12" s="3257" t="s">
        <v>832</v>
      </c>
      <c r="B12" s="3265">
        <v>15</v>
      </c>
      <c r="C12" s="3347"/>
      <c r="D12" s="3268"/>
      <c r="E12" s="1888" t="s">
        <v>833</v>
      </c>
      <c r="F12" s="2229"/>
      <c r="G12" s="2229"/>
      <c r="H12" s="2229"/>
      <c r="I12" s="2109"/>
    </row>
    <row r="13" spans="1:12" ht="12.75">
      <c r="A13" s="3257"/>
      <c r="B13" s="3265"/>
      <c r="C13" s="3349"/>
      <c r="D13" s="3268"/>
      <c r="E13" s="1888" t="s">
        <v>834</v>
      </c>
      <c r="F13" s="2229"/>
      <c r="G13" s="2229"/>
      <c r="H13" s="2229"/>
      <c r="I13" s="2109"/>
    </row>
    <row r="14" spans="1:12" ht="12.75">
      <c r="A14" s="3257" t="s">
        <v>835</v>
      </c>
      <c r="B14" s="3265">
        <v>30</v>
      </c>
      <c r="C14" s="3347">
        <v>5</v>
      </c>
      <c r="D14" s="3268">
        <v>5</v>
      </c>
      <c r="E14" s="1888" t="s">
        <v>836</v>
      </c>
      <c r="F14" s="2229"/>
      <c r="G14" s="2229"/>
      <c r="H14" s="2229"/>
      <c r="I14" s="2109"/>
    </row>
    <row r="15" spans="1:12" ht="12.75">
      <c r="A15" s="3257"/>
      <c r="B15" s="3265"/>
      <c r="C15" s="3348"/>
      <c r="D15" s="3268"/>
      <c r="E15" s="1888" t="s">
        <v>837</v>
      </c>
      <c r="F15" s="2229"/>
      <c r="G15" s="2229"/>
      <c r="H15" s="2229"/>
      <c r="I15" s="2109"/>
    </row>
    <row r="16" spans="1:12" ht="12.75">
      <c r="A16" s="3257"/>
      <c r="B16" s="3265"/>
      <c r="C16" s="3349"/>
      <c r="D16" s="3268"/>
      <c r="E16" s="1888" t="s">
        <v>838</v>
      </c>
      <c r="F16" s="2229"/>
      <c r="G16" s="2229"/>
      <c r="H16" s="2229"/>
      <c r="I16" s="2109"/>
    </row>
    <row r="17" spans="1:36" ht="15">
      <c r="A17" s="2230" t="s">
        <v>839</v>
      </c>
      <c r="B17" s="2231"/>
      <c r="C17" s="2232">
        <f>SUM(C5:C16)</f>
        <v>5</v>
      </c>
      <c r="D17" s="2232">
        <f>SUM(D5:D16)</f>
        <v>5</v>
      </c>
      <c r="E17" s="939"/>
      <c r="F17" s="939"/>
      <c r="G17" s="939"/>
      <c r="H17" s="939"/>
      <c r="I17" s="939"/>
      <c r="K17" s="1848"/>
      <c r="L17" s="1848" t="s">
        <v>840</v>
      </c>
      <c r="M17" s="1848" t="s">
        <v>841</v>
      </c>
    </row>
    <row r="18" spans="1:36" ht="31.9" customHeight="1">
      <c r="A18" s="2233" t="s">
        <v>842</v>
      </c>
      <c r="B18" s="2234"/>
      <c r="C18" s="2235">
        <f>ROUND(C17/SUM(C17:D17),2)</f>
        <v>0.5</v>
      </c>
      <c r="D18" s="2235">
        <f>1-C18</f>
        <v>0.5</v>
      </c>
      <c r="E18" s="3338" t="s">
        <v>843</v>
      </c>
      <c r="F18" s="3339"/>
      <c r="G18" s="3339"/>
      <c r="H18" s="3339"/>
      <c r="I18" s="3339"/>
      <c r="K18" s="1848" t="s">
        <v>504</v>
      </c>
      <c r="L18" s="1848">
        <f>IF(C1="",'数据-汇总表'!E3,SUMIF(项目类型,C1,'数据-汇总表'!E17:E26)+SUMIF(项目类型,C1,'数据-汇总表'!I17:I26))</f>
        <v>332.39</v>
      </c>
      <c r="M18" s="1848">
        <f>IF(C1="",'数据-汇总表'!E3,SUMIF(项目类型,C1,'数据-汇总表'!E17:E26))</f>
        <v>332.39</v>
      </c>
    </row>
    <row r="19" spans="1:36" ht="15">
      <c r="A19" s="1230" t="s">
        <v>844</v>
      </c>
      <c r="B19" s="2236" t="s">
        <v>845</v>
      </c>
      <c r="C19" s="2237">
        <f ca="1">SUMIF(INDIRECT("'"&amp;C4&amp;"'"&amp;"!A:A"),结果表!B19,INDIRECT("'"&amp;C4&amp;"'"&amp;"!B:B"))</f>
        <v>656.13789999999995</v>
      </c>
      <c r="D19" s="1348">
        <f ca="1">SUMIF(INDIRECT("'"&amp;D4&amp;"'"&amp;"!A:A"),结果表!B19,INDIRECT("'"&amp;D4&amp;"'"&amp;"!B:B"))</f>
        <v>623.61739999999998</v>
      </c>
      <c r="E19" s="1230" t="s">
        <v>846</v>
      </c>
      <c r="F19" s="2236" t="s">
        <v>845</v>
      </c>
      <c r="G19" s="2238">
        <f ca="1">ROUND(C19*$C$18+D19*$D$18,0)</f>
        <v>640</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19740</v>
      </c>
      <c r="D20" s="1595">
        <f ca="1">SUMIF(INDIRECT("'"&amp;D4&amp;"'"&amp;"!A:A"),结果表!B20,INDIRECT("'"&amp;D4&amp;"'"&amp;"!B:B"))</f>
        <v>18762</v>
      </c>
      <c r="E20" s="2240"/>
      <c r="F20" s="2241" t="s">
        <v>848</v>
      </c>
      <c r="G20" s="2242">
        <f ca="1">ROUND(C20*$C$18+D20*$D$18,0)</f>
        <v>19251</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5.2148160073788752E-2</v>
      </c>
      <c r="E22" s="939"/>
      <c r="F22" s="939"/>
      <c r="G22" s="939"/>
      <c r="H22" s="939"/>
      <c r="I22" s="939"/>
    </row>
    <row r="23" spans="1:36" ht="12.75">
      <c r="A23" s="1991"/>
      <c r="B23" s="1991"/>
      <c r="C23" s="1991"/>
      <c r="D23" s="1991"/>
      <c r="E23" s="939"/>
      <c r="F23" s="939"/>
      <c r="G23" s="939"/>
      <c r="H23" s="939"/>
      <c r="I23" s="939"/>
    </row>
    <row r="24" spans="1:36" ht="14.25">
      <c r="A24" s="3258" t="s">
        <v>852</v>
      </c>
      <c r="B24" s="2236" t="s">
        <v>845</v>
      </c>
      <c r="C24" s="2238">
        <f>IF(B30=0,0,D30)</f>
        <v>0</v>
      </c>
      <c r="D24" s="2252"/>
      <c r="E24" s="939"/>
      <c r="F24" s="939"/>
      <c r="G24" s="939"/>
      <c r="H24" s="939"/>
      <c r="I24" s="939"/>
    </row>
    <row r="25" spans="1:36" ht="14.25">
      <c r="A25" s="3259"/>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c r="H26" s="939"/>
      <c r="I26" s="939"/>
    </row>
    <row r="27" spans="1:36" ht="14.25">
      <c r="A27" s="2255"/>
      <c r="B27" s="2256">
        <v>0</v>
      </c>
      <c r="C27" s="2256">
        <v>0</v>
      </c>
      <c r="D27" s="2257">
        <f>ROUND(C27*B27/10000,0)</f>
        <v>0</v>
      </c>
      <c r="E27" s="939"/>
      <c r="F27" s="939"/>
      <c r="G27" s="939"/>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19251</v>
      </c>
      <c r="D32" s="2264" t="s">
        <v>2787</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260" t="s">
        <v>867</v>
      </c>
      <c r="B36" s="2281" t="s">
        <v>868</v>
      </c>
      <c r="C36" s="2282"/>
      <c r="D36" s="2283"/>
      <c r="E36" s="2284"/>
      <c r="F36" s="2285"/>
      <c r="G36" s="939"/>
      <c r="H36" s="939"/>
      <c r="I36" s="939"/>
    </row>
    <row r="37" spans="1:15" ht="15">
      <c r="A37" s="3261"/>
      <c r="B37" s="2286" t="s">
        <v>869</v>
      </c>
      <c r="C37" s="2287"/>
      <c r="D37" s="2288"/>
      <c r="E37" s="2288"/>
      <c r="F37" s="2285"/>
      <c r="G37" s="939"/>
      <c r="H37" s="939"/>
      <c r="I37" s="939"/>
    </row>
    <row r="38" spans="1:15" ht="15">
      <c r="A38" s="3262"/>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0" t="s">
        <v>878</v>
      </c>
      <c r="B45" s="3341"/>
      <c r="C45" s="3342"/>
      <c r="D45" s="1847">
        <f ca="1">ROUND(H101*F45,0)</f>
        <v>640</v>
      </c>
      <c r="E45" s="2307" t="s">
        <v>879</v>
      </c>
      <c r="F45" s="2308">
        <v>1</v>
      </c>
      <c r="G45" s="1858" t="s">
        <v>880</v>
      </c>
      <c r="H45" s="939"/>
      <c r="I45" s="939"/>
      <c r="J45" s="3329" t="s">
        <v>881</v>
      </c>
      <c r="K45" s="3329"/>
      <c r="L45" s="3329"/>
      <c r="M45" s="3329"/>
      <c r="N45" s="3329"/>
      <c r="O45" s="3329"/>
    </row>
    <row r="46" spans="1:15" ht="14.25" customHeight="1">
      <c r="A46" s="3343" t="s">
        <v>882</v>
      </c>
      <c r="B46" s="3344"/>
      <c r="C46" s="3344"/>
      <c r="D46" s="3344"/>
      <c r="E46" s="3344"/>
      <c r="F46" s="3344"/>
      <c r="G46" s="3345"/>
      <c r="H46" s="2309"/>
      <c r="I46" s="940"/>
      <c r="J46" s="580">
        <v>1</v>
      </c>
      <c r="K46" s="3319" t="s">
        <v>883</v>
      </c>
      <c r="L46" s="3319"/>
      <c r="M46" s="3346"/>
      <c r="N46" s="3346"/>
      <c r="O46" s="3346"/>
    </row>
    <row r="47" spans="1:15" ht="12" customHeight="1">
      <c r="A47" s="2310" t="s">
        <v>884</v>
      </c>
      <c r="B47" s="2311"/>
      <c r="C47" s="2312"/>
      <c r="D47" s="1897" t="s">
        <v>885</v>
      </c>
      <c r="E47" s="1848" t="s">
        <v>886</v>
      </c>
      <c r="F47" s="2313" t="s">
        <v>887</v>
      </c>
      <c r="G47" s="2314" t="s">
        <v>888</v>
      </c>
      <c r="H47" s="2315"/>
      <c r="I47" s="940"/>
      <c r="J47" s="580">
        <v>2</v>
      </c>
      <c r="K47" s="3319" t="s">
        <v>889</v>
      </c>
      <c r="L47" s="3319"/>
      <c r="M47" s="3326">
        <f>'数据-取费表'!B2</f>
        <v>45945</v>
      </c>
      <c r="N47" s="3326"/>
      <c r="O47" s="3326"/>
    </row>
    <row r="48" spans="1:15" ht="25.5">
      <c r="A48" s="3327" t="s">
        <v>890</v>
      </c>
      <c r="B48" s="3321"/>
      <c r="C48" s="3321"/>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19" t="s">
        <v>892</v>
      </c>
      <c r="L48" s="3319"/>
      <c r="M48" s="3328">
        <f ca="1">H101</f>
        <v>640</v>
      </c>
      <c r="N48" s="3328"/>
      <c r="O48" s="3328"/>
    </row>
    <row r="49" spans="1:35" ht="25.5" customHeight="1">
      <c r="A49" s="2316" t="s">
        <v>893</v>
      </c>
      <c r="B49" s="3295" t="s">
        <v>894</v>
      </c>
      <c r="C49" s="3295"/>
      <c r="D49" s="2320">
        <v>0</v>
      </c>
      <c r="E49" s="1907" t="s">
        <v>895</v>
      </c>
      <c r="F49" s="2321" t="s">
        <v>124</v>
      </c>
      <c r="G49" s="3322"/>
      <c r="H49" s="2322" t="s">
        <v>896</v>
      </c>
      <c r="I49" s="2356"/>
      <c r="J49" s="580">
        <v>4</v>
      </c>
      <c r="K49" s="3319" t="str">
        <f>IF(项目基本情况!E8="房地产抵押价值","房地产抵押价值","抵押担保权已注销时的房地产抵押价值")</f>
        <v>房地产抵押价值</v>
      </c>
      <c r="L49" s="3319"/>
      <c r="M49" s="3328">
        <f ca="1">IF(项目基本情况!E8="房地产抵押价值",H107,H109)</f>
        <v>640</v>
      </c>
      <c r="N49" s="3328"/>
      <c r="O49" s="3328"/>
    </row>
    <row r="50" spans="1:35" ht="25.5" customHeight="1">
      <c r="A50" s="2323"/>
      <c r="B50" s="3295" t="s">
        <v>897</v>
      </c>
      <c r="C50" s="3295"/>
      <c r="D50" s="2324"/>
      <c r="E50" s="1922"/>
      <c r="F50" s="2321"/>
      <c r="G50" s="3323"/>
      <c r="H50" s="2325" t="s">
        <v>898</v>
      </c>
      <c r="I50" s="2356"/>
      <c r="J50" s="3329" t="s">
        <v>899</v>
      </c>
      <c r="K50" s="3329"/>
      <c r="L50" s="3329"/>
      <c r="M50" s="3329"/>
      <c r="N50" s="3329"/>
      <c r="O50" s="3329"/>
    </row>
    <row r="51" spans="1:35" ht="20.45" customHeight="1">
      <c r="A51" s="2326"/>
      <c r="B51" s="3295" t="s">
        <v>900</v>
      </c>
      <c r="C51" s="3295"/>
      <c r="D51" s="1897"/>
      <c r="E51" s="1911"/>
      <c r="F51" s="2321"/>
      <c r="G51" s="3324"/>
      <c r="H51" s="2325" t="s">
        <v>901</v>
      </c>
      <c r="I51" s="2356"/>
      <c r="J51" s="2355" t="s">
        <v>902</v>
      </c>
      <c r="K51" s="3319" t="s">
        <v>903</v>
      </c>
      <c r="L51" s="3319"/>
      <c r="M51" s="2355" t="s">
        <v>904</v>
      </c>
      <c r="N51" s="2355" t="s">
        <v>905</v>
      </c>
      <c r="O51" s="2355" t="s">
        <v>906</v>
      </c>
    </row>
    <row r="52" spans="1:35" ht="24" customHeight="1">
      <c r="A52" s="2327" t="s">
        <v>907</v>
      </c>
      <c r="B52" s="3295" t="s">
        <v>908</v>
      </c>
      <c r="C52" s="3295"/>
      <c r="D52" s="1897">
        <f ca="1">ROUND(D45*'数据-取费表'!B41/(1+'数据-取费表'!C42),0)</f>
        <v>34</v>
      </c>
      <c r="E52" s="1901" t="s">
        <v>909</v>
      </c>
      <c r="F52" s="2328">
        <f>'数据-取费表'!B41</f>
        <v>5.6000000000000001E-2</v>
      </c>
      <c r="G52" s="2329"/>
      <c r="H52" s="2012"/>
      <c r="I52" s="2357"/>
      <c r="J52" s="580">
        <v>1</v>
      </c>
      <c r="K52" s="3315" t="s">
        <v>910</v>
      </c>
      <c r="L52" s="3315"/>
      <c r="M52" s="2358" t="b">
        <f>D48</f>
        <v>0</v>
      </c>
      <c r="N52" s="580" t="str">
        <f>E48</f>
        <v>销售额×税（费）率</v>
      </c>
      <c r="O52" s="2359">
        <f>F48</f>
        <v>5.6000000000000001E-2</v>
      </c>
    </row>
    <row r="53" spans="1:35" ht="12" customHeight="1">
      <c r="A53" s="2327" t="s">
        <v>911</v>
      </c>
      <c r="B53" s="3294" t="s">
        <v>912</v>
      </c>
      <c r="C53" s="3311"/>
      <c r="D53" s="1897">
        <f ca="1">ROUND(D45*'数据-取费表'!B41/(1+'数据-取费表'!C42),0)</f>
        <v>34</v>
      </c>
      <c r="E53" s="1901" t="s">
        <v>909</v>
      </c>
      <c r="F53" s="2328">
        <f>'数据-取费表'!B41</f>
        <v>5.6000000000000001E-2</v>
      </c>
      <c r="G53" s="2329"/>
      <c r="H53" s="2012"/>
      <c r="I53" s="2357"/>
      <c r="J53" s="580">
        <v>2</v>
      </c>
      <c r="K53" s="3315" t="s">
        <v>913</v>
      </c>
      <c r="L53" s="3315"/>
      <c r="M53" s="2358">
        <f t="shared" ref="M53:O54" ca="1" si="0">D55</f>
        <v>0</v>
      </c>
      <c r="N53" s="580" t="str">
        <f t="shared" si="0"/>
        <v>销售额×税（费）率</v>
      </c>
      <c r="O53" s="2359" t="str">
        <f t="shared" si="0"/>
        <v>免征</v>
      </c>
    </row>
    <row r="54" spans="1:35" ht="12" customHeight="1">
      <c r="A54" s="2327" t="s">
        <v>914</v>
      </c>
      <c r="B54" s="3294" t="s">
        <v>915</v>
      </c>
      <c r="C54" s="3311"/>
      <c r="D54" s="1897">
        <f ca="1">C68</f>
        <v>34</v>
      </c>
      <c r="E54" s="1911" t="s">
        <v>916</v>
      </c>
      <c r="F54" s="2328">
        <f>'数据-取费表'!B41</f>
        <v>5.6000000000000001E-2</v>
      </c>
      <c r="G54" s="2329"/>
      <c r="H54" s="2330"/>
      <c r="I54" s="2357"/>
      <c r="J54" s="580">
        <v>3</v>
      </c>
      <c r="K54" s="3315" t="s">
        <v>917</v>
      </c>
      <c r="L54" s="3315"/>
      <c r="M54" s="2358">
        <f t="shared" ca="1" si="0"/>
        <v>362</v>
      </c>
      <c r="N54" s="580" t="str">
        <f t="shared" si="0"/>
        <v>增值额×税（费）率</v>
      </c>
      <c r="O54" s="2360" t="str">
        <f t="shared" si="0"/>
        <v>免征</v>
      </c>
    </row>
    <row r="55" spans="1:35" ht="24" customHeight="1">
      <c r="A55" s="3320" t="s">
        <v>918</v>
      </c>
      <c r="B55" s="3321"/>
      <c r="C55" s="3321"/>
      <c r="D55" s="1998">
        <f ca="1">IF(H55="个人住宅",0,ROUND(D45*I55,0))</f>
        <v>0</v>
      </c>
      <c r="E55" s="1901" t="s">
        <v>919</v>
      </c>
      <c r="F55" s="2328" t="str">
        <f>IF(H55="正常",I55,"免征")</f>
        <v>免征</v>
      </c>
      <c r="G55" s="2329"/>
      <c r="H55" s="2319"/>
      <c r="I55" s="2361">
        <f>'数据-取费表'!B49</f>
        <v>5.0000000000000001E-4</v>
      </c>
      <c r="J55" s="580">
        <f>IF(H59="非个人房产","",4)</f>
        <v>4</v>
      </c>
      <c r="K55" s="3315" t="str">
        <f>IF(H59="非个人房产","——","个人所得税")</f>
        <v>个人所得税</v>
      </c>
      <c r="L55" s="3315"/>
      <c r="M55" s="2362">
        <f ca="1">D59</f>
        <v>6</v>
      </c>
      <c r="N55" s="561" t="str">
        <f>E59</f>
        <v>差额计税</v>
      </c>
      <c r="O55" s="2363">
        <f>F59</f>
        <v>0.01</v>
      </c>
    </row>
    <row r="56" spans="1:35" ht="24.75">
      <c r="A56" s="3320" t="s">
        <v>920</v>
      </c>
      <c r="B56" s="3321"/>
      <c r="C56" s="3321"/>
      <c r="D56" s="1998">
        <f ca="1">IF(H56="个人住宅",D57,D58)</f>
        <v>362</v>
      </c>
      <c r="E56" s="1901" t="s">
        <v>921</v>
      </c>
      <c r="F56" s="2328" t="str">
        <f>IF(H56="正常",F58,"免征")</f>
        <v>免征</v>
      </c>
      <c r="G56" s="2331" t="s">
        <v>922</v>
      </c>
      <c r="H56" s="2332"/>
      <c r="I56" s="2341"/>
      <c r="J56" s="580" t="str">
        <f>IF(项目基本情况!K6="上海银行",IF(J55="",4,J55+1),"")</f>
        <v/>
      </c>
      <c r="K56" s="3309" t="str">
        <f>IF(项目基本情况!K6="上海银行","其他处置费用","")</f>
        <v/>
      </c>
      <c r="L56" s="3325"/>
      <c r="M56" s="2358" t="str">
        <f>IF(项目基本情况!K6="上海银行",M69,"")</f>
        <v/>
      </c>
      <c r="N56" s="3309" t="str">
        <f>IF(项目基本情况!K6="上海银行","包含处置中涉及的律师、诉讼、拍卖、评估等费用","")</f>
        <v/>
      </c>
      <c r="O56" s="3310"/>
    </row>
    <row r="57" spans="1:35" ht="12.75">
      <c r="A57" s="2327" t="s">
        <v>893</v>
      </c>
      <c r="B57" s="3294" t="s">
        <v>923</v>
      </c>
      <c r="C57" s="3311"/>
      <c r="D57" s="2320">
        <v>0</v>
      </c>
      <c r="E57" s="1907" t="s">
        <v>895</v>
      </c>
      <c r="F57" s="1848"/>
      <c r="G57" s="2329"/>
      <c r="H57" s="2333"/>
      <c r="I57" s="2341"/>
      <c r="J57" s="3315">
        <f>IF(AND(J55="",J56=""),4,IF(项目基本情况!K6="上海银行",结果表!J56+1,结果表!J55+1))</f>
        <v>5</v>
      </c>
      <c r="K57" s="3315" t="s">
        <v>924</v>
      </c>
      <c r="L57" s="2364" t="s">
        <v>925</v>
      </c>
      <c r="M57" s="2365"/>
      <c r="N57" s="2366">
        <f ca="1">SUMIF(M52:M56,"&lt;9e307")</f>
        <v>368</v>
      </c>
      <c r="O57" s="2367"/>
      <c r="P57" s="2368">
        <f ca="1">N57/M49</f>
        <v>0.57499999999999996</v>
      </c>
    </row>
    <row r="58" spans="1:35" ht="24.75">
      <c r="A58" s="2327" t="s">
        <v>907</v>
      </c>
      <c r="B58" s="3294" t="s">
        <v>926</v>
      </c>
      <c r="C58" s="3295"/>
      <c r="D58" s="1998">
        <f ca="1">IF(H58="转让取得",C81,C97)</f>
        <v>362</v>
      </c>
      <c r="E58" s="1901" t="s">
        <v>921</v>
      </c>
      <c r="F58" s="1848" t="s">
        <v>124</v>
      </c>
      <c r="G58" s="2329"/>
      <c r="H58" s="2332"/>
      <c r="I58" s="2341"/>
      <c r="J58" s="3315"/>
      <c r="K58" s="3315"/>
      <c r="L58" s="2364" t="s">
        <v>927</v>
      </c>
      <c r="M58" s="2369"/>
      <c r="N58" s="2370" t="str">
        <f ca="1">NUMBERSTRING(INT(N57*10000),2)&amp;"元整"</f>
        <v>叁佰陆拾捌万元整</v>
      </c>
      <c r="O58" s="2371"/>
    </row>
    <row r="59" spans="1:35" ht="24">
      <c r="A59" s="3312" t="s">
        <v>928</v>
      </c>
      <c r="B59" s="3313"/>
      <c r="C59" s="3313"/>
      <c r="D59" s="2334">
        <f ca="1">IF(H59="非个人房产","——",IF(H59="个人住宅（满五唯一有凭证）",0,IF(H59="个人其他（无凭证）",ROUND(D45/(1+'数据-取费表'!C42)*F59,0),ROUND(C67*F59,0))))</f>
        <v>6</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16">
        <f>J57+1</f>
        <v>6</v>
      </c>
      <c r="K59" s="3315" t="s">
        <v>930</v>
      </c>
      <c r="L59" s="580" t="s">
        <v>925</v>
      </c>
      <c r="M59" s="2373"/>
      <c r="N59" s="2374">
        <f ca="1">M49-N57</f>
        <v>272</v>
      </c>
      <c r="O59" s="2375"/>
    </row>
    <row r="60" spans="1:35" ht="12" customHeight="1">
      <c r="A60" s="2339"/>
      <c r="B60" s="1991"/>
      <c r="C60" s="1991"/>
      <c r="D60" s="1991"/>
      <c r="E60" s="2340"/>
      <c r="F60" s="2341"/>
      <c r="G60" s="2341"/>
      <c r="H60" s="940"/>
      <c r="I60" s="939"/>
      <c r="J60" s="3317"/>
      <c r="K60" s="3315"/>
      <c r="L60" s="2364" t="s">
        <v>927</v>
      </c>
      <c r="M60" s="2369"/>
      <c r="N60" s="2370" t="str">
        <f ca="1">NUMBERSTRING(INT(N59*10000),2)&amp;"元整"</f>
        <v>贰佰柒拾贰万元整</v>
      </c>
      <c r="O60" s="2371"/>
    </row>
    <row r="61" spans="1:35" ht="12.75">
      <c r="A61" s="3314" t="s">
        <v>931</v>
      </c>
      <c r="B61" s="3314"/>
      <c r="C61" s="3314"/>
      <c r="D61" s="3314"/>
      <c r="E61" s="3314"/>
      <c r="F61" s="2341"/>
      <c r="G61" s="2341"/>
      <c r="H61" s="940"/>
      <c r="I61" s="939"/>
      <c r="J61" s="580">
        <f>J59+1</f>
        <v>7</v>
      </c>
      <c r="K61" s="3315" t="s">
        <v>932</v>
      </c>
      <c r="L61" s="3315"/>
      <c r="M61" s="2376"/>
      <c r="N61" s="2377">
        <f ca="1">ROUND(N59*10000/'数据-汇总表'!E3,0)</f>
        <v>8183</v>
      </c>
      <c r="O61" s="2378"/>
    </row>
    <row r="62" spans="1:35" ht="12.75">
      <c r="A62" s="3292" t="s">
        <v>933</v>
      </c>
      <c r="B62" s="3293"/>
      <c r="C62" s="532"/>
      <c r="D62" s="532" t="s">
        <v>934</v>
      </c>
      <c r="E62" s="2342" t="s">
        <v>888</v>
      </c>
      <c r="F62" s="2341"/>
      <c r="G62" s="2341"/>
      <c r="H62" s="940"/>
      <c r="I62" s="939"/>
    </row>
    <row r="63" spans="1:35" ht="12.75">
      <c r="A63" s="2343" t="s">
        <v>935</v>
      </c>
      <c r="B63" s="590" t="s">
        <v>936</v>
      </c>
      <c r="C63" s="2344">
        <f ca="1">ROUND((C64+C65)/(1+'数据-取费表'!C42),0)</f>
        <v>610</v>
      </c>
      <c r="D63" s="590"/>
      <c r="E63" s="2345"/>
      <c r="F63" s="2341"/>
      <c r="G63" s="2341"/>
      <c r="H63" s="940"/>
      <c r="I63" s="939"/>
      <c r="J63" s="3318" t="s">
        <v>937</v>
      </c>
      <c r="K63" s="2379" t="s">
        <v>938</v>
      </c>
      <c r="L63" s="2379">
        <f ca="1">IF(M49&gt;10000,M49*0.5%,IF(AND(M49&gt;1000,M49&lt;=10000),M49*1%,IF(AND(M49&gt;100,M49&lt;=1000),M49*3%,IF(AND(M49&gt;10,M49&lt;=100),M49*5%,M49*8%))))</f>
        <v>19.2</v>
      </c>
      <c r="M63" s="1848">
        <f ca="1">ROUND(L63,1)</f>
        <v>19.2</v>
      </c>
      <c r="N63" s="2380"/>
      <c r="Z63" s="2218"/>
      <c r="AI63" s="2217"/>
    </row>
    <row r="64" spans="1:35" ht="14.25" customHeight="1">
      <c r="A64" s="2346" t="s">
        <v>939</v>
      </c>
      <c r="B64" s="513" t="s">
        <v>940</v>
      </c>
      <c r="C64" s="2347">
        <f ca="1">D45</f>
        <v>640</v>
      </c>
      <c r="D64" s="513" t="s">
        <v>124</v>
      </c>
      <c r="E64" s="2348"/>
      <c r="F64" s="2341"/>
      <c r="G64" s="2341"/>
      <c r="H64" s="940"/>
      <c r="I64" s="939"/>
      <c r="J64" s="3318"/>
      <c r="K64" s="2379" t="s">
        <v>941</v>
      </c>
      <c r="L64" s="2379">
        <f ca="1">IF(M49&gt;2000,M49*0.5%,IF(AND(M49&gt;1000,M49&lt;=2000),M49*0.6%,IF(AND(M49&gt;500,M49&lt;=1000),M49*0.7%,IF(AND(M49&gt;200,M49&lt;=500),M49*0.8%,IF(AND(M49&gt;100,M49&lt;=200),M49*0.9%,IF(AND(M49&gt;50,M49&lt;=100),M49*1%,IF(AND(M49&gt;20,M49&lt;=50),M49*1.5%,IF(AND(M49&gt;10,M49&lt;=20),M49*2%,IF(AND(M49&gt;1,M49&lt;=10),M49*2.5%)))))))))</f>
        <v>4.4799999999999995</v>
      </c>
      <c r="M64" s="1848">
        <f t="shared" ref="M64:M65" ca="1" si="1">ROUND(L64,1)</f>
        <v>4.5</v>
      </c>
      <c r="N64" s="2012" t="s">
        <v>942</v>
      </c>
      <c r="Z64" s="2218"/>
      <c r="AI64" s="2217"/>
    </row>
    <row r="65" spans="1:35" ht="14.25" customHeight="1">
      <c r="A65" s="2346" t="s">
        <v>943</v>
      </c>
      <c r="B65" s="513" t="s">
        <v>944</v>
      </c>
      <c r="C65" s="2382"/>
      <c r="D65" s="513"/>
      <c r="E65" s="2348"/>
      <c r="F65" s="2341"/>
      <c r="G65" s="2341"/>
      <c r="H65" s="940"/>
      <c r="I65" s="939"/>
      <c r="J65" s="3318"/>
      <c r="K65" s="2379" t="s">
        <v>945</v>
      </c>
      <c r="L65" s="2379">
        <f ca="1">IF(M49&gt;1000,M49*0.1%,IF(AND(M49&gt;500,M49&lt;=1000),M49*0.5%,IF(AND(M49&gt;50,M49&lt;=500),M49*1%,IF(AND(M49&gt;1,M49&lt;=50),M49*1.5%))))</f>
        <v>3.2</v>
      </c>
      <c r="M65" s="1848">
        <f t="shared" ca="1" si="1"/>
        <v>3.2</v>
      </c>
      <c r="N65" s="2012" t="s">
        <v>942</v>
      </c>
      <c r="Z65" s="2218"/>
      <c r="AI65" s="2217"/>
    </row>
    <row r="66" spans="1:35" ht="14.25" customHeight="1">
      <c r="A66" s="2343" t="s">
        <v>946</v>
      </c>
      <c r="B66" s="2383" t="s">
        <v>947</v>
      </c>
      <c r="C66" s="2384"/>
      <c r="D66" s="2383" t="s">
        <v>124</v>
      </c>
      <c r="E66" s="2385" t="s">
        <v>948</v>
      </c>
      <c r="F66" s="2341"/>
      <c r="G66" s="2341"/>
      <c r="H66" s="940"/>
      <c r="I66" s="939"/>
      <c r="J66" s="3318"/>
      <c r="K66" s="2379" t="s">
        <v>949</v>
      </c>
      <c r="L66" s="2379">
        <f ca="1">M49*0.5%</f>
        <v>3.2</v>
      </c>
      <c r="M66" s="1848">
        <f ca="1">IF(L66&gt;0.5,0.5,ROUND(L66,0))</f>
        <v>0.5</v>
      </c>
      <c r="N66" s="2012" t="s">
        <v>950</v>
      </c>
      <c r="Z66" s="2218"/>
      <c r="AI66" s="2217"/>
    </row>
    <row r="67" spans="1:35" ht="14.25" customHeight="1">
      <c r="A67" s="2343" t="s">
        <v>951</v>
      </c>
      <c r="B67" s="2383" t="s">
        <v>952</v>
      </c>
      <c r="C67" s="2386">
        <f ca="1">C63-C66</f>
        <v>610</v>
      </c>
      <c r="D67" s="513" t="s">
        <v>124</v>
      </c>
      <c r="E67" s="2348"/>
      <c r="F67" s="2341"/>
      <c r="G67" s="2341"/>
      <c r="H67" s="940"/>
      <c r="I67" s="939"/>
      <c r="J67" s="3318"/>
      <c r="K67" s="2379" t="s">
        <v>953</v>
      </c>
      <c r="L67" s="2379">
        <f ca="1">IF(M49&gt;=10000,(8.25+(M49-10000)*0.01%),IF(AND(M49&gt;=8000,M49&lt;10000),(7.85+(M49-8000)*0.02%),IF(AND(M49&gt;=5000,M49&lt;8000),(6.65+(M49-5000)*0.04%),IF(AND(M49&gt;=2000,M49&lt;5000),(4.25+(PM49-2000)*0.08%),IF(AND(M49&gt;=1000,M49&lt;2000),(2.75+(M49-1000)*0.15%),IF(AND(M49&gt;=100,M49&lt;1000),(0.5+(M49-100)*0.25%),IF(AND(M49&gt;0,M49&lt;100),M49*0.5%)))))))</f>
        <v>1.85</v>
      </c>
      <c r="M67" s="1848">
        <f ca="1">ROUND(L67*0.9,1)</f>
        <v>1.7</v>
      </c>
      <c r="N67" s="2380"/>
      <c r="Z67" s="2218"/>
      <c r="AI67" s="2217"/>
    </row>
    <row r="68" spans="1:35" ht="14.25" customHeight="1">
      <c r="A68" s="2387" t="s">
        <v>954</v>
      </c>
      <c r="B68" s="2388" t="s">
        <v>955</v>
      </c>
      <c r="C68" s="2389">
        <f ca="1">IF(C67&lt;=0,0,ROUND(C67*D68,0))</f>
        <v>34</v>
      </c>
      <c r="D68" s="775">
        <f>'数据-取费表'!B41</f>
        <v>5.6000000000000001E-2</v>
      </c>
      <c r="E68" s="2390"/>
      <c r="F68" s="2341"/>
      <c r="G68" s="2341"/>
      <c r="H68" s="940"/>
      <c r="I68" s="939"/>
      <c r="J68" s="3318"/>
      <c r="K68" s="2379" t="s">
        <v>956</v>
      </c>
      <c r="L68" s="2379">
        <f ca="1">IF(M49&gt;10000,M49*0.5%,IF(AND(M49&gt;5000,M49&lt;=10000),M49*1%,IF(AND(M49&gt;1000,M49&lt;=5000),M49*2%,IF(AND(M49&gt;200,M49&lt;=1000),M49*3%,M49*5%))))</f>
        <v>19.2</v>
      </c>
      <c r="M68" s="1848">
        <f ca="1">ROUND(L68,1)</f>
        <v>19.2</v>
      </c>
      <c r="N68" s="2380"/>
      <c r="Z68" s="2218"/>
      <c r="AI68" s="2217"/>
    </row>
    <row r="69" spans="1:35" ht="16.5" customHeight="1">
      <c r="A69" s="2391"/>
      <c r="B69" s="2392"/>
      <c r="C69" s="2393"/>
      <c r="D69" s="697"/>
      <c r="E69" s="2394"/>
      <c r="F69" s="2340"/>
      <c r="G69" s="2340"/>
      <c r="H69" s="2301"/>
      <c r="I69" s="1991"/>
      <c r="J69" s="3318"/>
      <c r="K69" s="2379" t="s">
        <v>957</v>
      </c>
      <c r="L69" s="2379"/>
      <c r="M69" s="1848">
        <f ca="1">ROUND(SUM(M63:M68),0)</f>
        <v>48</v>
      </c>
      <c r="N69" s="2454">
        <f ca="1">M69/M49</f>
        <v>7.4999999999999997E-2</v>
      </c>
      <c r="Z69" s="2218"/>
      <c r="AI69" s="2217"/>
    </row>
    <row r="70" spans="1:35" s="880" customFormat="1" ht="14.25">
      <c r="A70" s="3290" t="s">
        <v>958</v>
      </c>
      <c r="B70" s="3291"/>
      <c r="C70" s="3291"/>
      <c r="D70" s="3291"/>
      <c r="E70" s="3291"/>
      <c r="F70" s="3291"/>
      <c r="G70" s="3291"/>
      <c r="H70" s="3291"/>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2" t="s">
        <v>933</v>
      </c>
      <c r="B71" s="3293"/>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610</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4</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4" t="s">
        <v>968</v>
      </c>
      <c r="F76" s="3295"/>
      <c r="G76" s="3295"/>
      <c r="H76" s="3296"/>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4</v>
      </c>
      <c r="D78" s="2409">
        <f>'数据-取费表'!B43</f>
        <v>6.000000000000001E-3</v>
      </c>
      <c r="E78" s="3272" t="s">
        <v>973</v>
      </c>
      <c r="F78" s="3273"/>
      <c r="G78" s="3273"/>
      <c r="H78" s="3274"/>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606</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151.5</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362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0" t="s">
        <v>978</v>
      </c>
      <c r="B83" s="3291"/>
      <c r="C83" s="3291"/>
      <c r="D83" s="3291"/>
      <c r="E83" s="3291"/>
      <c r="F83" s="3291"/>
      <c r="G83" s="3291"/>
      <c r="H83" s="3291"/>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2" t="s">
        <v>933</v>
      </c>
      <c r="B84" s="3293"/>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610</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4</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04" t="s">
        <v>986</v>
      </c>
      <c r="H90" s="3305"/>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2" t="s">
        <v>990</v>
      </c>
      <c r="F91" s="3273"/>
      <c r="G91" s="3273"/>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2" t="s">
        <v>993</v>
      </c>
      <c r="F92" s="3273"/>
      <c r="G92" s="3273"/>
      <c r="H92" s="3274"/>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4</v>
      </c>
      <c r="D93" s="2409">
        <f>'数据-取费表'!B43</f>
        <v>6.000000000000001E-3</v>
      </c>
      <c r="E93" s="3272" t="s">
        <v>973</v>
      </c>
      <c r="F93" s="3273"/>
      <c r="G93" s="3273"/>
      <c r="H93" s="3274"/>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75" t="s">
        <v>998</v>
      </c>
      <c r="F94" s="3276"/>
      <c r="G94" s="3276"/>
      <c r="H94" s="3277"/>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606</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151.5</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362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0" t="s">
        <v>1000</v>
      </c>
      <c r="B100" s="3251"/>
      <c r="C100" s="3251"/>
      <c r="D100" s="3278"/>
      <c r="E100" s="3251" t="s">
        <v>1001</v>
      </c>
      <c r="F100" s="3251"/>
      <c r="G100" s="3251"/>
      <c r="H100" s="3278"/>
      <c r="I100" s="939"/>
    </row>
    <row r="101" spans="1:35" ht="18.75" customHeight="1">
      <c r="A101" s="3279" t="s">
        <v>1002</v>
      </c>
      <c r="B101" s="3280"/>
      <c r="C101" s="2431" t="str">
        <f>C4</f>
        <v>比较法-办公</v>
      </c>
      <c r="D101" s="2432" t="str">
        <f>D4</f>
        <v>成本法 (元)</v>
      </c>
      <c r="E101" s="3303" t="s">
        <v>1003</v>
      </c>
      <c r="F101" s="3298"/>
      <c r="G101" s="2434" t="s">
        <v>1004</v>
      </c>
      <c r="H101" s="2435">
        <f ca="1">H118</f>
        <v>640</v>
      </c>
      <c r="I101" s="939"/>
    </row>
    <row r="102" spans="1:35" ht="18.75" customHeight="1">
      <c r="A102" s="3263" t="s">
        <v>1005</v>
      </c>
      <c r="B102" s="2436" t="s">
        <v>1004</v>
      </c>
      <c r="C102" s="2431">
        <f ca="1">IF(D32="楼面单价",ROUND(C19,0),C19)</f>
        <v>656</v>
      </c>
      <c r="D102" s="2432">
        <f ca="1">IF(D32="楼面单价",ROUND(D19,0),D19)</f>
        <v>624</v>
      </c>
      <c r="E102" s="3303"/>
      <c r="F102" s="3298"/>
      <c r="G102" s="2434" t="s">
        <v>99</v>
      </c>
      <c r="H102" s="2329">
        <f ca="1">I118</f>
        <v>19251</v>
      </c>
      <c r="I102" s="939"/>
    </row>
    <row r="103" spans="1:35" ht="42.75" customHeight="1">
      <c r="A103" s="3263"/>
      <c r="B103" s="2436" t="s">
        <v>99</v>
      </c>
      <c r="C103" s="2437">
        <f ca="1">C20</f>
        <v>19740</v>
      </c>
      <c r="D103" s="2438">
        <f ca="1">D20</f>
        <v>18762</v>
      </c>
      <c r="E103" s="3281" t="s">
        <v>1006</v>
      </c>
      <c r="F103" s="3282"/>
      <c r="G103" s="2439" t="s">
        <v>102</v>
      </c>
      <c r="H103" s="2435">
        <f>IF(D36="正常操作",H104+H105+H106,H105+H106)</f>
        <v>0</v>
      </c>
      <c r="I103" s="939"/>
    </row>
    <row r="104" spans="1:35" ht="18.75" customHeight="1">
      <c r="A104" s="3263" t="s">
        <v>1007</v>
      </c>
      <c r="B104" s="2440" t="s">
        <v>1004</v>
      </c>
      <c r="C104" s="2441">
        <f ca="1">H118</f>
        <v>640</v>
      </c>
      <c r="D104" s="2442"/>
      <c r="E104" s="2286" t="s">
        <v>1008</v>
      </c>
      <c r="F104" s="2443"/>
      <c r="G104" s="2439" t="s">
        <v>102</v>
      </c>
      <c r="H104" s="2444">
        <f>IF(D36="同一抵押权人同一抵押物续贷",C36&amp;"（续贷，未扣减，详见特别提示）",C36)</f>
        <v>0</v>
      </c>
      <c r="I104" s="939"/>
    </row>
    <row r="105" spans="1:35" ht="18.75" customHeight="1">
      <c r="A105" s="3264"/>
      <c r="B105" s="2445" t="s">
        <v>99</v>
      </c>
      <c r="C105" s="2446">
        <f ca="1">I118</f>
        <v>19251</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297" t="str">
        <f>IF(项目基本情况!E8="已注销","——","3.房地产抵押价值")</f>
        <v>3.房地产抵押价值</v>
      </c>
      <c r="F107" s="3298"/>
      <c r="G107" s="2434" t="s">
        <v>1004</v>
      </c>
      <c r="H107" s="2435">
        <f ca="1">IF(E107="——","——",H101-H103)</f>
        <v>640</v>
      </c>
      <c r="I107" s="939"/>
    </row>
    <row r="108" spans="1:35" ht="18.75" customHeight="1">
      <c r="A108" s="939"/>
      <c r="B108" s="939"/>
      <c r="C108" s="939"/>
      <c r="D108" s="939"/>
      <c r="E108" s="3297"/>
      <c r="F108" s="3298"/>
      <c r="G108" s="2434" t="s">
        <v>99</v>
      </c>
      <c r="H108" s="2329">
        <f ca="1">IF(H107=H101,H102,ROUND(H107*10000/'数据-汇总表'!E3,0))</f>
        <v>19251</v>
      </c>
      <c r="I108" s="939"/>
    </row>
    <row r="109" spans="1:35" ht="18.75" customHeight="1">
      <c r="A109" s="939"/>
      <c r="B109" s="939"/>
      <c r="C109" s="939"/>
      <c r="D109" s="939"/>
      <c r="E109" s="3297" t="str">
        <f>IF(项目基本情况!E8="已注销及未注销","4.抵押担保权已注销时的房地产抵押价值",IF(项目基本情况!E8="已注销","3.抵押担保权已注销时的房地产抵押价值","——"))</f>
        <v>——</v>
      </c>
      <c r="F109" s="3298"/>
      <c r="G109" s="2434" t="s">
        <v>1004</v>
      </c>
      <c r="H109" s="2450" t="str">
        <f>IF(E109="——","——",H101-H105-H106)</f>
        <v>——</v>
      </c>
      <c r="I109" s="939"/>
    </row>
    <row r="110" spans="1:35" ht="18.75" customHeight="1">
      <c r="A110" s="939"/>
      <c r="B110" s="939"/>
      <c r="C110" s="939"/>
      <c r="D110" s="939"/>
      <c r="E110" s="3297"/>
      <c r="F110" s="3298"/>
      <c r="G110" s="2434" t="s">
        <v>99</v>
      </c>
      <c r="H110" s="2329" t="str">
        <f>IF(H109="——","——",ROUND(H109*10000/'数据-汇总表'!E3,0))</f>
        <v>——</v>
      </c>
      <c r="I110" s="939"/>
    </row>
    <row r="111" spans="1:35" ht="18.75" customHeight="1">
      <c r="A111" s="939"/>
      <c r="B111" s="939"/>
      <c r="C111" s="939"/>
      <c r="D111" s="939"/>
      <c r="E111" s="3299" t="str">
        <f>IF(项目基本情况!E9="抵押净值",IF(OR(项目基本情况!E8="已注销",项目基本情况!E8="房地产抵押价值"),"4.抵押净值","5.抵押净值"),"——")</f>
        <v>——</v>
      </c>
      <c r="F111" s="3300"/>
      <c r="G111" s="2434" t="s">
        <v>1004</v>
      </c>
      <c r="H111" s="2435" t="str">
        <f>IF(E111="——","——",N59)</f>
        <v>——</v>
      </c>
      <c r="I111" s="939"/>
    </row>
    <row r="112" spans="1:35" ht="18.75" customHeight="1">
      <c r="A112" s="939"/>
      <c r="B112" s="939"/>
      <c r="C112" s="939"/>
      <c r="D112" s="939"/>
      <c r="E112" s="3301"/>
      <c r="F112" s="3302"/>
      <c r="G112" s="2451" t="s">
        <v>99</v>
      </c>
      <c r="H112" s="2452" t="str">
        <f>IF(E111="——","——",N61)</f>
        <v>——</v>
      </c>
      <c r="I112" s="939"/>
    </row>
    <row r="113" spans="1:27" ht="18.75" customHeight="1">
      <c r="A113" s="939"/>
      <c r="B113" s="939"/>
      <c r="C113" s="939"/>
      <c r="D113" s="939"/>
      <c r="E113" s="3283" t="s">
        <v>1010</v>
      </c>
      <c r="F113" s="3283"/>
      <c r="G113" s="3283"/>
      <c r="H113" s="3283"/>
      <c r="I113" s="939"/>
    </row>
    <row r="114" spans="1:27" ht="3.75" customHeight="1">
      <c r="A114" s="1991"/>
      <c r="B114" s="1991"/>
      <c r="C114" s="1991"/>
      <c r="D114" s="1991"/>
      <c r="E114" s="2339"/>
      <c r="F114" s="2339"/>
      <c r="G114" s="2339"/>
      <c r="H114" s="2339"/>
      <c r="I114" s="1991"/>
    </row>
    <row r="115" spans="1:27" ht="18.75" customHeight="1">
      <c r="A115" s="3284" t="s">
        <v>1012</v>
      </c>
      <c r="B115" s="3285"/>
      <c r="C115" s="3285"/>
      <c r="D115" s="3285"/>
      <c r="E115" s="3285"/>
      <c r="F115" s="3285"/>
      <c r="G115" s="3285"/>
      <c r="H115" s="3285"/>
      <c r="I115" s="3286"/>
    </row>
    <row r="116" spans="1:27" ht="27" customHeight="1">
      <c r="A116" s="3257" t="s">
        <v>1013</v>
      </c>
      <c r="B116" s="3266" t="s">
        <v>1014</v>
      </c>
      <c r="C116" s="3266" t="s">
        <v>1015</v>
      </c>
      <c r="D116" s="3287" t="s">
        <v>1016</v>
      </c>
      <c r="E116" s="3288"/>
      <c r="F116" s="3289" t="s">
        <v>1017</v>
      </c>
      <c r="G116" s="3289"/>
      <c r="H116" s="3257" t="s">
        <v>1018</v>
      </c>
      <c r="I116" s="3257"/>
    </row>
    <row r="117" spans="1:27" ht="18.75" customHeight="1">
      <c r="A117" s="3257"/>
      <c r="B117" s="3267"/>
      <c r="C117" s="3267"/>
      <c r="D117" s="872" t="s">
        <v>1019</v>
      </c>
      <c r="E117" s="872" t="s">
        <v>848</v>
      </c>
      <c r="F117" s="872" t="s">
        <v>1019</v>
      </c>
      <c r="G117" s="872" t="s">
        <v>848</v>
      </c>
      <c r="H117" s="872" t="s">
        <v>1019</v>
      </c>
      <c r="I117" s="872" t="s">
        <v>848</v>
      </c>
    </row>
    <row r="118" spans="1:27" ht="24.75" customHeight="1">
      <c r="A118" s="2453" t="str">
        <f>项目基本情况!S2</f>
        <v>北京市房地产</v>
      </c>
      <c r="B118" s="872">
        <f>M18</f>
        <v>332.39</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640</v>
      </c>
      <c r="I118" s="872">
        <f ca="1">ROUND(IF(D32="楼面单价",C32,H118*10000/B118),0)</f>
        <v>19251</v>
      </c>
    </row>
    <row r="119" spans="1:27" ht="18.75" customHeight="1">
      <c r="A119" s="3257" t="s">
        <v>1020</v>
      </c>
      <c r="B119" s="3257"/>
      <c r="C119" s="3257"/>
      <c r="D119" s="3269" t="e">
        <f ca="1">NUMBERSTRING(INT(D118*10000),2)&amp;"元整"</f>
        <v>#REF!</v>
      </c>
      <c r="E119" s="3271"/>
      <c r="F119" s="3269" t="e">
        <f ca="1">NUMBERSTRING(INT(F118*10000),2)&amp;"元整"</f>
        <v>#REF!</v>
      </c>
      <c r="G119" s="3271"/>
      <c r="H119" s="3269" t="str">
        <f ca="1">NUMBERSTRING(INT(H118*10000),2)&amp;"元整"</f>
        <v>陆佰肆拾万元整</v>
      </c>
      <c r="I119" s="3271"/>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69" t="s">
        <v>1020</v>
      </c>
      <c r="B121" s="3270"/>
      <c r="C121" s="3271"/>
      <c r="D121" s="3269" t="str">
        <f>IF(D120=0,"零元整",NUMBERSTRING(INT(D120*10000),2)&amp;"元整")</f>
        <v>零元整</v>
      </c>
      <c r="E121" s="3270"/>
      <c r="F121" s="3270"/>
      <c r="G121" s="3270"/>
      <c r="H121" s="3270"/>
      <c r="I121" s="3271"/>
      <c r="AA121" s="898"/>
    </row>
    <row r="122" spans="1:27" ht="18.75" customHeight="1">
      <c r="A122" s="3300" t="str">
        <f>IF(项目基本情况!B9="房地产市场价值","",MID(E107,3,LEN(E107)-2))</f>
        <v>房地产抵押价值</v>
      </c>
      <c r="B122" s="3300"/>
      <c r="C122" s="3300"/>
      <c r="D122" s="3306">
        <f ca="1">H107</f>
        <v>640</v>
      </c>
      <c r="E122" s="3307"/>
      <c r="F122" s="3307"/>
      <c r="G122" s="3307"/>
      <c r="H122" s="3307"/>
      <c r="I122" s="3308"/>
      <c r="AA122" s="898"/>
    </row>
    <row r="123" spans="1:27" ht="18.75" customHeight="1">
      <c r="A123" s="3257" t="s">
        <v>1020</v>
      </c>
      <c r="B123" s="3257"/>
      <c r="C123" s="3257"/>
      <c r="D123" s="3269" t="str">
        <f ca="1">NUMBERSTRING(INT(D122*10000),2)&amp;"元整"</f>
        <v>陆佰肆拾万元整</v>
      </c>
      <c r="E123" s="3270"/>
      <c r="F123" s="3270"/>
      <c r="G123" s="3270"/>
      <c r="H123" s="3270"/>
      <c r="I123" s="3271"/>
      <c r="AA123" s="898"/>
    </row>
    <row r="124" spans="1:27" ht="18.75" customHeight="1">
      <c r="A124" s="3300" t="str">
        <f>IF(项目基本情况!B9="房地产市场价值","",MID(E109,3,LEN(E109)-2))</f>
        <v/>
      </c>
      <c r="B124" s="3300"/>
      <c r="C124" s="3300"/>
      <c r="D124" s="3306" t="str">
        <f>H109</f>
        <v>——</v>
      </c>
      <c r="E124" s="3307"/>
      <c r="F124" s="3307"/>
      <c r="G124" s="3307"/>
      <c r="H124" s="3307"/>
      <c r="I124" s="3308"/>
      <c r="AA124" s="898"/>
    </row>
    <row r="125" spans="1:27" ht="18.75" customHeight="1">
      <c r="A125" s="3257" t="s">
        <v>1020</v>
      </c>
      <c r="B125" s="3257"/>
      <c r="C125" s="3257"/>
      <c r="D125" s="3269" t="e">
        <f>NUMBERSTRING(INT(D124*10000),2)&amp;"元整"</f>
        <v>#VALUE!</v>
      </c>
      <c r="E125" s="3270"/>
      <c r="F125" s="3270"/>
      <c r="G125" s="3270"/>
      <c r="H125" s="3270"/>
      <c r="I125" s="3271"/>
      <c r="AA125" s="898"/>
    </row>
    <row r="126" spans="1:27" ht="18.75" customHeight="1">
      <c r="A126" s="3300" t="str">
        <f>IF(项目基本情况!B9="房地产市场价值","",MID(E111,3,LEN(E111)-2))</f>
        <v/>
      </c>
      <c r="B126" s="3300"/>
      <c r="C126" s="3300"/>
      <c r="D126" s="3306" t="str">
        <f>H111</f>
        <v>——</v>
      </c>
      <c r="E126" s="3307"/>
      <c r="F126" s="3307"/>
      <c r="G126" s="3307"/>
      <c r="H126" s="3307"/>
      <c r="I126" s="3308"/>
      <c r="AA126" s="898"/>
    </row>
    <row r="127" spans="1:27" ht="18.75" customHeight="1">
      <c r="A127" s="3257" t="s">
        <v>1020</v>
      </c>
      <c r="B127" s="3257"/>
      <c r="C127" s="3257"/>
      <c r="D127" s="3269" t="e">
        <f>NUMBERSTRING(INT(D126*10000),2)&amp;"元整"</f>
        <v>#VALUE!</v>
      </c>
      <c r="E127" s="3270"/>
      <c r="F127" s="3270"/>
      <c r="G127" s="3270"/>
      <c r="H127" s="3270"/>
      <c r="I127" s="3271"/>
      <c r="AA127" s="898"/>
    </row>
    <row r="128" spans="1:27" ht="21.75" customHeight="1">
      <c r="A128" s="3256" t="s">
        <v>113</v>
      </c>
      <c r="B128" s="3256"/>
      <c r="C128" s="3256"/>
      <c r="D128" s="3256"/>
      <c r="E128" s="3256"/>
      <c r="F128" s="3256"/>
      <c r="G128" s="3256"/>
      <c r="H128" s="3256"/>
      <c r="I128" s="3256"/>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178</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5355</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7</v>
      </c>
      <c r="D10" s="369">
        <f ca="1">IF(B1="",'数据-汇总表'!E6,IF(INDIRECT("'数据-取费表'!c"&amp;$G$1)="住宅",INDIRECT("'数据-取费表'!s"&amp;$G$1),INDIRECT("'数据-取费表'!k"&amp;$G$1)+INDIRECT("'数据-取费表'!s"&amp;$G$1)))</f>
        <v>332.39</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7</v>
      </c>
      <c r="D19" s="354">
        <f ca="1">D9+D10</f>
        <v>332.39</v>
      </c>
      <c r="E19" s="353">
        <f>'数据-取费表'!B31</f>
        <v>200</v>
      </c>
      <c r="F19" s="375"/>
      <c r="G19" s="2212"/>
    </row>
    <row r="20" spans="1:7" s="333" customFormat="1" ht="13.5" customHeight="1">
      <c r="A20" s="351" t="s">
        <v>1067</v>
      </c>
      <c r="B20" s="352" t="s">
        <v>1068</v>
      </c>
      <c r="C20" s="376">
        <f ca="1">ROUND((C5+C19)*F20,0)</f>
        <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0</v>
      </c>
      <c r="D22" s="379">
        <f ca="1">C26</f>
        <v>5.0000000000000001E-4</v>
      </c>
      <c r="E22" s="380" t="s">
        <v>1072</v>
      </c>
      <c r="F22" s="383">
        <f ca="1">'数据-取费表'!B40</f>
        <v>3.0599999999999999E-2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0</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0</v>
      </c>
      <c r="D25" s="386"/>
      <c r="E25" s="389"/>
      <c r="F25" s="387"/>
      <c r="G25" s="390" t="s">
        <v>1081</v>
      </c>
    </row>
    <row r="26" spans="1:7" s="333" customFormat="1">
      <c r="A26" s="384" t="s">
        <v>1082</v>
      </c>
      <c r="B26" s="357" t="s">
        <v>1083</v>
      </c>
      <c r="C26" s="386">
        <f ca="1">ROUND(IF('数据-取费表'!B22&lt;=1,F21*F22*'数据-取费表'!B23/2,F21*(POWER((1+F22),'数据-取费表'!B23/2)-1)),4)</f>
        <v>5.0000000000000001E-4</v>
      </c>
      <c r="D26" s="386"/>
      <c r="E26" s="389"/>
      <c r="F26" s="387"/>
      <c r="G26" s="391"/>
    </row>
    <row r="27" spans="1:7" s="333" customFormat="1" ht="24.75">
      <c r="A27" s="351" t="s">
        <v>1084</v>
      </c>
      <c r="B27" s="392" t="s">
        <v>1085</v>
      </c>
      <c r="C27" s="393">
        <f ca="1">C28</f>
        <v>1</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1</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9</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168</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150</v>
      </c>
      <c r="D34" s="359"/>
      <c r="E34" s="362"/>
      <c r="F34" s="405">
        <f ca="1">IF('数据-取费表'!B24=0,1,IF(B1="",'数据-取费表'!N16,INDIRECT("'数据-取费表'!n"&amp;$G$1)))</f>
        <v>1</v>
      </c>
      <c r="G34" s="361" t="s">
        <v>1097</v>
      </c>
    </row>
    <row r="35" spans="1:7" ht="13.5" customHeight="1">
      <c r="A35" s="384" t="s">
        <v>1040</v>
      </c>
      <c r="B35" s="357" t="s">
        <v>1098</v>
      </c>
      <c r="C35" s="362">
        <f ca="1">ROUND(C34*F35,0)</f>
        <v>8</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7</v>
      </c>
      <c r="D37" s="359">
        <f ca="1">D19</f>
        <v>332.39</v>
      </c>
      <c r="E37" s="397">
        <f>'数据-取费表'!B35</f>
        <v>200</v>
      </c>
      <c r="F37" s="406"/>
      <c r="G37" s="408" t="s">
        <v>1103</v>
      </c>
    </row>
    <row r="38" spans="1:7" ht="13.5" customHeight="1">
      <c r="A38" s="384" t="s">
        <v>1104</v>
      </c>
      <c r="B38" s="357" t="s">
        <v>970</v>
      </c>
      <c r="C38" s="362">
        <f ca="1">ROUND(C34*F38,0)</f>
        <v>3</v>
      </c>
      <c r="D38" s="362"/>
      <c r="E38" s="362"/>
      <c r="F38" s="406">
        <f>'数据-取费表'!B36</f>
        <v>0.02</v>
      </c>
      <c r="G38" s="361" t="s">
        <v>1099</v>
      </c>
    </row>
    <row r="39" spans="1:7" s="333" customFormat="1" ht="13.5" customHeight="1">
      <c r="A39" s="351" t="s">
        <v>1065</v>
      </c>
      <c r="B39" s="352" t="s">
        <v>1068</v>
      </c>
      <c r="C39" s="376">
        <f ca="1">ROUND(C33*F20,0)</f>
        <v>5</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4</v>
      </c>
      <c r="D41" s="379">
        <f ca="1">C44</f>
        <v>5.0000000000000001E-4</v>
      </c>
      <c r="E41" s="380" t="s">
        <v>1106</v>
      </c>
      <c r="F41" s="383">
        <f ca="1">F22</f>
        <v>3.0599999999999999E-2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4</v>
      </c>
      <c r="D42" s="386"/>
      <c r="E42" s="386"/>
      <c r="F42" s="387"/>
      <c r="G42" s="3350" t="s">
        <v>1108</v>
      </c>
    </row>
    <row r="43" spans="1:7" ht="13.5" customHeight="1">
      <c r="A43" s="384" t="s">
        <v>1040</v>
      </c>
      <c r="B43" s="357" t="s">
        <v>1078</v>
      </c>
      <c r="C43" s="386">
        <f ca="1">ROUND(IF('数据-取费表'!B22&lt;=1,C39*F22*'数据-取费表'!B21/2,C39*(POWER((1+F22),'数据-取费表'!B21/2)-1)),0)</f>
        <v>0</v>
      </c>
      <c r="D43" s="386"/>
      <c r="E43" s="386"/>
      <c r="F43" s="387"/>
      <c r="G43" s="3351"/>
    </row>
    <row r="44" spans="1:7" ht="13.5" customHeight="1">
      <c r="A44" s="384" t="s">
        <v>1042</v>
      </c>
      <c r="B44" s="357" t="s">
        <v>1080</v>
      </c>
      <c r="C44" s="386">
        <f ca="1">ROUND(IF('数据-取费表'!B22&lt;=1,C40*F22*'数据-取费表'!B21/2,C40*(POWER((1+F22),'数据-取费表'!B21/2)-1)),4)</f>
        <v>5.0000000000000001E-4</v>
      </c>
      <c r="D44" s="386"/>
      <c r="E44" s="386"/>
      <c r="F44" s="387"/>
      <c r="G44" s="3352"/>
    </row>
    <row r="45" spans="1:7" s="333" customFormat="1" ht="13.5" customHeight="1">
      <c r="A45" s="351" t="s">
        <v>1074</v>
      </c>
      <c r="B45" s="392" t="s">
        <v>1085</v>
      </c>
      <c r="C45" s="393">
        <f ca="1">C46</f>
        <v>26</v>
      </c>
      <c r="D45" s="379">
        <f ca="1">C47</f>
        <v>3.0000000000000001E-3</v>
      </c>
      <c r="E45" s="380" t="s">
        <v>1106</v>
      </c>
      <c r="F45" s="394">
        <f ca="1">F27</f>
        <v>0.15</v>
      </c>
      <c r="G45" s="395" t="s">
        <v>1109</v>
      </c>
    </row>
    <row r="46" spans="1:7" s="333" customFormat="1" ht="13.5" customHeight="1">
      <c r="A46" s="384" t="s">
        <v>1038</v>
      </c>
      <c r="B46" s="396" t="s">
        <v>1110</v>
      </c>
      <c r="C46" s="397">
        <f ca="1">ROUND((C33+C39)*F27,0)</f>
        <v>26</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220</v>
      </c>
      <c r="D49" s="376"/>
      <c r="E49" s="376"/>
      <c r="F49" s="411"/>
      <c r="G49" s="381" t="s">
        <v>1114</v>
      </c>
    </row>
    <row r="50" spans="1:7" s="335" customFormat="1" ht="24">
      <c r="A50" s="351" t="s">
        <v>1115</v>
      </c>
      <c r="B50" s="352" t="s">
        <v>1116</v>
      </c>
      <c r="C50" s="376"/>
      <c r="D50" s="376"/>
      <c r="E50" s="376"/>
      <c r="F50" s="411">
        <f>IF('数据-取费表'!B24=0,'数据-取费表'!N16,1)</f>
        <v>0.77</v>
      </c>
      <c r="G50" s="395" t="s">
        <v>1117</v>
      </c>
    </row>
    <row r="51" spans="1:7" ht="16.5" customHeight="1">
      <c r="A51" s="351" t="s">
        <v>1118</v>
      </c>
      <c r="B51" s="352" t="s">
        <v>1119</v>
      </c>
      <c r="C51" s="376">
        <f ca="1">ROUND(C49*F50,0)</f>
        <v>169</v>
      </c>
      <c r="D51" s="376"/>
      <c r="E51" s="376"/>
      <c r="F51" s="411"/>
      <c r="G51" s="381" t="s">
        <v>1120</v>
      </c>
    </row>
    <row r="52" spans="1:7" s="332" customFormat="1" ht="15.75">
      <c r="A52" s="412" t="s">
        <v>1121</v>
      </c>
      <c r="B52" s="413"/>
      <c r="C52" s="414">
        <f ca="1">C31+C51</f>
        <v>178</v>
      </c>
      <c r="D52" s="413"/>
      <c r="E52" s="413"/>
      <c r="F52" s="413"/>
      <c r="G52" s="415"/>
    </row>
    <row r="55" spans="1:7" ht="15">
      <c r="B55" s="416" t="s">
        <v>1122</v>
      </c>
      <c r="C55" s="417"/>
    </row>
    <row r="56" spans="1:7">
      <c r="B56" s="418" t="s">
        <v>1123</v>
      </c>
      <c r="C56" s="420">
        <f ca="1">1-C57</f>
        <v>5.1000000000000045E-2</v>
      </c>
    </row>
    <row r="57" spans="1:7">
      <c r="B57" s="418" t="s">
        <v>1124</v>
      </c>
      <c r="C57" s="419">
        <f ca="1">ROUND(C51/C52,3)</f>
        <v>0.94899999999999995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68" t="str">
        <f>项目基本情况!B1</f>
        <v>北京市房地产抵押价值预评估</v>
      </c>
      <c r="C37" s="3168"/>
      <c r="D37" s="3168"/>
      <c r="E37" s="3168"/>
      <c r="F37" s="3168"/>
      <c r="G37" s="3168"/>
      <c r="H37" s="3168"/>
      <c r="I37" s="3168"/>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f ca="1">ROUND(IF(D2="——",C52/10000,C52/10000-E2),4)</f>
        <v>623.61739999999998</v>
      </c>
      <c r="C2" s="342" t="s">
        <v>1030</v>
      </c>
      <c r="D2" s="2208" t="s">
        <v>124</v>
      </c>
      <c r="E2" s="2209" t="e">
        <f ca="1">SUMIF(INDIRECT("'"&amp;G2&amp;"'"&amp;"!A:A"),"承租人权益价值",INDIRECT("'"&amp;G2&amp;"'"&amp;"!c:c"))</f>
        <v>#REF!</v>
      </c>
      <c r="F2" s="2210" t="s">
        <v>1030</v>
      </c>
      <c r="G2" s="2211"/>
    </row>
    <row r="3" spans="1:8" s="331" customFormat="1" ht="18" customHeight="1">
      <c r="A3" s="346" t="s">
        <v>1031</v>
      </c>
      <c r="B3" s="347">
        <f ca="1">ROUND(B2*10000/(IF(B1="",'数据-汇总表'!E3,INDIRECT("'数据-取费表'!k"&amp;$G$1))),0)</f>
        <v>18762</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f ca="1">C6+C7+C8</f>
        <v>3416058</v>
      </c>
      <c r="D5" s="353" t="s">
        <v>1036</v>
      </c>
      <c r="E5" s="354" t="s">
        <v>1037</v>
      </c>
      <c r="F5" s="354" t="s">
        <v>934</v>
      </c>
      <c r="G5" s="355"/>
    </row>
    <row r="6" spans="1:8" s="333" customFormat="1" ht="13.5" customHeight="1">
      <c r="A6" s="356" t="s">
        <v>1038</v>
      </c>
      <c r="B6" s="357" t="s">
        <v>1039</v>
      </c>
      <c r="C6" s="358">
        <f>ROUND(基准地价修正!C33*基准地价修正!D33,0)</f>
        <v>3250442</v>
      </c>
      <c r="D6" s="359"/>
      <c r="E6" s="360"/>
      <c r="F6" s="360"/>
      <c r="G6" s="361"/>
    </row>
    <row r="7" spans="1:8" s="333" customFormat="1" ht="13.5" customHeight="1">
      <c r="A7" s="356" t="s">
        <v>1040</v>
      </c>
      <c r="B7" s="357" t="s">
        <v>1041</v>
      </c>
      <c r="C7" s="362">
        <f>ROUND(C6*F7,0)</f>
        <v>99138</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66478</v>
      </c>
      <c r="D8" s="364"/>
      <c r="E8" s="362"/>
      <c r="F8" s="363"/>
      <c r="G8" s="2212" t="s">
        <v>2793</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66478</v>
      </c>
      <c r="D10" s="369">
        <f ca="1">IF(B1="",'数据-汇总表'!E6,IF(INDIRECT("'数据-取费表'!c"&amp;$G$1)="住宅",INDIRECT("'数据-取费表'!s"&amp;$G$1),INDIRECT("'数据-取费表'!k"&amp;$G$1)+INDIRECT("'数据-取费表'!s"&amp;$G$1)))</f>
        <v>332.39</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332.39</v>
      </c>
      <c r="E19" s="353">
        <f>'数据-取费表'!B31</f>
        <v>200</v>
      </c>
      <c r="F19" s="375"/>
      <c r="G19" s="2212" t="s">
        <v>2794</v>
      </c>
    </row>
    <row r="20" spans="1:7" s="333" customFormat="1" ht="13.5" customHeight="1">
      <c r="A20" s="351" t="s">
        <v>1067</v>
      </c>
      <c r="B20" s="352" t="s">
        <v>1068</v>
      </c>
      <c r="C20" s="376">
        <f ca="1">ROUND((C5+C19)*F20,0)</f>
        <v>102482</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160334</v>
      </c>
      <c r="D22" s="379">
        <f ca="1">C26</f>
        <v>5.0000000000000001E-4</v>
      </c>
      <c r="E22" s="380" t="s">
        <v>1072</v>
      </c>
      <c r="F22" s="383">
        <f ca="1">'数据-取费表'!B40</f>
        <v>3.0599999999999999E-2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157991</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2343</v>
      </c>
      <c r="D25" s="386"/>
      <c r="E25" s="389"/>
      <c r="F25" s="387"/>
      <c r="G25" s="390" t="s">
        <v>1081</v>
      </c>
    </row>
    <row r="26" spans="1:7" s="333" customFormat="1">
      <c r="A26" s="384" t="s">
        <v>1082</v>
      </c>
      <c r="B26" s="357" t="s">
        <v>1083</v>
      </c>
      <c r="C26" s="386">
        <f ca="1">ROUND(IF('数据-取费表'!B22&lt;=1,F21*F22*'数据-取费表'!B22/2,F21*(POWER((1+F22),'数据-取费表'!B22/2)-1)),4)</f>
        <v>5.0000000000000001E-4</v>
      </c>
      <c r="D26" s="386"/>
      <c r="E26" s="389"/>
      <c r="F26" s="387"/>
      <c r="G26" s="391"/>
    </row>
    <row r="27" spans="1:7" s="333" customFormat="1" ht="24.75">
      <c r="A27" s="351" t="s">
        <v>1084</v>
      </c>
      <c r="B27" s="392" t="s">
        <v>1085</v>
      </c>
      <c r="C27" s="393">
        <f ca="1">C28</f>
        <v>527781</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ROUND((C5+C19+C20)*F27,0)</f>
        <v>527781</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4556602</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1666936</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1495755</v>
      </c>
      <c r="D34" s="359"/>
      <c r="E34" s="362"/>
      <c r="F34" s="405"/>
      <c r="G34" s="361"/>
    </row>
    <row r="35" spans="1:7" ht="13.5" customHeight="1">
      <c r="A35" s="384" t="s">
        <v>1040</v>
      </c>
      <c r="B35" s="357" t="s">
        <v>1098</v>
      </c>
      <c r="C35" s="362">
        <f ca="1">ROUND(C34*F35,0)</f>
        <v>74788</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66478</v>
      </c>
      <c r="D37" s="359">
        <f ca="1">D19</f>
        <v>332.39</v>
      </c>
      <c r="E37" s="397">
        <f>'数据-取费表'!B35</f>
        <v>200</v>
      </c>
      <c r="F37" s="406"/>
      <c r="G37" s="408"/>
    </row>
    <row r="38" spans="1:7" ht="13.5" customHeight="1">
      <c r="A38" s="384" t="s">
        <v>1104</v>
      </c>
      <c r="B38" s="357" t="s">
        <v>970</v>
      </c>
      <c r="C38" s="362">
        <f ca="1">ROUND(C34*F38,0)</f>
        <v>29915</v>
      </c>
      <c r="D38" s="362"/>
      <c r="E38" s="362"/>
      <c r="F38" s="406">
        <f>'数据-取费表'!B36</f>
        <v>0.02</v>
      </c>
      <c r="G38" s="361" t="s">
        <v>1099</v>
      </c>
    </row>
    <row r="39" spans="1:7" s="333" customFormat="1" ht="13.5" customHeight="1">
      <c r="A39" s="351" t="s">
        <v>1065</v>
      </c>
      <c r="B39" s="352" t="s">
        <v>1068</v>
      </c>
      <c r="C39" s="376">
        <f ca="1">ROUND(C33*F20,0)</f>
        <v>50008</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39255</v>
      </c>
      <c r="D41" s="379">
        <f ca="1">C44</f>
        <v>5.0000000000000001E-4</v>
      </c>
      <c r="E41" s="380" t="s">
        <v>1106</v>
      </c>
      <c r="F41" s="383">
        <f ca="1">F22</f>
        <v>3.0599999999999999E-2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38112</v>
      </c>
      <c r="D42" s="386"/>
      <c r="E42" s="386"/>
      <c r="F42" s="387"/>
      <c r="G42" s="3350" t="s">
        <v>1128</v>
      </c>
    </row>
    <row r="43" spans="1:7" ht="13.5" customHeight="1">
      <c r="A43" s="384" t="s">
        <v>1040</v>
      </c>
      <c r="B43" s="357" t="s">
        <v>1078</v>
      </c>
      <c r="C43" s="386">
        <f ca="1">ROUND(IF('数据-取费表'!B22&lt;=1,C39*F22*'数据-取费表'!B20/2,C39*(POWER((1+F22),'数据-取费表'!B20/2)-1)),0)</f>
        <v>1143</v>
      </c>
      <c r="D43" s="386"/>
      <c r="E43" s="386"/>
      <c r="F43" s="387"/>
      <c r="G43" s="3351"/>
    </row>
    <row r="44" spans="1:7" ht="13.5" customHeight="1">
      <c r="A44" s="384" t="s">
        <v>1042</v>
      </c>
      <c r="B44" s="357" t="s">
        <v>1080</v>
      </c>
      <c r="C44" s="386">
        <f ca="1">ROUND(IF('数据-取费表'!B22&lt;=1,C40*F22*'数据-取费表'!B20/2,C40*(POWER((1+F22),'数据-取费表'!B20/2)-1)),4)</f>
        <v>5.0000000000000001E-4</v>
      </c>
      <c r="D44" s="386"/>
      <c r="E44" s="386"/>
      <c r="F44" s="387"/>
      <c r="G44" s="3352"/>
    </row>
    <row r="45" spans="1:7" s="333" customFormat="1" ht="13.5" customHeight="1">
      <c r="A45" s="351" t="s">
        <v>1074</v>
      </c>
      <c r="B45" s="392" t="s">
        <v>1085</v>
      </c>
      <c r="C45" s="393">
        <f ca="1">C46</f>
        <v>257542</v>
      </c>
      <c r="D45" s="379">
        <f ca="1">C47</f>
        <v>3.0000000000000001E-3</v>
      </c>
      <c r="E45" s="380" t="s">
        <v>1106</v>
      </c>
      <c r="F45" s="394">
        <f ca="1">F27</f>
        <v>0.15</v>
      </c>
      <c r="G45" s="395" t="s">
        <v>1109</v>
      </c>
    </row>
    <row r="46" spans="1:7" s="333" customFormat="1" ht="13.5" customHeight="1">
      <c r="A46" s="384" t="s">
        <v>1038</v>
      </c>
      <c r="B46" s="396" t="s">
        <v>1110</v>
      </c>
      <c r="C46" s="397">
        <f ca="1">ROUND((C33+C39)*F27,0)</f>
        <v>257542</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2181262</v>
      </c>
      <c r="D49" s="376"/>
      <c r="E49" s="376"/>
      <c r="F49" s="411"/>
      <c r="G49" s="381" t="s">
        <v>1114</v>
      </c>
    </row>
    <row r="50" spans="1:7" s="335" customFormat="1">
      <c r="A50" s="351" t="s">
        <v>1115</v>
      </c>
      <c r="B50" s="352" t="s">
        <v>1116</v>
      </c>
      <c r="C50" s="376"/>
      <c r="D50" s="376"/>
      <c r="E50" s="376"/>
      <c r="F50" s="411">
        <f>IF('数据-取费表'!B24=0,'数据-取费表'!N16,1)</f>
        <v>0.77</v>
      </c>
      <c r="G50" s="395"/>
    </row>
    <row r="51" spans="1:7" ht="16.5" customHeight="1">
      <c r="A51" s="351" t="s">
        <v>1118</v>
      </c>
      <c r="B51" s="352" t="s">
        <v>1130</v>
      </c>
      <c r="C51" s="376">
        <f ca="1">ROUND(C49*F50,0)</f>
        <v>1679572</v>
      </c>
      <c r="D51" s="376"/>
      <c r="E51" s="376"/>
      <c r="F51" s="411"/>
      <c r="G51" s="381" t="s">
        <v>1120</v>
      </c>
    </row>
    <row r="52" spans="1:7" s="332" customFormat="1" ht="15.75">
      <c r="A52" s="412" t="s">
        <v>1121</v>
      </c>
      <c r="B52" s="413"/>
      <c r="C52" s="414">
        <f ca="1">C31+C51</f>
        <v>6236174</v>
      </c>
      <c r="D52" s="413"/>
      <c r="E52" s="413"/>
      <c r="F52" s="413"/>
      <c r="G52" s="415"/>
    </row>
    <row r="55" spans="1:7" ht="15">
      <c r="B55" s="416" t="s">
        <v>1122</v>
      </c>
      <c r="C55" s="417"/>
    </row>
    <row r="56" spans="1:7">
      <c r="B56" s="418" t="s">
        <v>1123</v>
      </c>
      <c r="C56" s="420">
        <f ca="1">1-C57</f>
        <v>0.73099999999999998</v>
      </c>
    </row>
    <row r="57" spans="1:7">
      <c r="B57" s="418" t="s">
        <v>1124</v>
      </c>
      <c r="C57" s="419">
        <f ca="1">ROUND(C51/C52,3)</f>
        <v>0.26900000000000002</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-8</v>
      </c>
      <c r="C2" s="2126" t="s">
        <v>1132</v>
      </c>
      <c r="D2" s="2126"/>
      <c r="E2" s="2124"/>
      <c r="F2" s="2124"/>
      <c r="G2" s="2124"/>
      <c r="H2" s="2124"/>
      <c r="I2" s="2124"/>
      <c r="J2" s="2124"/>
      <c r="K2" s="2124"/>
    </row>
    <row r="3" spans="1:33" ht="18" customHeight="1">
      <c r="A3" s="346" t="s">
        <v>1031</v>
      </c>
      <c r="B3" s="347">
        <f ca="1">ROUND(B2*10000/IF(C1="",'数据-汇总表'!E3,INDIRECT("'数据-取费表'!K"&amp;$K$1)),0)</f>
        <v>-241</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332.39</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332.39</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7</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7</v>
      </c>
      <c r="D20" s="2149">
        <f ca="1">IF(C1="",'数据-汇总表'!E6,IF(INDIRECT("'数据-取费表'!c"&amp;$K$1)="住宅",INDIRECT("'数据-取费表'!s"&amp;$K$1),INDIRECT("'数据-取费表'!k"&amp;$K$1)+INDIRECT("'数据-取费表'!s"&amp;$K$1)))</f>
        <v>332.39</v>
      </c>
      <c r="E20" s="950">
        <f>'数据-取费表'!B28</f>
        <v>200</v>
      </c>
      <c r="F20" s="2150"/>
      <c r="G20" s="1998"/>
      <c r="H20" s="2157"/>
      <c r="I20" s="2157"/>
      <c r="J20" s="2157"/>
      <c r="K20" s="2200"/>
    </row>
    <row r="21" spans="1:33" s="2115" customFormat="1" ht="13.5" customHeight="1">
      <c r="A21" s="2133" t="s">
        <v>939</v>
      </c>
      <c r="B21" s="2158" t="s">
        <v>1163</v>
      </c>
      <c r="C21" s="2159">
        <f ca="1">C16+C17+C18</f>
        <v>7</v>
      </c>
      <c r="D21" s="2160"/>
      <c r="E21" s="2161"/>
      <c r="F21" s="2161"/>
      <c r="G21" s="1888" t="s">
        <v>1164</v>
      </c>
      <c r="H21" s="1999"/>
      <c r="I21" s="1999"/>
      <c r="J21" s="1999"/>
      <c r="K21" s="2000"/>
    </row>
    <row r="22" spans="1:33" s="2115" customFormat="1" ht="13.5" customHeight="1">
      <c r="A22" s="2133" t="s">
        <v>943</v>
      </c>
      <c r="B22" s="2158" t="s">
        <v>1165</v>
      </c>
      <c r="C22" s="2159">
        <f ca="1">ROUND(C21*F22,0)</f>
        <v>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3.0599999999999999E-2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1</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1</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-8</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ROUND(F6*F8*F7*(1-F9)/10000,0)</f>
        <v>0</v>
      </c>
      <c r="D6" s="1847" t="s">
        <v>1199</v>
      </c>
      <c r="E6" s="1848" t="s">
        <v>1200</v>
      </c>
      <c r="F6" s="1849">
        <f ca="1">INDIRECT("'数据-取费表'!u"&amp;$G$1)</f>
        <v>0</v>
      </c>
      <c r="G6" s="718"/>
      <c r="H6" s="1845" t="s">
        <v>939</v>
      </c>
      <c r="I6" s="3355" t="s">
        <v>1198</v>
      </c>
      <c r="J6" s="1919">
        <f ca="1">ROUND(M6*M8*M7*(1-M9)/10000,0)</f>
        <v>0</v>
      </c>
      <c r="K6" s="1847" t="s">
        <v>1201</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0</v>
      </c>
      <c r="G7" s="718"/>
      <c r="H7" s="1854"/>
      <c r="I7" s="3356"/>
      <c r="J7" s="1855"/>
      <c r="K7" s="1852"/>
      <c r="L7" s="1848" t="s">
        <v>1202</v>
      </c>
      <c r="M7" s="1849">
        <f ca="1">F7</f>
        <v>0</v>
      </c>
    </row>
    <row r="8" spans="1:37" ht="18" customHeight="1">
      <c r="A8" s="1854"/>
      <c r="B8" s="3356"/>
      <c r="C8" s="1855"/>
      <c r="D8" s="1852"/>
      <c r="E8" s="1848" t="s">
        <v>1203</v>
      </c>
      <c r="F8" s="1849">
        <f ca="1">INDIRECT("'数据-取费表'!ai"&amp;$G$1)</f>
        <v>0</v>
      </c>
      <c r="G8" s="718"/>
      <c r="H8" s="1854"/>
      <c r="I8" s="3356"/>
      <c r="J8" s="1855"/>
      <c r="K8" s="1852"/>
      <c r="L8" s="1848" t="s">
        <v>1203</v>
      </c>
      <c r="M8" s="1849">
        <f ca="1">INDIRECT("'数据-取费表'!ai"&amp;$G$1)</f>
        <v>0</v>
      </c>
    </row>
    <row r="9" spans="1:37" ht="18" customHeight="1">
      <c r="A9" s="1854"/>
      <c r="B9" s="3357"/>
      <c r="C9" s="1855"/>
      <c r="D9" s="1852"/>
      <c r="E9" s="1848" t="s">
        <v>1204</v>
      </c>
      <c r="F9" s="1856">
        <f ca="1">INDIRECT("'数据-取费表'!w"&amp;$G$1)</f>
        <v>0</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1.5</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5.0000000000000001E-4</v>
      </c>
      <c r="D24" s="899" t="str">
        <f>IF(F23&lt;=1,"销售费用×利率×(建设周期÷2)","销售费用×((1+利率)^(建设周期÷2)-1)")</f>
        <v>销售费用×((1+利率)^(建设周期÷2)-1)</v>
      </c>
      <c r="E24" s="1848" t="s">
        <v>1253</v>
      </c>
      <c r="F24" s="1892">
        <f ca="1">'数据-取费表'!B40</f>
        <v>3.0599999999999999E-2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3" t="s">
        <v>1322</v>
      </c>
      <c r="L53" s="3354"/>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workbookViewId="0">
      <selection activeCell="E38" sqref="E38"/>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656.13789999999995</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19740</v>
      </c>
      <c r="C3" s="1376" t="s">
        <v>1377</v>
      </c>
      <c r="D3" s="1377">
        <f>IF(D1="",'数据-汇总表'!E3,SUMIF('数据-汇总表'!$C19:$C33,D1,'数据-汇总表'!$E19:$E33))</f>
        <v>332.39</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364" t="s">
        <v>1384</v>
      </c>
      <c r="Q4" s="3365"/>
      <c r="R4" s="3370" t="s">
        <v>1380</v>
      </c>
      <c r="S4" s="3371"/>
      <c r="T4" s="3370" t="s">
        <v>1381</v>
      </c>
      <c r="U4" s="3371"/>
      <c r="V4" s="3376" t="s">
        <v>1382</v>
      </c>
      <c r="W4" s="3376"/>
      <c r="X4" s="2095"/>
      <c r="Y4" s="3370" t="s">
        <v>1384</v>
      </c>
      <c r="Z4" s="3371"/>
      <c r="AA4" s="3358" t="s">
        <v>1380</v>
      </c>
      <c r="AB4" s="3358" t="s">
        <v>1381</v>
      </c>
      <c r="AC4" s="3361" t="s">
        <v>1382</v>
      </c>
    </row>
    <row r="5" spans="1:29" ht="15">
      <c r="A5" s="1029"/>
      <c r="B5" s="1030"/>
      <c r="C5" s="3404" t="s">
        <v>1385</v>
      </c>
      <c r="D5" s="3405"/>
      <c r="E5" s="3406" t="s">
        <v>1386</v>
      </c>
      <c r="F5" s="3407"/>
      <c r="G5" s="3404" t="s">
        <v>1387</v>
      </c>
      <c r="H5" s="3405"/>
      <c r="I5" s="3404" t="s">
        <v>1388</v>
      </c>
      <c r="J5" s="3405"/>
      <c r="K5" s="1171"/>
      <c r="L5" s="1172"/>
      <c r="M5" s="1122"/>
      <c r="N5" s="1122"/>
      <c r="O5" s="1122"/>
      <c r="P5" s="3366"/>
      <c r="Q5" s="3367"/>
      <c r="R5" s="3372"/>
      <c r="S5" s="3373"/>
      <c r="T5" s="3372"/>
      <c r="U5" s="3373"/>
      <c r="V5" s="3377"/>
      <c r="W5" s="3377"/>
      <c r="X5" s="1214"/>
      <c r="Y5" s="3372"/>
      <c r="Z5" s="3373"/>
      <c r="AA5" s="3359"/>
      <c r="AB5" s="3359"/>
      <c r="AC5" s="3362"/>
    </row>
    <row r="6" spans="1:29" ht="15">
      <c r="A6" s="1031"/>
      <c r="B6" s="1032"/>
      <c r="C6" s="3395" t="s">
        <v>1389</v>
      </c>
      <c r="D6" s="3396"/>
      <c r="E6" s="3397" t="s">
        <v>1389</v>
      </c>
      <c r="F6" s="3398"/>
      <c r="G6" s="3395" t="s">
        <v>1389</v>
      </c>
      <c r="H6" s="3396"/>
      <c r="I6" s="3395" t="s">
        <v>1389</v>
      </c>
      <c r="J6" s="3396"/>
      <c r="K6" s="1171" t="s">
        <v>1390</v>
      </c>
      <c r="L6" s="1172"/>
      <c r="M6" s="1122"/>
      <c r="N6" s="1122"/>
      <c r="O6" s="1122"/>
      <c r="P6" s="3368"/>
      <c r="Q6" s="3369"/>
      <c r="R6" s="3372"/>
      <c r="S6" s="3373"/>
      <c r="T6" s="3374"/>
      <c r="U6" s="3375"/>
      <c r="V6" s="3377"/>
      <c r="W6" s="3377"/>
      <c r="X6" s="1214"/>
      <c r="Y6" s="3374"/>
      <c r="Z6" s="3375"/>
      <c r="AA6" s="3360"/>
      <c r="AB6" s="3360"/>
      <c r="AC6" s="3363"/>
    </row>
    <row r="7" spans="1:29" s="1008" customFormat="1" ht="15">
      <c r="A7" s="1033" t="s">
        <v>1391</v>
      </c>
      <c r="B7" s="1034"/>
      <c r="C7" s="1035">
        <f>'数据-取费表'!B2</f>
        <v>45945</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85" t="s">
        <v>1392</v>
      </c>
      <c r="Q7" s="3399"/>
      <c r="R7" s="1215" t="s">
        <v>1393</v>
      </c>
      <c r="S7" s="1216">
        <f t="shared" ref="S7:S15" si="0">F7</f>
        <v>100</v>
      </c>
      <c r="T7" s="1215" t="s">
        <v>1393</v>
      </c>
      <c r="U7" s="1216">
        <f t="shared" ref="U7:U15" si="1">H7</f>
        <v>100</v>
      </c>
      <c r="V7" s="1215" t="s">
        <v>1393</v>
      </c>
      <c r="W7" s="1216">
        <f t="shared" ref="W7:W15" si="2">J7</f>
        <v>100</v>
      </c>
      <c r="X7" s="1217"/>
      <c r="Y7" s="3383" t="s">
        <v>1392</v>
      </c>
      <c r="Z7" s="3384"/>
      <c r="AA7" s="1227">
        <f>D7/F7</f>
        <v>1</v>
      </c>
      <c r="AB7" s="1227">
        <f>D7/H7</f>
        <v>1</v>
      </c>
      <c r="AC7" s="2096">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85" t="s">
        <v>1397</v>
      </c>
      <c r="Q8" s="3384"/>
      <c r="R8" s="1215" t="s">
        <v>1393</v>
      </c>
      <c r="S8" s="1216">
        <f t="shared" si="0"/>
        <v>102</v>
      </c>
      <c r="T8" s="1215" t="s">
        <v>1393</v>
      </c>
      <c r="U8" s="1216">
        <f t="shared" si="1"/>
        <v>102</v>
      </c>
      <c r="V8" s="1215" t="s">
        <v>1393</v>
      </c>
      <c r="W8" s="1216">
        <f t="shared" si="2"/>
        <v>102</v>
      </c>
      <c r="X8" s="1217"/>
      <c r="Y8" s="3383" t="s">
        <v>1397</v>
      </c>
      <c r="Z8" s="3384"/>
      <c r="AA8" s="1227">
        <f t="shared" ref="AA8:AA47" si="3">D8/F8</f>
        <v>0.98039215686274506</v>
      </c>
      <c r="AB8" s="1227">
        <f t="shared" ref="AB8:AB47" si="4">D8/H8</f>
        <v>0.98039215686274506</v>
      </c>
      <c r="AC8" s="2096">
        <f t="shared" ref="AC8:AC47" si="5">D8/J8</f>
        <v>0.98039215686274506</v>
      </c>
    </row>
    <row r="9" spans="1:29" s="1008" customFormat="1">
      <c r="A9" s="1041" t="s">
        <v>1398</v>
      </c>
      <c r="B9" s="1042" t="s">
        <v>1399</v>
      </c>
      <c r="C9" s="2088" t="s">
        <v>2798</v>
      </c>
      <c r="D9" s="1044">
        <v>100</v>
      </c>
      <c r="E9" s="1379" t="s">
        <v>2797</v>
      </c>
      <c r="F9" s="1044">
        <f>SUMIF(64:64,E9,65:65)-SUMIF(64:64,C9,65:65)+100</f>
        <v>100</v>
      </c>
      <c r="G9" s="1379" t="s">
        <v>2797</v>
      </c>
      <c r="H9" s="1044">
        <f>SUMIF(64:64,G9,65:65)-SUMIF(64:64,C9,65:65)+100</f>
        <v>100</v>
      </c>
      <c r="I9" s="1379" t="s">
        <v>2797</v>
      </c>
      <c r="J9" s="1044">
        <f>SUMIF(64:64,I9,65:65)-SUMIF(64:64,C9,65:65)+100</f>
        <v>100</v>
      </c>
      <c r="K9" s="117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8"/>
      <c r="Q11" s="794" t="str">
        <f t="shared" si="6"/>
        <v>容积率</v>
      </c>
      <c r="R11" s="1215" t="s">
        <v>1393</v>
      </c>
      <c r="S11" s="1216">
        <f t="shared" si="0"/>
        <v>100</v>
      </c>
      <c r="T11" s="1215" t="s">
        <v>1393</v>
      </c>
      <c r="U11" s="1216">
        <f t="shared" si="1"/>
        <v>100</v>
      </c>
      <c r="V11" s="1215" t="s">
        <v>1393</v>
      </c>
      <c r="W11" s="1216">
        <f t="shared" si="2"/>
        <v>100</v>
      </c>
      <c r="X11" s="1217"/>
      <c r="Y11" s="3265"/>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6" t="s">
        <v>1406</v>
      </c>
      <c r="Q15" s="625" t="str">
        <f t="shared" si="6"/>
        <v>办公集聚程度</v>
      </c>
      <c r="R15" s="1219" t="s">
        <v>1393</v>
      </c>
      <c r="S15" s="1220">
        <f t="shared" si="0"/>
        <v>100</v>
      </c>
      <c r="T15" s="1219" t="s">
        <v>1393</v>
      </c>
      <c r="U15" s="1220">
        <f t="shared" si="1"/>
        <v>100</v>
      </c>
      <c r="V15" s="1219" t="s">
        <v>1393</v>
      </c>
      <c r="W15" s="1220">
        <f t="shared" si="2"/>
        <v>100</v>
      </c>
      <c r="X15" s="1214"/>
      <c r="Y15" s="3391"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7"/>
      <c r="Q16" s="625"/>
      <c r="R16" s="1219"/>
      <c r="S16" s="1220"/>
      <c r="T16" s="1219"/>
      <c r="U16" s="1220"/>
      <c r="V16" s="1219"/>
      <c r="W16" s="1220"/>
      <c r="X16" s="1214"/>
      <c r="Y16" s="3392"/>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7"/>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7"/>
      <c r="Q18" s="625"/>
      <c r="R18" s="1219"/>
      <c r="S18" s="1220"/>
      <c r="T18" s="1219"/>
      <c r="U18" s="1220"/>
      <c r="V18" s="1219"/>
      <c r="W18" s="1220"/>
      <c r="X18" s="1214"/>
      <c r="Y18" s="3392"/>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7"/>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7"/>
      <c r="Q20" s="625"/>
      <c r="R20" s="1219"/>
      <c r="S20" s="1220"/>
      <c r="T20" s="1219"/>
      <c r="U20" s="1220"/>
      <c r="V20" s="1219"/>
      <c r="W20" s="1220"/>
      <c r="X20" s="1214"/>
      <c r="Y20" s="3392"/>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7"/>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7"/>
      <c r="Q22" s="625"/>
      <c r="R22" s="1219"/>
      <c r="S22" s="1220"/>
      <c r="T22" s="1219"/>
      <c r="U22" s="1220"/>
      <c r="V22" s="1219"/>
      <c r="W22" s="1220"/>
      <c r="X22" s="1214"/>
      <c r="Y22" s="3392"/>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7"/>
      <c r="Q23" s="625" t="str">
        <f>B23</f>
        <v>环境质量</v>
      </c>
      <c r="R23" s="1219" t="s">
        <v>1393</v>
      </c>
      <c r="S23" s="1220">
        <f>F23</f>
        <v>100</v>
      </c>
      <c r="T23" s="1219" t="s">
        <v>1393</v>
      </c>
      <c r="U23" s="1220">
        <f>H23</f>
        <v>100</v>
      </c>
      <c r="V23" s="1219" t="s">
        <v>1393</v>
      </c>
      <c r="W23" s="1220">
        <f>J23</f>
        <v>100</v>
      </c>
      <c r="X23" s="1214"/>
      <c r="Y23" s="3392"/>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7"/>
      <c r="Q24" s="625"/>
      <c r="R24" s="1219"/>
      <c r="S24" s="1220"/>
      <c r="T24" s="1219"/>
      <c r="U24" s="1220"/>
      <c r="V24" s="1219"/>
      <c r="W24" s="1220"/>
      <c r="X24" s="1214"/>
      <c r="Y24" s="3392"/>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7"/>
      <c r="Q25" s="625" t="str">
        <f>B25</f>
        <v>毗邻道路的类型与等级</v>
      </c>
      <c r="R25" s="1219" t="s">
        <v>1393</v>
      </c>
      <c r="S25" s="1220">
        <f>F25</f>
        <v>100</v>
      </c>
      <c r="T25" s="1219" t="s">
        <v>1393</v>
      </c>
      <c r="U25" s="1220">
        <f>H25</f>
        <v>100</v>
      </c>
      <c r="V25" s="1219" t="s">
        <v>1393</v>
      </c>
      <c r="W25" s="1220">
        <f>J25</f>
        <v>100</v>
      </c>
      <c r="X25" s="1214"/>
      <c r="Y25" s="3392"/>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7"/>
      <c r="Q26" s="625"/>
      <c r="R26" s="1219"/>
      <c r="S26" s="1220"/>
      <c r="T26" s="1219"/>
      <c r="U26" s="1220"/>
      <c r="V26" s="1219"/>
      <c r="W26" s="1220"/>
      <c r="X26" s="1214"/>
      <c r="Y26" s="3392"/>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1414</v>
      </c>
      <c r="H27" s="759">
        <f>SUMIF(89:89,G27,90:90)-SUMIF(89:89,C27,90:90)+100</f>
        <v>100</v>
      </c>
      <c r="I27" s="1083" t="s">
        <v>1414</v>
      </c>
      <c r="J27" s="759">
        <f>SUMIF(89:89,I27,90:90)-SUMIF(89:89,C27,90:90)+100</f>
        <v>100</v>
      </c>
      <c r="K27" s="1190">
        <v>3</v>
      </c>
      <c r="L27" s="1184"/>
      <c r="M27" s="1122"/>
      <c r="N27" s="1122"/>
      <c r="O27" s="1122"/>
      <c r="P27" s="3387"/>
      <c r="Q27" s="625" t="str">
        <f t="shared" ref="Q27:Q47" si="11">B27</f>
        <v>楼层</v>
      </c>
      <c r="R27" s="1219" t="s">
        <v>1393</v>
      </c>
      <c r="S27" s="1220">
        <f>F27</f>
        <v>100</v>
      </c>
      <c r="T27" s="1219" t="s">
        <v>1393</v>
      </c>
      <c r="U27" s="1220">
        <f>H27</f>
        <v>100</v>
      </c>
      <c r="V27" s="1219" t="s">
        <v>1393</v>
      </c>
      <c r="W27" s="1220">
        <f>J27</f>
        <v>100</v>
      </c>
      <c r="X27" s="1214"/>
      <c r="Y27" s="3392"/>
      <c r="Z27" s="1204" t="str">
        <f>Q27</f>
        <v>楼层</v>
      </c>
      <c r="AA27" s="1204">
        <f t="shared" si="3"/>
        <v>1</v>
      </c>
      <c r="AB27" s="1204">
        <f t="shared" si="4"/>
        <v>1</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7"/>
      <c r="Q28" s="794" t="str">
        <f t="shared" si="11"/>
        <v>朝向</v>
      </c>
      <c r="R28" s="1215" t="s">
        <v>1393</v>
      </c>
      <c r="S28" s="1216">
        <f>F28</f>
        <v>100</v>
      </c>
      <c r="T28" s="1215" t="s">
        <v>1393</v>
      </c>
      <c r="U28" s="1216">
        <f>H28</f>
        <v>100</v>
      </c>
      <c r="V28" s="1215" t="s">
        <v>1393</v>
      </c>
      <c r="W28" s="1216">
        <f>J28</f>
        <v>100</v>
      </c>
      <c r="X28" s="1217"/>
      <c r="Y28" s="3392"/>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7"/>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2"/>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7"/>
      <c r="Q30" s="625">
        <f t="shared" si="11"/>
        <v>111</v>
      </c>
      <c r="R30" s="1219" t="s">
        <v>1393</v>
      </c>
      <c r="S30" s="1220">
        <f t="shared" si="12"/>
        <v>100</v>
      </c>
      <c r="T30" s="1219" t="s">
        <v>1393</v>
      </c>
      <c r="U30" s="1220">
        <f t="shared" si="13"/>
        <v>100</v>
      </c>
      <c r="V30" s="1219" t="s">
        <v>1393</v>
      </c>
      <c r="W30" s="1220">
        <f t="shared" si="14"/>
        <v>100</v>
      </c>
      <c r="X30" s="1214"/>
      <c r="Y30" s="3392"/>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7"/>
      <c r="Q31" s="625">
        <f t="shared" si="11"/>
        <v>111</v>
      </c>
      <c r="R31" s="1219" t="s">
        <v>1393</v>
      </c>
      <c r="S31" s="1220">
        <f t="shared" si="12"/>
        <v>100</v>
      </c>
      <c r="T31" s="1219" t="s">
        <v>1393</v>
      </c>
      <c r="U31" s="1220">
        <f t="shared" si="13"/>
        <v>100</v>
      </c>
      <c r="V31" s="1219" t="s">
        <v>1393</v>
      </c>
      <c r="W31" s="1220">
        <f t="shared" si="14"/>
        <v>100</v>
      </c>
      <c r="X31" s="1214"/>
      <c r="Y31" s="3392"/>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7"/>
      <c r="Q32" s="625">
        <f t="shared" si="11"/>
        <v>111</v>
      </c>
      <c r="R32" s="1219" t="s">
        <v>1393</v>
      </c>
      <c r="S32" s="1220">
        <f t="shared" si="12"/>
        <v>100</v>
      </c>
      <c r="T32" s="1219" t="s">
        <v>1393</v>
      </c>
      <c r="U32" s="1220">
        <f t="shared" si="13"/>
        <v>100</v>
      </c>
      <c r="V32" s="1219" t="s">
        <v>1393</v>
      </c>
      <c r="W32" s="1220">
        <f t="shared" si="14"/>
        <v>100</v>
      </c>
      <c r="X32" s="1214"/>
      <c r="Y32" s="3392"/>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8" t="s">
        <v>1421</v>
      </c>
      <c r="Q33" s="625" t="str">
        <f t="shared" si="11"/>
        <v>建筑类型</v>
      </c>
      <c r="R33" s="1219" t="s">
        <v>1393</v>
      </c>
      <c r="S33" s="1220">
        <f t="shared" si="12"/>
        <v>100</v>
      </c>
      <c r="T33" s="1219" t="s">
        <v>1393</v>
      </c>
      <c r="U33" s="1220">
        <f t="shared" si="13"/>
        <v>100</v>
      </c>
      <c r="V33" s="1219" t="s">
        <v>1393</v>
      </c>
      <c r="W33" s="1220">
        <f t="shared" si="14"/>
        <v>100</v>
      </c>
      <c r="X33" s="1214"/>
      <c r="Y33" s="3393"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332.39</v>
      </c>
      <c r="D34" s="1048">
        <v>100</v>
      </c>
      <c r="E34" s="1381">
        <v>281.39</v>
      </c>
      <c r="F34" s="1046">
        <f>LOOKUP(E34,104:104,105:105)-LOOKUP(C34,104:104,105:105)+100</f>
        <v>99</v>
      </c>
      <c r="G34" s="1381">
        <v>166.28</v>
      </c>
      <c r="H34" s="1048">
        <f>LOOKUP(G34,104:104,105:105)-LOOKUP(C34,104:104,105:105)+100</f>
        <v>99</v>
      </c>
      <c r="I34" s="1381">
        <v>304</v>
      </c>
      <c r="J34" s="1048">
        <f>LOOKUP(I34,104:104,105:105)-LOOKUP(C34,104:104,105:105)+100</f>
        <v>100</v>
      </c>
      <c r="K34" s="1189"/>
      <c r="L34" s="1182"/>
      <c r="M34" s="1191"/>
      <c r="N34" s="1191"/>
      <c r="O34" s="1191"/>
      <c r="P34" s="3389"/>
      <c r="Q34" s="1415" t="str">
        <f t="shared" si="11"/>
        <v>项目建筑规模</v>
      </c>
      <c r="R34" s="1221" t="s">
        <v>1393</v>
      </c>
      <c r="S34" s="1222">
        <f t="shared" si="12"/>
        <v>99</v>
      </c>
      <c r="T34" s="1221" t="s">
        <v>1393</v>
      </c>
      <c r="U34" s="1222">
        <f t="shared" si="13"/>
        <v>99</v>
      </c>
      <c r="V34" s="1221" t="s">
        <v>1393</v>
      </c>
      <c r="W34" s="1222">
        <f t="shared" si="14"/>
        <v>100</v>
      </c>
      <c r="X34" s="1223"/>
      <c r="Y34" s="3393"/>
      <c r="Z34" s="1228" t="str">
        <f t="shared" si="15"/>
        <v>项目建筑规模</v>
      </c>
      <c r="AA34" s="1204">
        <f t="shared" si="3"/>
        <v>1.0101010101010102</v>
      </c>
      <c r="AB34" s="1204">
        <f t="shared" si="4"/>
        <v>1.0101010101010102</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9"/>
      <c r="Q35" s="625" t="str">
        <f t="shared" si="11"/>
        <v>建筑结构</v>
      </c>
      <c r="R35" s="1219" t="s">
        <v>1393</v>
      </c>
      <c r="S35" s="1220">
        <f t="shared" si="12"/>
        <v>100</v>
      </c>
      <c r="T35" s="1219" t="s">
        <v>1393</v>
      </c>
      <c r="U35" s="1220">
        <f t="shared" si="13"/>
        <v>100</v>
      </c>
      <c r="V35" s="1219" t="s">
        <v>1393</v>
      </c>
      <c r="W35" s="1220">
        <f t="shared" si="14"/>
        <v>100</v>
      </c>
      <c r="X35" s="1214"/>
      <c r="Y35" s="3393"/>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9"/>
      <c r="Q36" s="625" t="str">
        <f t="shared" si="11"/>
        <v>公共部分装修</v>
      </c>
      <c r="R36" s="1219" t="s">
        <v>1393</v>
      </c>
      <c r="S36" s="1220">
        <f t="shared" si="12"/>
        <v>100</v>
      </c>
      <c r="T36" s="1219" t="s">
        <v>1393</v>
      </c>
      <c r="U36" s="1220">
        <f t="shared" si="13"/>
        <v>100</v>
      </c>
      <c r="V36" s="1219" t="s">
        <v>1393</v>
      </c>
      <c r="W36" s="1220">
        <f t="shared" si="14"/>
        <v>100</v>
      </c>
      <c r="X36" s="1214"/>
      <c r="Y36" s="3393"/>
      <c r="Z36" s="1204" t="str">
        <f t="shared" si="15"/>
        <v>公共部分装修</v>
      </c>
      <c r="AA36" s="1204">
        <f t="shared" si="3"/>
        <v>1</v>
      </c>
      <c r="AB36" s="1204">
        <f t="shared" si="4"/>
        <v>1</v>
      </c>
      <c r="AC36" s="2097">
        <f t="shared" si="5"/>
        <v>1</v>
      </c>
    </row>
    <row r="37" spans="1:29" ht="15">
      <c r="A37" s="1098"/>
      <c r="B37" s="1046" t="s">
        <v>683</v>
      </c>
      <c r="C37" s="1391">
        <f>'数据-取费表'!N6</f>
        <v>0.77</v>
      </c>
      <c r="D37" s="759">
        <v>100</v>
      </c>
      <c r="E37" s="1391">
        <f>C37</f>
        <v>0.77</v>
      </c>
      <c r="F37" s="1199">
        <f>LOOKUP(E37,111:111,112:112)-LOOKUP(C37,111:111,112:112)+100</f>
        <v>100</v>
      </c>
      <c r="G37" s="1391">
        <f>E37</f>
        <v>0.77</v>
      </c>
      <c r="H37" s="1199">
        <f>LOOKUP(G37,111:111,112:112)-LOOKUP(C37,111:111,112:112)+100</f>
        <v>100</v>
      </c>
      <c r="I37" s="1391">
        <f>G37</f>
        <v>0.77</v>
      </c>
      <c r="J37" s="759">
        <f>LOOKUP(I37,111:111,112:112)-LOOKUP(C37,111:111,112:112)+100</f>
        <v>100</v>
      </c>
      <c r="K37" s="1190"/>
      <c r="L37" s="1184"/>
      <c r="M37" s="1122"/>
      <c r="N37" s="1122"/>
      <c r="O37" s="1122"/>
      <c r="P37" s="3389"/>
      <c r="Q37" s="625" t="str">
        <f t="shared" si="11"/>
        <v>成新度</v>
      </c>
      <c r="R37" s="1219" t="s">
        <v>1393</v>
      </c>
      <c r="S37" s="1220">
        <f t="shared" si="12"/>
        <v>100</v>
      </c>
      <c r="T37" s="1219" t="s">
        <v>1393</v>
      </c>
      <c r="U37" s="1220">
        <f t="shared" si="13"/>
        <v>100</v>
      </c>
      <c r="V37" s="1219" t="s">
        <v>1393</v>
      </c>
      <c r="W37" s="1220">
        <f t="shared" si="14"/>
        <v>100</v>
      </c>
      <c r="X37" s="1214"/>
      <c r="Y37" s="3393"/>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9"/>
      <c r="Q38" s="794" t="str">
        <f t="shared" si="11"/>
        <v>写字楼等级</v>
      </c>
      <c r="R38" s="1215" t="s">
        <v>1393</v>
      </c>
      <c r="S38" s="1216">
        <f t="shared" si="12"/>
        <v>100</v>
      </c>
      <c r="T38" s="1215" t="s">
        <v>1393</v>
      </c>
      <c r="U38" s="1216">
        <f t="shared" si="13"/>
        <v>100</v>
      </c>
      <c r="V38" s="1215" t="s">
        <v>1393</v>
      </c>
      <c r="W38" s="1216">
        <f t="shared" si="14"/>
        <v>100</v>
      </c>
      <c r="X38" s="1217"/>
      <c r="Y38" s="3393"/>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9" t="s">
        <v>1421</v>
      </c>
      <c r="Q39" s="625" t="str">
        <f t="shared" si="11"/>
        <v>物业管理</v>
      </c>
      <c r="R39" s="1219" t="s">
        <v>1393</v>
      </c>
      <c r="S39" s="1220">
        <f t="shared" si="12"/>
        <v>100</v>
      </c>
      <c r="T39" s="1219" t="s">
        <v>1393</v>
      </c>
      <c r="U39" s="1220">
        <f t="shared" si="13"/>
        <v>100</v>
      </c>
      <c r="V39" s="1219" t="s">
        <v>1393</v>
      </c>
      <c r="W39" s="1220">
        <f t="shared" si="14"/>
        <v>100</v>
      </c>
      <c r="X39" s="1214"/>
      <c r="Y39" s="3393"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9"/>
      <c r="Q40" s="625" t="str">
        <f t="shared" si="11"/>
        <v>市政基础设施</v>
      </c>
      <c r="R40" s="1219" t="s">
        <v>1393</v>
      </c>
      <c r="S40" s="1220">
        <f t="shared" si="12"/>
        <v>100</v>
      </c>
      <c r="T40" s="1219" t="s">
        <v>1393</v>
      </c>
      <c r="U40" s="1220">
        <f t="shared" si="13"/>
        <v>100</v>
      </c>
      <c r="V40" s="1219" t="s">
        <v>1393</v>
      </c>
      <c r="W40" s="1220">
        <f t="shared" si="14"/>
        <v>100</v>
      </c>
      <c r="X40" s="1214"/>
      <c r="Y40" s="3393"/>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9"/>
      <c r="Q41" s="625" t="str">
        <f t="shared" si="11"/>
        <v>层高</v>
      </c>
      <c r="R41" s="1219" t="s">
        <v>1393</v>
      </c>
      <c r="S41" s="1220">
        <f t="shared" si="12"/>
        <v>100</v>
      </c>
      <c r="T41" s="1219" t="s">
        <v>1393</v>
      </c>
      <c r="U41" s="1220">
        <f t="shared" si="13"/>
        <v>100</v>
      </c>
      <c r="V41" s="1219" t="s">
        <v>1393</v>
      </c>
      <c r="W41" s="1220">
        <f t="shared" si="14"/>
        <v>100</v>
      </c>
      <c r="X41" s="1214"/>
      <c r="Y41" s="3393"/>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9"/>
      <c r="Q42" s="1415" t="str">
        <f t="shared" si="11"/>
        <v>单套建筑面积</v>
      </c>
      <c r="R42" s="1221" t="s">
        <v>1393</v>
      </c>
      <c r="S42" s="1222">
        <f t="shared" si="12"/>
        <v>100</v>
      </c>
      <c r="T42" s="1221" t="s">
        <v>1393</v>
      </c>
      <c r="U42" s="1222">
        <f t="shared" si="13"/>
        <v>100</v>
      </c>
      <c r="V42" s="1221" t="s">
        <v>1393</v>
      </c>
      <c r="W42" s="1222">
        <f t="shared" si="14"/>
        <v>100</v>
      </c>
      <c r="X42" s="1223"/>
      <c r="Y42" s="3393"/>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c r="L43" s="1184"/>
      <c r="M43" s="1122"/>
      <c r="N43" s="1122"/>
      <c r="O43" s="1122"/>
      <c r="P43" s="3389"/>
      <c r="Q43" s="625" t="str">
        <f t="shared" si="11"/>
        <v>内部装修</v>
      </c>
      <c r="R43" s="1219" t="s">
        <v>1393</v>
      </c>
      <c r="S43" s="1220">
        <f t="shared" si="12"/>
        <v>100</v>
      </c>
      <c r="T43" s="1219" t="s">
        <v>1393</v>
      </c>
      <c r="U43" s="1220">
        <f t="shared" si="13"/>
        <v>100</v>
      </c>
      <c r="V43" s="1219" t="s">
        <v>1393</v>
      </c>
      <c r="W43" s="1220">
        <f t="shared" si="14"/>
        <v>100</v>
      </c>
      <c r="X43" s="1214"/>
      <c r="Y43" s="3393"/>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c r="L44" s="1184"/>
      <c r="M44" s="1122"/>
      <c r="N44" s="1122"/>
      <c r="O44" s="1122"/>
      <c r="P44" s="3389"/>
      <c r="Q44" s="625" t="str">
        <f t="shared" si="11"/>
        <v>内部装修维护情况</v>
      </c>
      <c r="R44" s="1219" t="s">
        <v>1393</v>
      </c>
      <c r="S44" s="1220">
        <f t="shared" si="12"/>
        <v>100</v>
      </c>
      <c r="T44" s="1219" t="s">
        <v>1393</v>
      </c>
      <c r="U44" s="1220">
        <f t="shared" si="13"/>
        <v>100</v>
      </c>
      <c r="V44" s="1219" t="s">
        <v>1393</v>
      </c>
      <c r="W44" s="1220">
        <f t="shared" si="14"/>
        <v>100</v>
      </c>
      <c r="X44" s="1214"/>
      <c r="Y44" s="3393"/>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9"/>
      <c r="Q45" s="794">
        <f t="shared" si="11"/>
        <v>111</v>
      </c>
      <c r="R45" s="1215" t="s">
        <v>1393</v>
      </c>
      <c r="S45" s="1216">
        <f t="shared" si="12"/>
        <v>100</v>
      </c>
      <c r="T45" s="1215" t="s">
        <v>1393</v>
      </c>
      <c r="U45" s="1216">
        <f t="shared" si="13"/>
        <v>100</v>
      </c>
      <c r="V45" s="1215" t="s">
        <v>1393</v>
      </c>
      <c r="W45" s="1216">
        <f t="shared" si="14"/>
        <v>100</v>
      </c>
      <c r="X45" s="1217"/>
      <c r="Y45" s="3393"/>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9"/>
      <c r="Q46" s="625">
        <f t="shared" si="11"/>
        <v>111</v>
      </c>
      <c r="R46" s="1219" t="s">
        <v>1393</v>
      </c>
      <c r="S46" s="1220">
        <f t="shared" si="12"/>
        <v>100</v>
      </c>
      <c r="T46" s="1219" t="s">
        <v>1393</v>
      </c>
      <c r="U46" s="1220">
        <f t="shared" si="13"/>
        <v>100</v>
      </c>
      <c r="V46" s="1219" t="s">
        <v>1393</v>
      </c>
      <c r="W46" s="1220">
        <f t="shared" si="14"/>
        <v>100</v>
      </c>
      <c r="X46" s="1214"/>
      <c r="Y46" s="3393"/>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0"/>
      <c r="Q47" s="625">
        <f t="shared" si="11"/>
        <v>111</v>
      </c>
      <c r="R47" s="1219" t="s">
        <v>1393</v>
      </c>
      <c r="S47" s="1220">
        <f t="shared" si="12"/>
        <v>100</v>
      </c>
      <c r="T47" s="1219" t="s">
        <v>1393</v>
      </c>
      <c r="U47" s="1220">
        <f t="shared" si="13"/>
        <v>100</v>
      </c>
      <c r="V47" s="1219" t="s">
        <v>1393</v>
      </c>
      <c r="W47" s="1220">
        <f t="shared" si="14"/>
        <v>100</v>
      </c>
      <c r="X47" s="1214"/>
      <c r="Y47" s="3394"/>
      <c r="Z47" s="1204">
        <f t="shared" si="15"/>
        <v>111</v>
      </c>
      <c r="AA47" s="1204">
        <f t="shared" si="3"/>
        <v>1</v>
      </c>
      <c r="AB47" s="1204">
        <f t="shared" si="4"/>
        <v>1</v>
      </c>
      <c r="AC47" s="2097">
        <f t="shared" si="5"/>
        <v>1</v>
      </c>
    </row>
    <row r="48" spans="1:29" ht="15">
      <c r="A48" s="1105" t="s">
        <v>1437</v>
      </c>
      <c r="B48" s="1398"/>
      <c r="C48" s="1399" t="s">
        <v>124</v>
      </c>
      <c r="D48" s="1108"/>
      <c r="E48" s="1109">
        <v>20000</v>
      </c>
      <c r="F48" s="1110"/>
      <c r="G48" s="1111">
        <v>20000</v>
      </c>
      <c r="H48" s="1112"/>
      <c r="I48" s="1109">
        <v>20000</v>
      </c>
      <c r="J48" s="1112"/>
      <c r="K48" s="1195"/>
      <c r="L48" s="1196"/>
      <c r="M48" s="1122"/>
      <c r="N48" s="1122"/>
      <c r="O48" s="1122"/>
      <c r="P48" s="3378" t="str">
        <f>A48</f>
        <v>成交单价（元/平方米）</v>
      </c>
      <c r="Q48" s="3379"/>
      <c r="R48" s="3377">
        <f>E48</f>
        <v>20000</v>
      </c>
      <c r="S48" s="3377"/>
      <c r="T48" s="3377">
        <f>G48</f>
        <v>20000</v>
      </c>
      <c r="U48" s="3377"/>
      <c r="V48" s="3377">
        <f>I48</f>
        <v>20000</v>
      </c>
      <c r="W48" s="3377"/>
      <c r="X48" s="1162"/>
      <c r="Y48" s="1229"/>
      <c r="Z48" s="1162"/>
      <c r="AA48" s="1162"/>
      <c r="AB48" s="1162"/>
      <c r="AC48" s="1067"/>
    </row>
    <row r="49" spans="1:29" ht="15">
      <c r="A49" s="1113" t="s">
        <v>1438</v>
      </c>
      <c r="B49" s="1400"/>
      <c r="C49" s="1401">
        <f>R50</f>
        <v>19740</v>
      </c>
      <c r="D49" s="1116" t="s">
        <v>1439</v>
      </c>
      <c r="E49" s="1402">
        <f>R49</f>
        <v>19806</v>
      </c>
      <c r="F49" s="1117"/>
      <c r="G49" s="1401">
        <f>T49</f>
        <v>19806</v>
      </c>
      <c r="H49" s="1117"/>
      <c r="I49" s="1402">
        <f>V49</f>
        <v>19608</v>
      </c>
      <c r="J49" s="1117"/>
      <c r="K49" s="1197">
        <f>F49+H49+J49</f>
        <v>0</v>
      </c>
      <c r="L49" s="1196"/>
      <c r="M49" s="1122"/>
      <c r="N49" s="1122"/>
      <c r="O49" s="1122"/>
      <c r="P49" s="3378" t="str">
        <f>A49</f>
        <v>比较价值（元/平方米）</v>
      </c>
      <c r="Q49" s="3379"/>
      <c r="R49" s="3377">
        <f>IF(F1="售价",ROUND(PRODUCT(R48,AA7:AA47),0),ROUND(PRODUCT(R48,AA7:AA47),1))</f>
        <v>19806</v>
      </c>
      <c r="S49" s="3377"/>
      <c r="T49" s="3377">
        <f>IF(F1="售价",ROUND(PRODUCT(T48,AB7:AB47),0),ROUND(PRODUCT(T48,AB7:AB47),1))</f>
        <v>19806</v>
      </c>
      <c r="U49" s="3377"/>
      <c r="V49" s="3377">
        <f>IF(F1="售价",ROUND(PRODUCT(V48,AC7:AC47),0),ROUND(PRODUCT(V48,AC7:AC47),1))</f>
        <v>19608</v>
      </c>
      <c r="W49" s="3377"/>
      <c r="X49" s="1162"/>
      <c r="Y49" s="1162"/>
      <c r="Z49" s="1162"/>
      <c r="AA49" s="1162"/>
      <c r="AB49" s="1162"/>
      <c r="AC49" s="1067"/>
    </row>
    <row r="50" spans="1:29" ht="15">
      <c r="A50" s="1119" t="s">
        <v>1440</v>
      </c>
      <c r="B50" s="1120"/>
      <c r="C50" s="1032">
        <f>R50</f>
        <v>19740</v>
      </c>
      <c r="D50" s="1032"/>
      <c r="E50" s="1032"/>
      <c r="F50" s="1032"/>
      <c r="G50" s="1032"/>
      <c r="H50" s="1032"/>
      <c r="I50" s="1032"/>
      <c r="J50" s="1121"/>
      <c r="K50" s="1198"/>
      <c r="L50" s="1196"/>
      <c r="M50" s="1122"/>
      <c r="N50" s="1122"/>
      <c r="O50" s="1122"/>
      <c r="P50" s="3380" t="str">
        <f>A50</f>
        <v>估价对象XX用房的比较价值（楼面单价，元/平方米）</v>
      </c>
      <c r="Q50" s="3381"/>
      <c r="R50" s="3382">
        <f>IF(F1="售价",ROUND(IF(D49="简单平均",AVERAGE(R49:V49),R49*F49+T49*H49+V49*J49),0),ROUND(IF(D49="简单平均",AVERAGE(R49:V49),R49*F49+T49*H49+V49*J49),1))</f>
        <v>19740</v>
      </c>
      <c r="S50" s="3382"/>
      <c r="T50" s="3382"/>
      <c r="U50" s="3382"/>
      <c r="V50" s="3382"/>
      <c r="W50" s="3382"/>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9.7950116126426234E-3</v>
      </c>
      <c r="F53" s="1126" t="str">
        <f>IF(OR(E53&gt;=0.3,E53&lt;=-0.3),"超过30%","")</f>
        <v/>
      </c>
      <c r="G53" s="1125">
        <f>IF(G48&lt;G49,G49/G48-1,G48/G49-1)</f>
        <v>9.7950116126426234E-3</v>
      </c>
      <c r="H53" s="1126" t="str">
        <f>IF(OR(G53&gt;=0.3,G53&lt;=-0.3),"超过30%","")</f>
        <v/>
      </c>
      <c r="I53" s="1125">
        <f>IF(I48&lt;I49,I49/I48-1,I48/I49-1)</f>
        <v>1.9991840065279431E-2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v>
      </c>
      <c r="F54" s="1126" t="str">
        <f>IF(OR(E54&gt;=0.2,E54&lt;=-0.2),"超过20%","")</f>
        <v/>
      </c>
      <c r="G54" s="1125">
        <f>IF(G49&lt;I49,I49/G49-1,G49/I49-1)</f>
        <v>1.0097919216646156E-2</v>
      </c>
      <c r="H54" s="1126" t="str">
        <f>IF(OR(G54&gt;=0.2,G54&lt;=-0.2),"超过20%","")</f>
        <v/>
      </c>
      <c r="I54" s="1125">
        <f>IF(I49&lt;E49,E49/I49-1,I49/E49-1)</f>
        <v>1.0097919216646156E-2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0</v>
      </c>
      <c r="H55" s="1126" t="str">
        <f>IF(OR(G55&gt;=0.3,G55&lt;=-0.3),"超过30%","")</f>
        <v/>
      </c>
      <c r="I55" s="1125">
        <f>IF(I48&lt;E48,E48/I48-1,I48/E48-1)</f>
        <v>0</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工业（办公）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99</v>
      </c>
      <c r="D105" s="1248">
        <v>100</v>
      </c>
      <c r="E105" s="1248">
        <v>99</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8" zoomScale="85" zoomScaleNormal="70" zoomScaleSheetLayoutView="85" workbookViewId="0">
      <selection activeCell="E48" sqref="E4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19522</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77" t="s">
        <v>1381</v>
      </c>
      <c r="AC4" s="3408" t="s">
        <v>1382</v>
      </c>
    </row>
    <row r="5" spans="1:29" ht="15">
      <c r="A5" s="1029"/>
      <c r="B5" s="1030"/>
      <c r="C5" s="3404" t="s">
        <v>1385</v>
      </c>
      <c r="D5" s="3405"/>
      <c r="E5" s="3406"/>
      <c r="F5" s="3407"/>
      <c r="G5" s="3404"/>
      <c r="H5" s="3405"/>
      <c r="I5" s="3404"/>
      <c r="J5" s="3405"/>
      <c r="K5" s="1171"/>
      <c r="L5" s="1172"/>
      <c r="M5" s="1122"/>
      <c r="N5" s="1122"/>
      <c r="O5" s="1122"/>
      <c r="P5" s="3411"/>
      <c r="Q5" s="3367"/>
      <c r="R5" s="3372"/>
      <c r="S5" s="3373"/>
      <c r="T5" s="3372"/>
      <c r="U5" s="3373"/>
      <c r="V5" s="3377"/>
      <c r="W5" s="3377"/>
      <c r="X5" s="1214"/>
      <c r="Y5" s="3372"/>
      <c r="Z5" s="3373"/>
      <c r="AA5" s="3359"/>
      <c r="AB5" s="3377"/>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77"/>
      <c r="AC6" s="3360"/>
    </row>
    <row r="7" spans="1:29" s="1008" customFormat="1" ht="15">
      <c r="A7" s="1033" t="s">
        <v>1391</v>
      </c>
      <c r="B7" s="1034"/>
      <c r="C7" s="1035">
        <f>'数据-取费表'!B2</f>
        <v>45945</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83" t="s">
        <v>1392</v>
      </c>
      <c r="Q7" s="3399"/>
      <c r="R7" s="1215" t="s">
        <v>1393</v>
      </c>
      <c r="S7" s="1216">
        <f t="shared" ref="S7:S15" si="0">F7</f>
        <v>100</v>
      </c>
      <c r="T7" s="1215" t="s">
        <v>1393</v>
      </c>
      <c r="U7" s="1216">
        <f t="shared" ref="U7:U15" si="1">H7</f>
        <v>100</v>
      </c>
      <c r="V7" s="1215" t="s">
        <v>1393</v>
      </c>
      <c r="W7" s="1216">
        <f t="shared" ref="W7:W15" si="2">J7</f>
        <v>100</v>
      </c>
      <c r="X7" s="1217"/>
      <c r="Y7" s="3383" t="s">
        <v>1392</v>
      </c>
      <c r="Z7" s="3384"/>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3" t="s">
        <v>1397</v>
      </c>
      <c r="Q8" s="3384"/>
      <c r="R8" s="1215" t="s">
        <v>1393</v>
      </c>
      <c r="S8" s="1216">
        <f t="shared" si="0"/>
        <v>102</v>
      </c>
      <c r="T8" s="1215" t="s">
        <v>1393</v>
      </c>
      <c r="U8" s="1216">
        <f t="shared" si="1"/>
        <v>102</v>
      </c>
      <c r="V8" s="1215" t="s">
        <v>1393</v>
      </c>
      <c r="W8" s="1216">
        <f t="shared" si="2"/>
        <v>102</v>
      </c>
      <c r="X8" s="1217"/>
      <c r="Y8" s="3383" t="s">
        <v>1397</v>
      </c>
      <c r="Z8" s="3384"/>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8"/>
      <c r="Q11" s="794" t="str">
        <f t="shared" si="6"/>
        <v>容积率</v>
      </c>
      <c r="R11" s="1215" t="s">
        <v>1393</v>
      </c>
      <c r="S11" s="1216">
        <f t="shared" si="0"/>
        <v>100</v>
      </c>
      <c r="T11" s="1215" t="s">
        <v>1393</v>
      </c>
      <c r="U11" s="1216">
        <f t="shared" si="1"/>
        <v>100</v>
      </c>
      <c r="V11" s="1215" t="s">
        <v>1393</v>
      </c>
      <c r="W11" s="1216">
        <f t="shared" si="2"/>
        <v>100</v>
      </c>
      <c r="X11" s="1217"/>
      <c r="Y11" s="3265"/>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100</v>
      </c>
      <c r="K15" s="1412">
        <v>5</v>
      </c>
      <c r="L15" s="1184"/>
      <c r="M15" s="1122"/>
      <c r="N15" s="1122"/>
      <c r="O15" s="1122"/>
      <c r="P15" s="3386" t="s">
        <v>1406</v>
      </c>
      <c r="Q15" s="625" t="str">
        <f t="shared" si="6"/>
        <v>商业繁华度</v>
      </c>
      <c r="R15" s="1219" t="s">
        <v>1393</v>
      </c>
      <c r="S15" s="1220">
        <f t="shared" si="0"/>
        <v>100</v>
      </c>
      <c r="T15" s="1219" t="s">
        <v>1393</v>
      </c>
      <c r="U15" s="1220">
        <f t="shared" si="1"/>
        <v>100</v>
      </c>
      <c r="V15" s="1219" t="s">
        <v>1393</v>
      </c>
      <c r="W15" s="1220">
        <f t="shared" si="2"/>
        <v>100</v>
      </c>
      <c r="X15" s="1214"/>
      <c r="Y15" s="3391" t="s">
        <v>1406</v>
      </c>
      <c r="Z15" s="1204" t="str">
        <f t="shared" si="7"/>
        <v>商业繁华度</v>
      </c>
      <c r="AA15" s="1204">
        <f t="shared" si="3"/>
        <v>1</v>
      </c>
      <c r="AB15" s="1204">
        <f t="shared" si="4"/>
        <v>1</v>
      </c>
      <c r="AC15" s="1204">
        <f t="shared" si="5"/>
        <v>1</v>
      </c>
    </row>
    <row r="16" spans="1:29" ht="15">
      <c r="A16" s="1049"/>
      <c r="B16" s="1162"/>
      <c r="C16" s="1068" t="s">
        <v>1407</v>
      </c>
      <c r="D16" s="1069"/>
      <c r="E16" s="1338" t="s">
        <v>1407</v>
      </c>
      <c r="F16" s="1384"/>
      <c r="G16" s="1068" t="s">
        <v>1407</v>
      </c>
      <c r="H16" s="1071"/>
      <c r="I16" s="1338" t="s">
        <v>1407</v>
      </c>
      <c r="J16" s="1069"/>
      <c r="K16" s="1413"/>
      <c r="L16" s="1184"/>
      <c r="M16" s="1122"/>
      <c r="N16" s="1122"/>
      <c r="O16" s="1122"/>
      <c r="P16" s="3387"/>
      <c r="Q16" s="625"/>
      <c r="R16" s="1219"/>
      <c r="S16" s="1220"/>
      <c r="T16" s="1219"/>
      <c r="U16" s="1220"/>
      <c r="V16" s="1219"/>
      <c r="W16" s="1220"/>
      <c r="X16" s="1214"/>
      <c r="Y16" s="3392"/>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100</v>
      </c>
      <c r="K17" s="1412"/>
      <c r="L17" s="1184"/>
      <c r="M17" s="1122"/>
      <c r="N17" s="1122"/>
      <c r="O17" s="1122"/>
      <c r="P17" s="3387"/>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95"/>
      <c r="C18" s="1338" t="s">
        <v>1407</v>
      </c>
      <c r="D18" s="1071"/>
      <c r="E18" s="1338" t="s">
        <v>1407</v>
      </c>
      <c r="F18" s="1386"/>
      <c r="G18" s="1338" t="s">
        <v>1407</v>
      </c>
      <c r="H18" s="1069"/>
      <c r="I18" s="1338" t="s">
        <v>1407</v>
      </c>
      <c r="J18" s="1069"/>
      <c r="K18" s="1413"/>
      <c r="L18" s="1184"/>
      <c r="M18" s="1122"/>
      <c r="N18" s="1122"/>
      <c r="O18" s="1122"/>
      <c r="P18" s="3387"/>
      <c r="Q18" s="625"/>
      <c r="R18" s="1219"/>
      <c r="S18" s="1220"/>
      <c r="T18" s="1219"/>
      <c r="U18" s="1220"/>
      <c r="V18" s="1219"/>
      <c r="W18" s="1220"/>
      <c r="X18" s="1214"/>
      <c r="Y18" s="3392"/>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7"/>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7"/>
      <c r="Q20" s="625"/>
      <c r="R20" s="1219"/>
      <c r="S20" s="1220"/>
      <c r="T20" s="1219"/>
      <c r="U20" s="1220"/>
      <c r="V20" s="1219"/>
      <c r="W20" s="1220"/>
      <c r="X20" s="1214"/>
      <c r="Y20" s="3392"/>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7"/>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7"/>
      <c r="Q22" s="625"/>
      <c r="R22" s="1219"/>
      <c r="S22" s="1220"/>
      <c r="T22" s="1219"/>
      <c r="U22" s="1220"/>
      <c r="V22" s="1219"/>
      <c r="W22" s="1220"/>
      <c r="X22" s="1214"/>
      <c r="Y22" s="3392"/>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7"/>
      <c r="Q23" s="625" t="str">
        <f>B23</f>
        <v>自然及人文环境</v>
      </c>
      <c r="R23" s="1219" t="s">
        <v>1393</v>
      </c>
      <c r="S23" s="1220">
        <f>F23</f>
        <v>100</v>
      </c>
      <c r="T23" s="1219" t="s">
        <v>1393</v>
      </c>
      <c r="U23" s="1220">
        <f>H23</f>
        <v>100</v>
      </c>
      <c r="V23" s="1219" t="s">
        <v>1393</v>
      </c>
      <c r="W23" s="1220">
        <f>J23</f>
        <v>100</v>
      </c>
      <c r="X23" s="1214"/>
      <c r="Y23" s="3392"/>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7"/>
      <c r="Q24" s="625"/>
      <c r="R24" s="1219"/>
      <c r="S24" s="1220"/>
      <c r="T24" s="1219"/>
      <c r="U24" s="1220"/>
      <c r="V24" s="1219"/>
      <c r="W24" s="1220"/>
      <c r="X24" s="1214"/>
      <c r="Y24" s="3392"/>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7"/>
      <c r="Q25" s="625" t="str">
        <f t="shared" ref="Q25:Q46" si="11">B25</f>
        <v>临街状况</v>
      </c>
      <c r="R25" s="1219" t="s">
        <v>1393</v>
      </c>
      <c r="S25" s="1220">
        <f>F25</f>
        <v>100</v>
      </c>
      <c r="T25" s="1219" t="s">
        <v>1393</v>
      </c>
      <c r="U25" s="1220">
        <f>H25</f>
        <v>100</v>
      </c>
      <c r="V25" s="1219" t="s">
        <v>1393</v>
      </c>
      <c r="W25" s="1220">
        <f>J25</f>
        <v>100</v>
      </c>
      <c r="X25" s="1214"/>
      <c r="Y25" s="3392"/>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7"/>
      <c r="Q26" s="625" t="str">
        <f t="shared" si="11"/>
        <v>平面位置/可视性</v>
      </c>
      <c r="R26" s="1219" t="s">
        <v>1393</v>
      </c>
      <c r="S26" s="1220">
        <f>F26</f>
        <v>100</v>
      </c>
      <c r="T26" s="1219" t="s">
        <v>1393</v>
      </c>
      <c r="U26" s="1220">
        <f>H26</f>
        <v>100</v>
      </c>
      <c r="V26" s="1219" t="s">
        <v>1393</v>
      </c>
      <c r="W26" s="1220">
        <f>J26</f>
        <v>100</v>
      </c>
      <c r="X26" s="1214"/>
      <c r="Y26" s="3392"/>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7"/>
      <c r="Q27" s="794" t="str">
        <f t="shared" si="11"/>
        <v>人流量</v>
      </c>
      <c r="R27" s="1215" t="s">
        <v>1393</v>
      </c>
      <c r="S27" s="1216">
        <f>F27</f>
        <v>100</v>
      </c>
      <c r="T27" s="1215" t="s">
        <v>1393</v>
      </c>
      <c r="U27" s="1216">
        <f>H27</f>
        <v>100</v>
      </c>
      <c r="V27" s="1215" t="s">
        <v>1393</v>
      </c>
      <c r="W27" s="1216">
        <f>J27</f>
        <v>100</v>
      </c>
      <c r="X27" s="1217"/>
      <c r="Y27" s="3392"/>
      <c r="Z27" s="1227" t="str">
        <f>Q27</f>
        <v>人流量</v>
      </c>
      <c r="AA27" s="1204">
        <f t="shared" si="3"/>
        <v>1</v>
      </c>
      <c r="AB27" s="1204">
        <f t="shared" si="4"/>
        <v>1</v>
      </c>
      <c r="AC27" s="1204">
        <f t="shared" si="5"/>
        <v>1</v>
      </c>
    </row>
    <row r="28" spans="1:29" ht="15">
      <c r="A28" s="1049"/>
      <c r="B28" s="1046" t="s">
        <v>1413</v>
      </c>
      <c r="C28" s="1082" t="s">
        <v>2788</v>
      </c>
      <c r="D28" s="759">
        <v>100</v>
      </c>
      <c r="E28" s="1082" t="s">
        <v>2788</v>
      </c>
      <c r="F28" s="1199">
        <f>SUMIF(92:92,E28,93:93)-SUMIF(92:92,C28,93:93)+100</f>
        <v>100</v>
      </c>
      <c r="G28" s="1082" t="s">
        <v>2788</v>
      </c>
      <c r="H28" s="759">
        <f>SUMIF(92:92,G28,93:93)-SUMIF(92:92,C28,93:93)+100</f>
        <v>100</v>
      </c>
      <c r="I28" s="1082" t="s">
        <v>2788</v>
      </c>
      <c r="J28" s="759">
        <f>SUMIF(92:92,I28,93:93)-SUMIF(92:92,C28,93:93)+100</f>
        <v>100</v>
      </c>
      <c r="K28" s="1189"/>
      <c r="L28" s="1184"/>
      <c r="M28" s="1122"/>
      <c r="N28" s="1122"/>
      <c r="O28" s="1122"/>
      <c r="P28" s="3387"/>
      <c r="Q28" s="625" t="str">
        <f t="shared" si="11"/>
        <v>楼层</v>
      </c>
      <c r="R28" s="1219" t="s">
        <v>1393</v>
      </c>
      <c r="S28" s="1220">
        <f t="shared" ref="S28:S46" si="12">F28</f>
        <v>100</v>
      </c>
      <c r="T28" s="1219" t="s">
        <v>1393</v>
      </c>
      <c r="U28" s="1220">
        <f t="shared" ref="U28:U46" si="13">H28</f>
        <v>100</v>
      </c>
      <c r="V28" s="1219" t="s">
        <v>1393</v>
      </c>
      <c r="W28" s="1220">
        <f t="shared" ref="W28:W46" si="14">J28</f>
        <v>100</v>
      </c>
      <c r="X28" s="1214"/>
      <c r="Y28" s="3392"/>
      <c r="Z28" s="1204" t="str">
        <f t="shared" ref="Z28:Z46" si="15">Q28</f>
        <v>楼层</v>
      </c>
      <c r="AA28" s="1204">
        <f t="shared" si="3"/>
        <v>1</v>
      </c>
      <c r="AB28" s="1204">
        <f t="shared" si="4"/>
        <v>1</v>
      </c>
      <c r="AC28" s="1204">
        <f t="shared" si="5"/>
        <v>1</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7"/>
      <c r="Q29" s="625">
        <f t="shared" si="11"/>
        <v>111</v>
      </c>
      <c r="R29" s="1219" t="s">
        <v>1393</v>
      </c>
      <c r="S29" s="1220">
        <f t="shared" si="12"/>
        <v>100</v>
      </c>
      <c r="T29" s="1219" t="s">
        <v>1393</v>
      </c>
      <c r="U29" s="1220">
        <f t="shared" si="13"/>
        <v>100</v>
      </c>
      <c r="V29" s="1219" t="s">
        <v>1393</v>
      </c>
      <c r="W29" s="1220">
        <f t="shared" si="14"/>
        <v>100</v>
      </c>
      <c r="X29" s="1214"/>
      <c r="Y29" s="3392"/>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7"/>
      <c r="Q30" s="625">
        <f t="shared" si="11"/>
        <v>111</v>
      </c>
      <c r="R30" s="1219" t="s">
        <v>1393</v>
      </c>
      <c r="S30" s="1220">
        <f t="shared" si="12"/>
        <v>100</v>
      </c>
      <c r="T30" s="1219" t="s">
        <v>1393</v>
      </c>
      <c r="U30" s="1220">
        <f t="shared" si="13"/>
        <v>100</v>
      </c>
      <c r="V30" s="1219" t="s">
        <v>1393</v>
      </c>
      <c r="W30" s="1220">
        <f t="shared" si="14"/>
        <v>100</v>
      </c>
      <c r="X30" s="1214"/>
      <c r="Y30" s="3392"/>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7"/>
      <c r="Q31" s="625">
        <f t="shared" si="11"/>
        <v>111</v>
      </c>
      <c r="R31" s="1219" t="s">
        <v>1393</v>
      </c>
      <c r="S31" s="1220">
        <f t="shared" si="12"/>
        <v>100</v>
      </c>
      <c r="T31" s="1219" t="s">
        <v>1393</v>
      </c>
      <c r="U31" s="1220">
        <f t="shared" si="13"/>
        <v>100</v>
      </c>
      <c r="V31" s="1219" t="s">
        <v>1393</v>
      </c>
      <c r="W31" s="1220">
        <f t="shared" si="14"/>
        <v>100</v>
      </c>
      <c r="X31" s="1214"/>
      <c r="Y31" s="3392"/>
      <c r="Z31" s="1204">
        <f t="shared" si="15"/>
        <v>111</v>
      </c>
      <c r="AA31" s="1204">
        <f t="shared" si="3"/>
        <v>1</v>
      </c>
      <c r="AB31" s="1204">
        <f t="shared" si="4"/>
        <v>1</v>
      </c>
      <c r="AC31" s="1204">
        <f t="shared" si="5"/>
        <v>1</v>
      </c>
    </row>
    <row r="32" spans="1:29" ht="15">
      <c r="A32" s="1062" t="s">
        <v>1418</v>
      </c>
      <c r="B32" s="1042" t="s">
        <v>1630</v>
      </c>
      <c r="C32" s="1389" t="s">
        <v>2780</v>
      </c>
      <c r="D32" s="1097">
        <v>100</v>
      </c>
      <c r="E32" s="1389" t="s">
        <v>2780</v>
      </c>
      <c r="F32" s="1199">
        <f>SUMIF(100:100,E32,101:101)-SUMIF(100:100,C32,101:101)+100</f>
        <v>100</v>
      </c>
      <c r="G32" s="1389" t="s">
        <v>2780</v>
      </c>
      <c r="H32" s="759">
        <f>SUMIF(100:100,G32,101:101)-SUMIF(100:100,C32,101:101)+100</f>
        <v>100</v>
      </c>
      <c r="I32" s="1389" t="s">
        <v>2780</v>
      </c>
      <c r="J32" s="1097">
        <f>SUMIF(100:100,I32,101:101)-SUMIF(100:100,C32,101:101)+100</f>
        <v>100</v>
      </c>
      <c r="K32" s="1190"/>
      <c r="L32" s="1184"/>
      <c r="M32" s="1122"/>
      <c r="N32" s="1122"/>
      <c r="O32" s="1122"/>
      <c r="P32" s="3388" t="s">
        <v>1421</v>
      </c>
      <c r="Q32" s="625" t="str">
        <f t="shared" si="11"/>
        <v>商业类型</v>
      </c>
      <c r="R32" s="1219" t="s">
        <v>1393</v>
      </c>
      <c r="S32" s="1220">
        <f t="shared" si="12"/>
        <v>100</v>
      </c>
      <c r="T32" s="1219" t="s">
        <v>1393</v>
      </c>
      <c r="U32" s="1220">
        <f t="shared" si="13"/>
        <v>100</v>
      </c>
      <c r="V32" s="1219" t="s">
        <v>1393</v>
      </c>
      <c r="W32" s="1220">
        <f t="shared" si="14"/>
        <v>100</v>
      </c>
      <c r="X32" s="1214"/>
      <c r="Y32" s="3393"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332.39</v>
      </c>
      <c r="D33" s="1048">
        <v>100</v>
      </c>
      <c r="E33" s="1051">
        <v>495</v>
      </c>
      <c r="F33" s="1046">
        <f>LOOKUP(E33,103:103,104:104)-LOOKUP(C33,103:103,104:104)+100</f>
        <v>100</v>
      </c>
      <c r="G33" s="1050">
        <v>54.12</v>
      </c>
      <c r="H33" s="1048">
        <f>LOOKUP(G33,103:103,104:104)-LOOKUP(C33,103:103,104:104)+100</f>
        <v>106</v>
      </c>
      <c r="I33" s="1050">
        <v>61.27</v>
      </c>
      <c r="J33" s="1048">
        <f>LOOKUP(I33,103:103,104:104)-LOOKUP(C33,103:103,104:104)+100</f>
        <v>106</v>
      </c>
      <c r="K33" s="1189"/>
      <c r="L33" s="1182"/>
      <c r="M33" s="1191"/>
      <c r="N33" s="1191"/>
      <c r="O33" s="1191"/>
      <c r="P33" s="3389"/>
      <c r="Q33" s="1415" t="str">
        <f t="shared" si="11"/>
        <v>项目建筑规模</v>
      </c>
      <c r="R33" s="1221" t="s">
        <v>1393</v>
      </c>
      <c r="S33" s="1222">
        <f t="shared" si="12"/>
        <v>100</v>
      </c>
      <c r="T33" s="1221" t="s">
        <v>1393</v>
      </c>
      <c r="U33" s="1222">
        <f t="shared" si="13"/>
        <v>106</v>
      </c>
      <c r="V33" s="1221" t="s">
        <v>1393</v>
      </c>
      <c r="W33" s="1222">
        <f t="shared" si="14"/>
        <v>106</v>
      </c>
      <c r="X33" s="1223"/>
      <c r="Y33" s="3393"/>
      <c r="Z33" s="1228" t="str">
        <f t="shared" si="15"/>
        <v>项目建筑规模</v>
      </c>
      <c r="AA33" s="1204">
        <f t="shared" si="3"/>
        <v>1</v>
      </c>
      <c r="AB33" s="1204">
        <f t="shared" si="4"/>
        <v>0.94339622641509435</v>
      </c>
      <c r="AC33" s="1204">
        <f t="shared" si="5"/>
        <v>0.94339622641509435</v>
      </c>
    </row>
    <row r="34" spans="1:29" ht="15">
      <c r="A34" s="1098"/>
      <c r="B34" s="1046" t="s">
        <v>1423</v>
      </c>
      <c r="C34" s="1394" t="s">
        <v>1424</v>
      </c>
      <c r="D34" s="759">
        <v>100</v>
      </c>
      <c r="E34" s="1394" t="s">
        <v>1424</v>
      </c>
      <c r="F34" s="1199">
        <f>SUMIF(105:105,E34,106:106)-SUMIF(105:105,C34,106:106)+100</f>
        <v>100</v>
      </c>
      <c r="G34" s="3167" t="s">
        <v>2795</v>
      </c>
      <c r="H34" s="759">
        <f>SUMIF(105:105,G34,106:106)-SUMIF(105:105,C34,106:106)+100</f>
        <v>100</v>
      </c>
      <c r="I34" s="3167" t="s">
        <v>2795</v>
      </c>
      <c r="J34" s="759">
        <f>SUMIF(105:105,I34,106:106)-SUMIF(105:105,C34,106:106)+100</f>
        <v>100</v>
      </c>
      <c r="K34" s="1190"/>
      <c r="L34" s="1184"/>
      <c r="M34" s="1122"/>
      <c r="N34" s="1122"/>
      <c r="O34" s="1122"/>
      <c r="P34" s="3389"/>
      <c r="Q34" s="625" t="str">
        <f t="shared" si="11"/>
        <v>建筑结构</v>
      </c>
      <c r="R34" s="1219" t="s">
        <v>1393</v>
      </c>
      <c r="S34" s="1220">
        <f t="shared" si="12"/>
        <v>100</v>
      </c>
      <c r="T34" s="1219" t="s">
        <v>1393</v>
      </c>
      <c r="U34" s="1220">
        <f t="shared" si="13"/>
        <v>100</v>
      </c>
      <c r="V34" s="1219" t="s">
        <v>1393</v>
      </c>
      <c r="W34" s="1220">
        <f t="shared" si="14"/>
        <v>100</v>
      </c>
      <c r="X34" s="1214"/>
      <c r="Y34" s="3393"/>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9"/>
      <c r="Q35" s="625" t="str">
        <f t="shared" si="11"/>
        <v>公共部分装修</v>
      </c>
      <c r="R35" s="1219" t="s">
        <v>1393</v>
      </c>
      <c r="S35" s="1220">
        <f t="shared" si="12"/>
        <v>100</v>
      </c>
      <c r="T35" s="1219" t="s">
        <v>1393</v>
      </c>
      <c r="U35" s="1220">
        <f t="shared" si="13"/>
        <v>100</v>
      </c>
      <c r="V35" s="1219" t="s">
        <v>1393</v>
      </c>
      <c r="W35" s="1220">
        <f t="shared" si="14"/>
        <v>100</v>
      </c>
      <c r="X35" s="1214"/>
      <c r="Y35" s="3393"/>
      <c r="Z35" s="1204" t="str">
        <f t="shared" si="15"/>
        <v>公共部分装修</v>
      </c>
      <c r="AA35" s="1204">
        <f t="shared" si="3"/>
        <v>1</v>
      </c>
      <c r="AB35" s="1204">
        <f t="shared" si="4"/>
        <v>1</v>
      </c>
      <c r="AC35" s="1204">
        <f t="shared" si="5"/>
        <v>1</v>
      </c>
    </row>
    <row r="36" spans="1:29" ht="15">
      <c r="A36" s="1098"/>
      <c r="B36" s="1046" t="s">
        <v>683</v>
      </c>
      <c r="C36" s="1391">
        <f>'数据-取费表'!N6</f>
        <v>0.77</v>
      </c>
      <c r="D36" s="759">
        <v>100</v>
      </c>
      <c r="E36" s="1391">
        <f>C36</f>
        <v>0.77</v>
      </c>
      <c r="F36" s="1199">
        <f>LOOKUP(E36,110:110,111:111)-LOOKUP(C36,110:110,111:111)+100</f>
        <v>100</v>
      </c>
      <c r="G36" s="1391">
        <f>E36</f>
        <v>0.77</v>
      </c>
      <c r="H36" s="1199">
        <f>LOOKUP(G36,110:110,111:111)-LOOKUP(C36,110:110,111:111)+100</f>
        <v>100</v>
      </c>
      <c r="I36" s="1391">
        <f>G36</f>
        <v>0.77</v>
      </c>
      <c r="J36" s="759">
        <f>LOOKUP(I36,110:110,111:111)-LOOKUP(C36,110:110,111:111)+100</f>
        <v>100</v>
      </c>
      <c r="K36" s="1190"/>
      <c r="L36" s="1184"/>
      <c r="M36" s="1122"/>
      <c r="N36" s="1122"/>
      <c r="O36" s="1122"/>
      <c r="P36" s="3389"/>
      <c r="Q36" s="625" t="str">
        <f t="shared" si="11"/>
        <v>成新度</v>
      </c>
      <c r="R36" s="1219" t="s">
        <v>1393</v>
      </c>
      <c r="S36" s="1220">
        <f t="shared" si="12"/>
        <v>100</v>
      </c>
      <c r="T36" s="1219" t="s">
        <v>1393</v>
      </c>
      <c r="U36" s="1220">
        <f t="shared" si="13"/>
        <v>100</v>
      </c>
      <c r="V36" s="1219" t="s">
        <v>1393</v>
      </c>
      <c r="W36" s="1220">
        <f t="shared" si="14"/>
        <v>100</v>
      </c>
      <c r="X36" s="1214"/>
      <c r="Y36" s="3393"/>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9"/>
      <c r="Q37" s="794" t="str">
        <f t="shared" si="11"/>
        <v>市政基础设施</v>
      </c>
      <c r="R37" s="1215" t="s">
        <v>1393</v>
      </c>
      <c r="S37" s="1216">
        <f t="shared" si="12"/>
        <v>100</v>
      </c>
      <c r="T37" s="1215" t="s">
        <v>1393</v>
      </c>
      <c r="U37" s="1216">
        <f t="shared" si="13"/>
        <v>100</v>
      </c>
      <c r="V37" s="1215" t="s">
        <v>1393</v>
      </c>
      <c r="W37" s="1216">
        <f t="shared" si="14"/>
        <v>100</v>
      </c>
      <c r="X37" s="1217"/>
      <c r="Y37" s="3393"/>
      <c r="Z37" s="1227" t="str">
        <f t="shared" si="15"/>
        <v>市政基础设施</v>
      </c>
      <c r="AA37" s="1227">
        <f t="shared" si="3"/>
        <v>1</v>
      </c>
      <c r="AB37" s="1227">
        <f t="shared" si="4"/>
        <v>1</v>
      </c>
      <c r="AC37" s="1227">
        <f t="shared" si="5"/>
        <v>1</v>
      </c>
    </row>
    <row r="38" spans="1:29" ht="15">
      <c r="A38" s="1098"/>
      <c r="B38" s="1046" t="s">
        <v>1631</v>
      </c>
      <c r="C38" s="1099" t="s">
        <v>2777</v>
      </c>
      <c r="D38" s="759">
        <v>100</v>
      </c>
      <c r="E38" s="1099" t="s">
        <v>2777</v>
      </c>
      <c r="F38" s="1199">
        <f>SUMIF(114:114,E38,115:115)-SUMIF(114:114,C38,115:115)+100</f>
        <v>100</v>
      </c>
      <c r="G38" s="1099" t="s">
        <v>2777</v>
      </c>
      <c r="H38" s="759">
        <f>SUMIF(114:114,G38,115:115)-SUMIF(114:114,C38,115:115)+100</f>
        <v>100</v>
      </c>
      <c r="I38" s="1099" t="s">
        <v>2777</v>
      </c>
      <c r="J38" s="759">
        <f>SUMIF(114:114,I38,115:115)-SUMIF(114:114,C38,115:115)+100</f>
        <v>100</v>
      </c>
      <c r="K38" s="1190">
        <v>5</v>
      </c>
      <c r="L38" s="1184"/>
      <c r="M38" s="1122"/>
      <c r="N38" s="1122"/>
      <c r="O38" s="1122"/>
      <c r="P38" s="3389" t="s">
        <v>1421</v>
      </c>
      <c r="Q38" s="625" t="str">
        <f t="shared" si="11"/>
        <v>业态</v>
      </c>
      <c r="R38" s="1219" t="s">
        <v>1393</v>
      </c>
      <c r="S38" s="1220">
        <f t="shared" si="12"/>
        <v>100</v>
      </c>
      <c r="T38" s="1219" t="s">
        <v>1393</v>
      </c>
      <c r="U38" s="1220">
        <f t="shared" si="13"/>
        <v>100</v>
      </c>
      <c r="V38" s="1219" t="s">
        <v>1393</v>
      </c>
      <c r="W38" s="1220">
        <f t="shared" si="14"/>
        <v>100</v>
      </c>
      <c r="X38" s="1214"/>
      <c r="Y38" s="3393" t="s">
        <v>1421</v>
      </c>
      <c r="Z38" s="1204" t="str">
        <f t="shared" si="15"/>
        <v>业态</v>
      </c>
      <c r="AA38" s="1204">
        <f t="shared" si="3"/>
        <v>1</v>
      </c>
      <c r="AB38" s="1204">
        <f t="shared" si="4"/>
        <v>1</v>
      </c>
      <c r="AC38" s="1204">
        <f t="shared" si="5"/>
        <v>1</v>
      </c>
    </row>
    <row r="39" spans="1:29" ht="15">
      <c r="A39" s="1098"/>
      <c r="B39" s="1046" t="s">
        <v>1432</v>
      </c>
      <c r="C39" s="1099"/>
      <c r="D39" s="759">
        <v>100</v>
      </c>
      <c r="E39" s="1099"/>
      <c r="F39" s="1199">
        <f>SUMIF(116:116,E39,117:117)-SUMIF(116:116,C39,117:117)+100</f>
        <v>100</v>
      </c>
      <c r="G39" s="1099"/>
      <c r="H39" s="759">
        <f>SUMIF(116:116,G39,117:117)-SUMIF(116:116,C39,117:117)+100</f>
        <v>100</v>
      </c>
      <c r="I39" s="1099"/>
      <c r="J39" s="759">
        <f>SUMIF(116:116,I39,117:117)-SUMIF(116:116,C39,117:117)+100</f>
        <v>100</v>
      </c>
      <c r="K39" s="1190"/>
      <c r="L39" s="1184"/>
      <c r="M39" s="1122"/>
      <c r="N39" s="1122"/>
      <c r="O39" s="1122"/>
      <c r="P39" s="3389"/>
      <c r="Q39" s="625" t="str">
        <f t="shared" si="11"/>
        <v>层高</v>
      </c>
      <c r="R39" s="1219" t="s">
        <v>1393</v>
      </c>
      <c r="S39" s="1220">
        <f t="shared" si="12"/>
        <v>100</v>
      </c>
      <c r="T39" s="1219" t="s">
        <v>1393</v>
      </c>
      <c r="U39" s="1220">
        <f t="shared" si="13"/>
        <v>100</v>
      </c>
      <c r="V39" s="1219" t="s">
        <v>1393</v>
      </c>
      <c r="W39" s="1220">
        <f t="shared" si="14"/>
        <v>100</v>
      </c>
      <c r="X39" s="1214"/>
      <c r="Y39" s="3393"/>
      <c r="Z39" s="1204" t="str">
        <f t="shared" si="15"/>
        <v>层高</v>
      </c>
      <c r="AA39" s="1204">
        <f t="shared" si="3"/>
        <v>1</v>
      </c>
      <c r="AB39" s="1204">
        <f t="shared" si="4"/>
        <v>1</v>
      </c>
      <c r="AC39" s="1204">
        <f t="shared" si="5"/>
        <v>1</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9"/>
      <c r="Q40" s="625" t="str">
        <f t="shared" si="11"/>
        <v>单套建筑面积</v>
      </c>
      <c r="R40" s="1219" t="s">
        <v>1393</v>
      </c>
      <c r="S40" s="1220">
        <f t="shared" si="12"/>
        <v>100</v>
      </c>
      <c r="T40" s="1219" t="s">
        <v>1393</v>
      </c>
      <c r="U40" s="1220">
        <f t="shared" si="13"/>
        <v>100</v>
      </c>
      <c r="V40" s="1219" t="s">
        <v>1393</v>
      </c>
      <c r="W40" s="1220">
        <f t="shared" si="14"/>
        <v>100</v>
      </c>
      <c r="X40" s="1214"/>
      <c r="Y40" s="3393"/>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9"/>
      <c r="Q41" s="1415" t="str">
        <f t="shared" si="11"/>
        <v>进深比</v>
      </c>
      <c r="R41" s="1221" t="s">
        <v>1393</v>
      </c>
      <c r="S41" s="1222">
        <f t="shared" si="12"/>
        <v>100</v>
      </c>
      <c r="T41" s="1221" t="s">
        <v>1393</v>
      </c>
      <c r="U41" s="1222">
        <f t="shared" si="13"/>
        <v>100</v>
      </c>
      <c r="V41" s="1221" t="s">
        <v>1393</v>
      </c>
      <c r="W41" s="1222">
        <f t="shared" si="14"/>
        <v>100</v>
      </c>
      <c r="X41" s="1223"/>
      <c r="Y41" s="3393"/>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c r="L42" s="1184"/>
      <c r="M42" s="1122"/>
      <c r="N42" s="1122"/>
      <c r="O42" s="1122"/>
      <c r="P42" s="3389"/>
      <c r="Q42" s="625" t="str">
        <f t="shared" si="11"/>
        <v>内部装修</v>
      </c>
      <c r="R42" s="1219" t="s">
        <v>1393</v>
      </c>
      <c r="S42" s="1220">
        <f t="shared" si="12"/>
        <v>100</v>
      </c>
      <c r="T42" s="1219" t="s">
        <v>1393</v>
      </c>
      <c r="U42" s="1220">
        <f t="shared" si="13"/>
        <v>100</v>
      </c>
      <c r="V42" s="1219" t="s">
        <v>1393</v>
      </c>
      <c r="W42" s="1220">
        <f t="shared" si="14"/>
        <v>100</v>
      </c>
      <c r="X42" s="1214"/>
      <c r="Y42" s="3393"/>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c r="L43" s="1184"/>
      <c r="M43" s="1122"/>
      <c r="N43" s="1122"/>
      <c r="O43" s="1122"/>
      <c r="P43" s="3389"/>
      <c r="Q43" s="625" t="str">
        <f t="shared" si="11"/>
        <v>内部装修维护情况</v>
      </c>
      <c r="R43" s="1219" t="s">
        <v>1393</v>
      </c>
      <c r="S43" s="1220">
        <f t="shared" si="12"/>
        <v>100</v>
      </c>
      <c r="T43" s="1219" t="s">
        <v>1393</v>
      </c>
      <c r="U43" s="1220">
        <f t="shared" si="13"/>
        <v>100</v>
      </c>
      <c r="V43" s="1219" t="s">
        <v>1393</v>
      </c>
      <c r="W43" s="1220">
        <f t="shared" si="14"/>
        <v>100</v>
      </c>
      <c r="X43" s="1214"/>
      <c r="Y43" s="3393"/>
      <c r="Z43" s="1204" t="str">
        <f t="shared" si="15"/>
        <v>内部装修维护情况</v>
      </c>
      <c r="AA43" s="1204">
        <f t="shared" si="3"/>
        <v>1</v>
      </c>
      <c r="AB43" s="1204">
        <f t="shared" si="4"/>
        <v>1</v>
      </c>
      <c r="AC43" s="1204">
        <f t="shared" si="5"/>
        <v>1</v>
      </c>
    </row>
    <row r="44" spans="1:29" s="1008" customFormat="1" ht="15">
      <c r="A44" s="1100"/>
      <c r="B44" s="1279">
        <v>111</v>
      </c>
      <c r="C44" s="1381"/>
      <c r="D44" s="1048">
        <v>100</v>
      </c>
      <c r="E44" s="1057"/>
      <c r="F44" s="1046">
        <f>SUMIF(126:126,E44,127:127)-SUMIF(126:126,C44,127:127)+100</f>
        <v>100</v>
      </c>
      <c r="G44" s="1057"/>
      <c r="H44" s="1048">
        <f>SUMIF(126:126,G44,127:127)-SUMIF(126:126,C44,127:127)+100</f>
        <v>100</v>
      </c>
      <c r="I44" s="1057"/>
      <c r="J44" s="1048">
        <f>SUMIF(126:126,I44,127:127)-SUMIF(126:126,C44,127:127)+100</f>
        <v>100</v>
      </c>
      <c r="K44" s="1189"/>
      <c r="L44" s="1174"/>
      <c r="M44" s="1175"/>
      <c r="N44" s="1175"/>
      <c r="O44" s="1175"/>
      <c r="P44" s="3389"/>
      <c r="Q44" s="794">
        <f t="shared" si="11"/>
        <v>111</v>
      </c>
      <c r="R44" s="1215" t="s">
        <v>1393</v>
      </c>
      <c r="S44" s="1216">
        <f t="shared" si="12"/>
        <v>100</v>
      </c>
      <c r="T44" s="1215" t="s">
        <v>1393</v>
      </c>
      <c r="U44" s="1216">
        <f t="shared" si="13"/>
        <v>100</v>
      </c>
      <c r="V44" s="1215" t="s">
        <v>1393</v>
      </c>
      <c r="W44" s="1216">
        <f t="shared" si="14"/>
        <v>100</v>
      </c>
      <c r="X44" s="1217"/>
      <c r="Y44" s="3393"/>
      <c r="Z44" s="1227">
        <f t="shared" si="15"/>
        <v>111</v>
      </c>
      <c r="AA44" s="1227">
        <f t="shared" si="3"/>
        <v>1</v>
      </c>
      <c r="AB44" s="1227">
        <f t="shared" si="4"/>
        <v>1</v>
      </c>
      <c r="AC44" s="1227">
        <f t="shared" si="5"/>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9"/>
      <c r="Q45" s="625">
        <f t="shared" si="11"/>
        <v>111</v>
      </c>
      <c r="R45" s="1219" t="s">
        <v>1393</v>
      </c>
      <c r="S45" s="1220">
        <f t="shared" si="12"/>
        <v>100</v>
      </c>
      <c r="T45" s="1219" t="s">
        <v>1393</v>
      </c>
      <c r="U45" s="1220">
        <f t="shared" si="13"/>
        <v>100</v>
      </c>
      <c r="V45" s="1219" t="s">
        <v>1393</v>
      </c>
      <c r="W45" s="1220">
        <f t="shared" si="14"/>
        <v>100</v>
      </c>
      <c r="X45" s="1214"/>
      <c r="Y45" s="3393"/>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0"/>
      <c r="Q46" s="625">
        <f t="shared" si="11"/>
        <v>111</v>
      </c>
      <c r="R46" s="1219" t="s">
        <v>1393</v>
      </c>
      <c r="S46" s="1220">
        <f t="shared" si="12"/>
        <v>100</v>
      </c>
      <c r="T46" s="1219" t="s">
        <v>1393</v>
      </c>
      <c r="U46" s="1220">
        <f t="shared" si="13"/>
        <v>100</v>
      </c>
      <c r="V46" s="1219" t="s">
        <v>1393</v>
      </c>
      <c r="W46" s="1220">
        <f t="shared" si="14"/>
        <v>100</v>
      </c>
      <c r="X46" s="1214"/>
      <c r="Y46" s="3394"/>
      <c r="Z46" s="1204">
        <f t="shared" si="15"/>
        <v>111</v>
      </c>
      <c r="AA46" s="1204">
        <f t="shared" si="3"/>
        <v>1</v>
      </c>
      <c r="AB46" s="1204">
        <f t="shared" si="4"/>
        <v>1</v>
      </c>
      <c r="AC46" s="1204">
        <f t="shared" si="5"/>
        <v>1</v>
      </c>
    </row>
    <row r="47" spans="1:29" ht="15">
      <c r="A47" s="1105" t="s">
        <v>1437</v>
      </c>
      <c r="B47" s="1398"/>
      <c r="C47" s="1399" t="s">
        <v>124</v>
      </c>
      <c r="D47" s="1108"/>
      <c r="E47" s="1109">
        <v>22000</v>
      </c>
      <c r="F47" s="1110"/>
      <c r="G47" s="1109">
        <v>20000</v>
      </c>
      <c r="H47" s="1112"/>
      <c r="I47" s="1109">
        <v>20000</v>
      </c>
      <c r="J47" s="1112"/>
      <c r="K47" s="1195"/>
      <c r="L47" s="1196"/>
      <c r="M47" s="1122"/>
      <c r="N47" s="1122"/>
      <c r="O47" s="1122"/>
      <c r="P47" s="3379" t="str">
        <f>A47</f>
        <v>成交单价（元/平方米）</v>
      </c>
      <c r="Q47" s="3379"/>
      <c r="R47" s="3377">
        <f>E47</f>
        <v>22000</v>
      </c>
      <c r="S47" s="3377"/>
      <c r="T47" s="3377">
        <f>G47</f>
        <v>20000</v>
      </c>
      <c r="U47" s="3377"/>
      <c r="V47" s="3377">
        <f>I47</f>
        <v>20000</v>
      </c>
      <c r="W47" s="3377"/>
      <c r="X47" s="1162"/>
      <c r="Y47" s="1229"/>
      <c r="Z47" s="1162"/>
      <c r="AA47" s="1162"/>
      <c r="AB47" s="1162"/>
      <c r="AC47" s="1162"/>
    </row>
    <row r="48" spans="1:29" ht="15">
      <c r="A48" s="1113" t="s">
        <v>1438</v>
      </c>
      <c r="B48" s="1400"/>
      <c r="C48" s="1401">
        <f>R49</f>
        <v>19522</v>
      </c>
      <c r="D48" s="1116" t="s">
        <v>1439</v>
      </c>
      <c r="E48" s="1402">
        <f>R48</f>
        <v>21569</v>
      </c>
      <c r="F48" s="1117">
        <v>0.4</v>
      </c>
      <c r="G48" s="1401">
        <f>T48</f>
        <v>18498</v>
      </c>
      <c r="H48" s="1117">
        <v>0.2</v>
      </c>
      <c r="I48" s="1402">
        <f>V48</f>
        <v>18498</v>
      </c>
      <c r="J48" s="1117">
        <v>0.4</v>
      </c>
      <c r="K48" s="1197">
        <f>F48+H48+J48</f>
        <v>1</v>
      </c>
      <c r="L48" s="1196"/>
      <c r="M48" s="1122"/>
      <c r="N48" s="1122"/>
      <c r="O48" s="1122"/>
      <c r="P48" s="3379" t="str">
        <f>A48</f>
        <v>比较价值（元/平方米）</v>
      </c>
      <c r="Q48" s="3379"/>
      <c r="R48" s="3377">
        <f>IF(F1="售价",ROUND(PRODUCT(R47,AA7:AA46),0),ROUND(PRODUCT(R47,AA7:AA46),1))</f>
        <v>21569</v>
      </c>
      <c r="S48" s="3377"/>
      <c r="T48" s="3377">
        <f>IF(F1="售价",ROUND(PRODUCT(T47,AB7:AB46),0),ROUND(PRODUCT(T47,AB7:AB46),1))</f>
        <v>18498</v>
      </c>
      <c r="U48" s="3377"/>
      <c r="V48" s="3377">
        <f>IF(F1="售价",ROUND(PRODUCT(V47,AC7:AC46),0),ROUND(PRODUCT(V47,AC7:AC46),1))</f>
        <v>18498</v>
      </c>
      <c r="W48" s="3377"/>
      <c r="X48" s="1162"/>
      <c r="Y48" s="1162"/>
      <c r="Z48" s="1162"/>
      <c r="AA48" s="1162"/>
      <c r="AB48" s="1162"/>
      <c r="AC48" s="1162"/>
    </row>
    <row r="49" spans="1:29" ht="15">
      <c r="A49" s="1119" t="s">
        <v>1440</v>
      </c>
      <c r="B49" s="1120"/>
      <c r="C49" s="1032">
        <f>R49</f>
        <v>19522</v>
      </c>
      <c r="D49" s="1032"/>
      <c r="E49" s="1032"/>
      <c r="F49" s="1032"/>
      <c r="G49" s="1032"/>
      <c r="H49" s="1032"/>
      <c r="I49" s="1032"/>
      <c r="J49" s="1032"/>
      <c r="K49" s="1198"/>
      <c r="L49" s="1196"/>
      <c r="M49" s="1122"/>
      <c r="N49" s="1122"/>
      <c r="O49" s="1122"/>
      <c r="P49" s="3415" t="str">
        <f>A49</f>
        <v>估价对象XX用房的比较价值（楼面单价，元/平方米）</v>
      </c>
      <c r="Q49" s="3416"/>
      <c r="R49" s="3417">
        <f>IF(F1="售价",ROUND(IF(D48="简单平均",AVERAGE(R48:V48),R48*F48+T48*H48+V48*J48),0),ROUND(IF(D48="简单平均",AVERAGE(R48:V48),R48*F48+T48*H48+V48*J48),1))</f>
        <v>19522</v>
      </c>
      <c r="S49" s="3417"/>
      <c r="T49" s="3417"/>
      <c r="U49" s="3417"/>
      <c r="V49" s="3417"/>
      <c r="W49" s="3417"/>
      <c r="X49" s="1162"/>
      <c r="Y49" s="1162"/>
      <c r="Z49" s="1162"/>
      <c r="AA49" s="1162"/>
      <c r="AB49" s="1162"/>
      <c r="AC49" s="1162"/>
    </row>
    <row r="50" spans="1:29">
      <c r="A50" s="1122"/>
      <c r="B50" s="1122"/>
      <c r="C50" s="1122"/>
      <c r="D50" s="1122"/>
      <c r="E50" s="1122"/>
      <c r="F50" s="1122"/>
      <c r="G50" s="1122"/>
      <c r="H50" s="1122"/>
      <c r="I50" s="1122"/>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1.9982382122490705E-2</v>
      </c>
      <c r="F52" s="1126" t="str">
        <f>IF(OR(E52&gt;=0.3,E52&lt;=-0.3),"超过30%","")</f>
        <v/>
      </c>
      <c r="G52" s="1125">
        <f>IF(G47&lt;G48,G48/G47-1,G47/G48-1)</f>
        <v>8.1197967347821365E-2</v>
      </c>
      <c r="H52" s="1126" t="str">
        <f>IF(OR(G52&gt;=0.3,G52&lt;=-0.3),"超过30%","")</f>
        <v/>
      </c>
      <c r="I52" s="1125">
        <f>IF(I47&lt;I48,I48/I47-1,I47/I48-1)</f>
        <v>8.1197967347821365E-2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0.16601794788625801</v>
      </c>
      <c r="F53" s="1126" t="str">
        <f>IF(OR(E53&gt;=0.2,E53&lt;=-0.2),"超过20%","")</f>
        <v/>
      </c>
      <c r="G53" s="1125">
        <f>IF(G48&lt;I48,I48/G48-1,G48/I48-1)</f>
        <v>0</v>
      </c>
      <c r="H53" s="1126" t="str">
        <f>IF(OR(G53&gt;=0.2,G53&lt;=-0.2),"超过20%","")</f>
        <v/>
      </c>
      <c r="I53" s="1125">
        <f>IF(I48&lt;E48,E48/I48-1,I48/E48-1)</f>
        <v>0.16601794788625801</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0.10000000000000009</v>
      </c>
      <c r="F54" s="1126" t="str">
        <f>IF(OR(E54&gt;=0.3,E54&lt;=-0.3),"超过30%","")</f>
        <v/>
      </c>
      <c r="G54" s="1125">
        <f>IF(G47&lt;I47,I47/G47-1,G47/I47-1)</f>
        <v>0</v>
      </c>
      <c r="H54" s="1126" t="str">
        <f>IF(OR(G54&gt;=0.3,G54&lt;=-0.3),"超过30%","")</f>
        <v/>
      </c>
      <c r="I54" s="1125">
        <f>IF(I47&lt;E47,E47/I47-1,I47/E47-1)</f>
        <v>0.10000000000000009</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95</v>
      </c>
      <c r="E77" s="1252">
        <f>D77-$K15</f>
        <v>90</v>
      </c>
      <c r="F77" s="1252">
        <f>E77-$K15</f>
        <v>85</v>
      </c>
      <c r="G77" s="1252">
        <f>F77-$K15</f>
        <v>80</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100</v>
      </c>
      <c r="E79" s="1252">
        <f>D79-$K17</f>
        <v>100</v>
      </c>
      <c r="F79" s="1252">
        <f>E79-$K17</f>
        <v>100</v>
      </c>
      <c r="G79" s="1252">
        <f>F79-$K17</f>
        <v>100</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65" t="s">
        <v>2768</v>
      </c>
      <c r="D92" s="3165" t="s">
        <v>2769</v>
      </c>
      <c r="E92" s="3165" t="s">
        <v>2770</v>
      </c>
      <c r="F92" s="3165"/>
      <c r="G92" s="3165"/>
      <c r="H92" s="1257"/>
      <c r="I92" s="1257"/>
      <c r="J92" s="1257"/>
      <c r="K92" s="1257"/>
      <c r="L92" s="1420"/>
      <c r="M92" s="1421"/>
      <c r="N92" s="1289" t="s">
        <v>2771</v>
      </c>
      <c r="O92" s="1289">
        <v>100</v>
      </c>
      <c r="P92" s="1535">
        <f>ROUND(O92/O96*P96,2)</f>
        <v>135.59</v>
      </c>
      <c r="Q92" s="1224"/>
      <c r="R92" s="1122"/>
      <c r="S92" s="1122"/>
      <c r="T92" s="1122"/>
      <c r="U92" s="1122"/>
      <c r="V92" s="1122"/>
      <c r="W92" s="1122"/>
      <c r="X92" s="1122"/>
      <c r="Y92" s="1122"/>
      <c r="Z92" s="1122"/>
      <c r="AA92" s="1122"/>
      <c r="AB92" s="1122"/>
      <c r="AC92" s="1122"/>
    </row>
    <row r="93" spans="1:29" ht="15">
      <c r="A93" s="1049"/>
      <c r="B93" s="1251"/>
      <c r="C93" s="1248">
        <v>100</v>
      </c>
      <c r="D93" s="1248">
        <v>102</v>
      </c>
      <c r="E93" s="1248">
        <v>100</v>
      </c>
      <c r="F93" s="1248"/>
      <c r="G93" s="1248"/>
      <c r="H93" s="1248"/>
      <c r="I93" s="1248"/>
      <c r="J93" s="1248"/>
      <c r="K93" s="1248"/>
      <c r="L93" s="1248"/>
      <c r="M93" s="1290"/>
      <c r="N93" s="1289" t="s">
        <v>2772</v>
      </c>
      <c r="O93" s="1291">
        <v>75</v>
      </c>
      <c r="P93" s="1535">
        <f>ROUND(O93/O96*P96,2)</f>
        <v>101.69</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2773</v>
      </c>
      <c r="O94" s="1289">
        <v>65</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2774</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2775</v>
      </c>
      <c r="O96" s="3166">
        <f>(O92+O93+O94+O95)/4</f>
        <v>73.75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2779</v>
      </c>
      <c r="O97" s="3166">
        <f>(O92+O93+O94)/3</f>
        <v>80</v>
      </c>
      <c r="P97" s="1535">
        <f>ROUND(O92/O97*P96,2)</f>
        <v>125</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89"/>
      <c r="O98" s="1289"/>
      <c r="P98" s="1535"/>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2781</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100(含)-200</v>
      </c>
      <c r="E102" s="1267" t="str">
        <f t="shared" si="24"/>
        <v>200(含)-300</v>
      </c>
      <c r="F102" s="1267" t="str">
        <f t="shared" si="24"/>
        <v>300(含)-400</v>
      </c>
      <c r="G102" s="1267" t="str">
        <f t="shared" si="24"/>
        <v>400(含)-900</v>
      </c>
      <c r="H102" s="1267" t="str">
        <f t="shared" si="24"/>
        <v>900(含)-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200</v>
      </c>
      <c r="F103" s="1235">
        <v>300</v>
      </c>
      <c r="G103" s="1235">
        <v>400</v>
      </c>
      <c r="H103" s="1235">
        <v>900</v>
      </c>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100</v>
      </c>
      <c r="D104" s="1248">
        <f>C104-2</f>
        <v>98</v>
      </c>
      <c r="E104" s="1248">
        <f t="shared" ref="E104:F104" si="25">D104-2</f>
        <v>96</v>
      </c>
      <c r="F104" s="1248">
        <f t="shared" si="25"/>
        <v>94</v>
      </c>
      <c r="G104" s="1248">
        <v>94</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2782</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6">C106-$K34</f>
        <v>100</v>
      </c>
      <c r="E106" s="1252">
        <f t="shared" si="26"/>
        <v>100</v>
      </c>
      <c r="F106" s="1252">
        <f t="shared" si="26"/>
        <v>100</v>
      </c>
      <c r="G106" s="1252">
        <f t="shared" si="26"/>
        <v>100</v>
      </c>
      <c r="H106" s="1252">
        <f t="shared" si="26"/>
        <v>100</v>
      </c>
      <c r="I106" s="1252">
        <f t="shared" si="26"/>
        <v>100</v>
      </c>
      <c r="J106" s="1252">
        <f t="shared" si="26"/>
        <v>100</v>
      </c>
      <c r="K106" s="1252">
        <f t="shared" si="26"/>
        <v>100</v>
      </c>
      <c r="L106" s="1252">
        <f t="shared" si="26"/>
        <v>100</v>
      </c>
      <c r="M106" s="1295">
        <f t="shared" si="26"/>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2783</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7">C108-$K35</f>
        <v>100</v>
      </c>
      <c r="E108" s="1252">
        <f t="shared" si="27"/>
        <v>100</v>
      </c>
      <c r="F108" s="1252">
        <f t="shared" si="27"/>
        <v>100</v>
      </c>
      <c r="G108" s="1252">
        <f t="shared" si="27"/>
        <v>100</v>
      </c>
      <c r="H108" s="1252">
        <f t="shared" si="27"/>
        <v>100</v>
      </c>
      <c r="I108" s="1252">
        <f t="shared" si="27"/>
        <v>100</v>
      </c>
      <c r="J108" s="1252">
        <f t="shared" si="27"/>
        <v>100</v>
      </c>
      <c r="K108" s="1252">
        <f t="shared" si="27"/>
        <v>100</v>
      </c>
      <c r="L108" s="1252">
        <f t="shared" si="27"/>
        <v>100</v>
      </c>
      <c r="M108" s="1295">
        <f t="shared" si="27"/>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8">D111+$K36</f>
        <v>100</v>
      </c>
      <c r="F111" s="1252">
        <f t="shared" si="28"/>
        <v>100</v>
      </c>
      <c r="G111" s="1252">
        <f t="shared" si="28"/>
        <v>100</v>
      </c>
      <c r="H111" s="1252">
        <f t="shared" si="28"/>
        <v>100</v>
      </c>
      <c r="I111" s="1252">
        <f t="shared" si="28"/>
        <v>100</v>
      </c>
      <c r="J111" s="1252">
        <f t="shared" si="28"/>
        <v>100</v>
      </c>
      <c r="K111" s="1252">
        <f t="shared" si="28"/>
        <v>100</v>
      </c>
      <c r="L111" s="1252">
        <f t="shared" si="28"/>
        <v>100</v>
      </c>
      <c r="M111" s="1252">
        <f t="shared" si="28"/>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9">D113-$K37</f>
        <v>100</v>
      </c>
      <c r="F113" s="1252">
        <f t="shared" si="29"/>
        <v>100</v>
      </c>
      <c r="G113" s="1252">
        <f t="shared" si="29"/>
        <v>100</v>
      </c>
      <c r="H113" s="1252">
        <f t="shared" si="29"/>
        <v>100</v>
      </c>
      <c r="I113" s="1252">
        <f t="shared" si="29"/>
        <v>100</v>
      </c>
      <c r="J113" s="1252">
        <f t="shared" si="29"/>
        <v>100</v>
      </c>
      <c r="K113" s="1252">
        <f t="shared" si="29"/>
        <v>100</v>
      </c>
      <c r="L113" s="1252">
        <f t="shared" si="29"/>
        <v>100</v>
      </c>
      <c r="M113" s="1252">
        <f t="shared" si="29"/>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2776</v>
      </c>
      <c r="D114" s="2098" t="s">
        <v>2778</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30">C115-$K38</f>
        <v>95</v>
      </c>
      <c r="E115" s="1252">
        <f t="shared" si="30"/>
        <v>90</v>
      </c>
      <c r="F115" s="1252">
        <f t="shared" si="30"/>
        <v>85</v>
      </c>
      <c r="G115" s="1252">
        <f t="shared" si="30"/>
        <v>80</v>
      </c>
      <c r="H115" s="1252">
        <f t="shared" si="30"/>
        <v>75</v>
      </c>
      <c r="I115" s="1252">
        <f t="shared" si="30"/>
        <v>70</v>
      </c>
      <c r="J115" s="1252">
        <f t="shared" si="30"/>
        <v>65</v>
      </c>
      <c r="K115" s="1252">
        <f t="shared" si="30"/>
        <v>60</v>
      </c>
      <c r="L115" s="1252">
        <f t="shared" si="30"/>
        <v>55</v>
      </c>
      <c r="M115" s="1295">
        <f t="shared" si="30"/>
        <v>50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2784</v>
      </c>
      <c r="D116" s="1257"/>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100</v>
      </c>
      <c r="E117" s="1252">
        <f>D117-$K39</f>
        <v>100</v>
      </c>
      <c r="F117" s="1252">
        <f>E117-$K39</f>
        <v>100</v>
      </c>
      <c r="G117" s="1252">
        <f>F117-$K39</f>
        <v>100</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1">D121-$K41</f>
        <v>100</v>
      </c>
      <c r="F121" s="1252">
        <f t="shared" si="31"/>
        <v>100</v>
      </c>
      <c r="G121" s="1252">
        <f t="shared" si="31"/>
        <v>100</v>
      </c>
      <c r="H121" s="1252">
        <f t="shared" si="31"/>
        <v>100</v>
      </c>
      <c r="I121" s="1252">
        <f t="shared" si="31"/>
        <v>100</v>
      </c>
      <c r="J121" s="1252">
        <f t="shared" si="31"/>
        <v>100</v>
      </c>
      <c r="K121" s="1252">
        <f t="shared" si="31"/>
        <v>100</v>
      </c>
      <c r="L121" s="1252">
        <f t="shared" si="31"/>
        <v>100</v>
      </c>
      <c r="M121" s="1295">
        <f t="shared" si="31"/>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2783</v>
      </c>
      <c r="D122" s="2098" t="s">
        <v>2785</v>
      </c>
      <c r="E122" s="2098" t="s">
        <v>2786</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95">
        <f t="shared" si="32"/>
        <v>100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100</v>
      </c>
      <c r="E125" s="1252">
        <f>D125-$K43</f>
        <v>100</v>
      </c>
      <c r="F125" s="1252">
        <f>E125-$K43</f>
        <v>100</v>
      </c>
      <c r="G125" s="1252">
        <f>F125-$K43</f>
        <v>100</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f>B44</f>
        <v>111</v>
      </c>
      <c r="C126" s="1257"/>
      <c r="D126" s="1257"/>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c r="D127" s="1248"/>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29</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443.8818</v>
      </c>
      <c r="C2" s="1826" t="s">
        <v>1187</v>
      </c>
      <c r="D2" s="1827">
        <f ca="1">C40+J29+L46</f>
        <v>4438818</v>
      </c>
      <c r="E2" s="1828" t="s">
        <v>1462</v>
      </c>
      <c r="F2" s="1829"/>
      <c r="G2" s="1830"/>
      <c r="H2" s="1831"/>
      <c r="I2" s="1831"/>
      <c r="J2" s="1831"/>
      <c r="K2" s="1986"/>
      <c r="L2" s="1831"/>
      <c r="M2" s="1831"/>
    </row>
    <row r="3" spans="1:37" ht="18" customHeight="1">
      <c r="A3" s="1832" t="s">
        <v>1188</v>
      </c>
      <c r="B3" s="1833">
        <f ca="1">IF(ISERROR(D2/F43),0,ROUND(D2/F43,0))</f>
        <v>13354</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309759</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ROUND(F6*F8*F7*(1-F9),0)</f>
        <v>309372</v>
      </c>
      <c r="D6" s="1847" t="s">
        <v>1463</v>
      </c>
      <c r="E6" s="1848" t="s">
        <v>1200</v>
      </c>
      <c r="F6" s="1849">
        <f ca="1">INDIRECT("'数据-取费表'!u"&amp;$G$1)</f>
        <v>3</v>
      </c>
      <c r="G6" s="718"/>
      <c r="H6" s="1845" t="s">
        <v>939</v>
      </c>
      <c r="I6" s="3355" t="s">
        <v>1198</v>
      </c>
      <c r="J6" s="1919">
        <f ca="1">ROUND(M6*M8*M7*(1-M9),0)</f>
        <v>0</v>
      </c>
      <c r="K6" s="1989" t="s">
        <v>1464</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332.39</v>
      </c>
      <c r="G7" s="718"/>
      <c r="H7" s="1854"/>
      <c r="I7" s="3356"/>
      <c r="J7" s="1855"/>
      <c r="K7" s="1852"/>
      <c r="L7" s="1848" t="s">
        <v>1202</v>
      </c>
      <c r="M7" s="1849">
        <f ca="1">F7</f>
        <v>332.39</v>
      </c>
    </row>
    <row r="8" spans="1:37" ht="18" customHeight="1">
      <c r="A8" s="1854"/>
      <c r="B8" s="3356"/>
      <c r="C8" s="1855"/>
      <c r="D8" s="1852"/>
      <c r="E8" s="1848" t="s">
        <v>1203</v>
      </c>
      <c r="F8" s="1849">
        <f ca="1">INDIRECT("'数据-取费表'!ai"&amp;$G$1)</f>
        <v>365</v>
      </c>
      <c r="G8" s="718"/>
      <c r="H8" s="1854"/>
      <c r="I8" s="3356"/>
      <c r="J8" s="1855"/>
      <c r="K8" s="1852"/>
      <c r="L8" s="1848" t="s">
        <v>1203</v>
      </c>
      <c r="M8" s="1849">
        <f ca="1">INDIRECT("'数据-取费表'!ai"&amp;$G$1)</f>
        <v>365</v>
      </c>
    </row>
    <row r="9" spans="1:37" ht="18" customHeight="1">
      <c r="A9" s="1854"/>
      <c r="B9" s="3357"/>
      <c r="C9" s="1855"/>
      <c r="D9" s="1852"/>
      <c r="E9" s="1848" t="s">
        <v>1204</v>
      </c>
      <c r="F9" s="1856">
        <f ca="1">INDIRECT("'数据-取费表'!w"&amp;$G$1)</f>
        <v>0.15</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387</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1679572</v>
      </c>
      <c r="D13" s="1875" t="s">
        <v>1212</v>
      </c>
      <c r="E13" s="1875" t="s">
        <v>1213</v>
      </c>
      <c r="F13" s="1876">
        <f ca="1">INDIRECT("'数据-取费表'!y"&amp;$G$1)</f>
        <v>0.77</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1495755</v>
      </c>
      <c r="D14" s="1879" t="s">
        <v>1215</v>
      </c>
      <c r="E14" s="1880"/>
      <c r="F14" s="1881"/>
      <c r="G14" s="718"/>
      <c r="H14" s="1877" t="s">
        <v>939</v>
      </c>
      <c r="I14" s="1848" t="s">
        <v>1216</v>
      </c>
      <c r="J14" s="950">
        <f ca="1">C29</f>
        <v>2181262</v>
      </c>
      <c r="K14" s="1998"/>
      <c r="L14" s="1999"/>
      <c r="M14" s="2000"/>
    </row>
    <row r="15" spans="1:37" s="1816" customFormat="1" ht="18" customHeight="1">
      <c r="A15" s="1877" t="s">
        <v>966</v>
      </c>
      <c r="B15" s="1848" t="s">
        <v>1145</v>
      </c>
      <c r="C15" s="950">
        <f ca="1">ROUND(C14*F15,0)</f>
        <v>74788</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10906</v>
      </c>
      <c r="K16" s="1897" t="s">
        <v>1221</v>
      </c>
      <c r="L16" s="1898"/>
      <c r="M16" s="1844"/>
    </row>
    <row r="17" spans="1:37" s="1816" customFormat="1" ht="18" customHeight="1">
      <c r="A17" s="1877" t="s">
        <v>1222</v>
      </c>
      <c r="B17" s="1848" t="s">
        <v>1223</v>
      </c>
      <c r="C17" s="950">
        <f ca="1">ROUND(F17*(F43+INDIRECT("'数据-取费表'!S"&amp;$G$1)),0)</f>
        <v>66478</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29915</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1666936</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50008</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10906</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39255</v>
      </c>
      <c r="D23" s="899" t="str">
        <f>IF(F23&lt;=1,"(建造成本+管理费用)×利率×(建设周期÷2)","(建造成本+管理费用)×((1+利率)^(建设周期÷2)-1)")</f>
        <v>(建造成本+管理费用)×((1+利率)^(建设周期÷2)-1)</v>
      </c>
      <c r="E23" s="1848" t="s">
        <v>1249</v>
      </c>
      <c r="F23" s="1891">
        <f>'数据-取费表'!B20</f>
        <v>1.5</v>
      </c>
      <c r="G23" s="1884"/>
      <c r="H23" s="1877" t="s">
        <v>988</v>
      </c>
      <c r="I23" s="1848" t="s">
        <v>1250</v>
      </c>
      <c r="J23" s="950">
        <f ca="1">ROUND(J13*M23,0)</f>
        <v>0</v>
      </c>
      <c r="K23" s="1901" t="s">
        <v>1251</v>
      </c>
      <c r="L23" s="1848" t="s">
        <v>1218</v>
      </c>
      <c r="M23" s="1914">
        <f ca="1">INDIRECT("'数据-取费表'!Al"&amp;$G$1)</f>
        <v>1.5E-3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5.0000000000000001E-4</v>
      </c>
      <c r="D24" s="899" t="str">
        <f>IF(F23&lt;=1,"销售费用×利率×(建设周期÷2)","销售费用×((1+利率)^(建设周期÷2)-1)")</f>
        <v>销售费用×((1+利率)^(建设周期÷2)-1)</v>
      </c>
      <c r="E24" s="1848" t="s">
        <v>1253</v>
      </c>
      <c r="F24" s="1892">
        <f ca="1">'数据-取费表'!B40</f>
        <v>3.0599999999999999E-2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-10906</v>
      </c>
      <c r="K25" s="1916" t="s">
        <v>1259</v>
      </c>
      <c r="L25" s="1917"/>
      <c r="M25" s="1918"/>
    </row>
    <row r="26" spans="1:37" ht="18" customHeight="1">
      <c r="A26" s="1877" t="s">
        <v>962</v>
      </c>
      <c r="B26" s="1848" t="s">
        <v>1260</v>
      </c>
      <c r="C26" s="950">
        <f ca="1">ROUND((C19+C20)*F26,0)</f>
        <v>257542</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2181262</v>
      </c>
      <c r="D29" s="1894"/>
      <c r="E29" s="1870"/>
      <c r="F29" s="1895"/>
      <c r="G29" s="1884"/>
      <c r="H29" s="1896" t="s">
        <v>1275</v>
      </c>
      <c r="I29" s="1925" t="s">
        <v>1276</v>
      </c>
      <c r="J29" s="1926">
        <f ca="1">ROUND(J26/(1+F40)^F41,0)</f>
        <v>0</v>
      </c>
      <c r="K29" s="1927" t="s">
        <v>1277</v>
      </c>
      <c r="L29" s="1928"/>
      <c r="M29" s="1929">
        <f ca="1">INDIRECT("'数据-取费表'!k"&amp;$G$1)</f>
        <v>332.39</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66831</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51857</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16500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35357</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10906</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2519</v>
      </c>
      <c r="D37" s="1901" t="s">
        <v>1251</v>
      </c>
      <c r="E37" s="1848" t="s">
        <v>1218</v>
      </c>
      <c r="F37" s="1914">
        <f ca="1">INDIRECT("'数据-取费表'!Al"&amp;$G$1)</f>
        <v>1.5E-3</v>
      </c>
      <c r="G37" s="718"/>
      <c r="H37" s="1905"/>
      <c r="I37" s="2005"/>
      <c r="J37" s="2006"/>
      <c r="K37" s="2012"/>
      <c r="L37" s="1905"/>
      <c r="M37" s="1905"/>
    </row>
    <row r="38" spans="1:18" ht="18" customHeight="1">
      <c r="A38" s="1885" t="s">
        <v>991</v>
      </c>
      <c r="B38" s="1870" t="s">
        <v>1236</v>
      </c>
      <c r="C38" s="1893">
        <f ca="1">ROUND(C5*F38,0)</f>
        <v>1549</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242928</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4331685</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29</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13032</v>
      </c>
      <c r="D43" s="1927" t="s">
        <v>1282</v>
      </c>
      <c r="E43" s="1928" t="s">
        <v>1283</v>
      </c>
      <c r="F43" s="1929">
        <f ca="1">INDIRECT("'数据-取费表'!k"&amp;$G$1)</f>
        <v>332.39</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-452.41070000000002</v>
      </c>
      <c r="D45" s="1934" t="s">
        <v>1470</v>
      </c>
      <c r="E45" s="1930"/>
      <c r="F45" s="1930"/>
      <c r="O45" s="2014" t="s">
        <v>1284</v>
      </c>
      <c r="P45" s="1920"/>
      <c r="Q45" s="1920"/>
      <c r="R45" s="1920"/>
    </row>
    <row r="46" spans="1:18" s="718" customFormat="1">
      <c r="A46" s="1935" t="s">
        <v>1285</v>
      </c>
      <c r="C46" s="1936">
        <f ca="1">ROUND(C45,0)</f>
        <v>-452</v>
      </c>
      <c r="D46" s="1937" t="str">
        <f>C2</f>
        <v>万元</v>
      </c>
      <c r="I46" s="2015" t="s">
        <v>1286</v>
      </c>
      <c r="J46" s="2016"/>
      <c r="K46" s="2017"/>
      <c r="L46" s="2018">
        <f ca="1">IF(M47="住宅",0,IF(L48&gt;J51,L60,J60))</f>
        <v>107133</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4331685</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29</v>
      </c>
      <c r="O48" s="2026" t="s">
        <v>1047</v>
      </c>
      <c r="P48" s="2027" t="s">
        <v>1298</v>
      </c>
      <c r="Q48" s="2063">
        <f ca="1">J60</f>
        <v>107133</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2006</v>
      </c>
      <c r="K49" s="2030" t="s">
        <v>1304</v>
      </c>
      <c r="L49" s="2033"/>
      <c r="O49" s="2034" t="s">
        <v>1305</v>
      </c>
      <c r="P49" s="2027" t="s">
        <v>1306</v>
      </c>
      <c r="Q49" s="2063">
        <f ca="1">C29</f>
        <v>2181262</v>
      </c>
      <c r="R49" s="2063" t="s">
        <v>1294</v>
      </c>
    </row>
    <row r="50" spans="1:18" s="718" customFormat="1">
      <c r="A50" s="1953"/>
      <c r="B50" s="915"/>
      <c r="C50" s="1954"/>
      <c r="D50" s="1955"/>
      <c r="E50" s="1956" t="s">
        <v>1202</v>
      </c>
      <c r="F50" s="1957">
        <f ca="1">F7</f>
        <v>332.39</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41</v>
      </c>
      <c r="K51" s="2038" t="s">
        <v>1312</v>
      </c>
      <c r="L51" s="2039">
        <f ca="1">ROUND(-PV(INDIRECT("'数据-取费表'!h"&amp;$G$1),J51,(C39-C13*C76),0),0)</f>
        <v>2167987</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29</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29</v>
      </c>
      <c r="K53" s="3353" t="s">
        <v>1322</v>
      </c>
      <c r="L53" s="3354"/>
      <c r="O53" s="2026" t="s">
        <v>1147</v>
      </c>
      <c r="P53" s="2027" t="s">
        <v>1323</v>
      </c>
      <c r="Q53" s="2063">
        <f ca="1">Q47+Q48</f>
        <v>4438818</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v>
      </c>
      <c r="K55" s="2049" t="s">
        <v>1327</v>
      </c>
      <c r="L55" s="2050"/>
      <c r="O55" s="2019" t="s">
        <v>1287</v>
      </c>
      <c r="P55" s="2020" t="s">
        <v>1288</v>
      </c>
      <c r="Q55" s="2062" t="s">
        <v>1289</v>
      </c>
      <c r="R55" s="2062" t="s">
        <v>1290</v>
      </c>
    </row>
    <row r="56" spans="1:18" s="718" customFormat="1" ht="36" customHeight="1">
      <c r="A56" s="1965">
        <v>2</v>
      </c>
      <c r="B56" s="1966" t="s">
        <v>1211</v>
      </c>
      <c r="C56" s="376">
        <f ca="1">C13</f>
        <v>1679572</v>
      </c>
      <c r="D56" s="1967"/>
      <c r="E56" s="1968"/>
      <c r="F56" s="1964"/>
      <c r="I56" s="2051" t="s">
        <v>1328</v>
      </c>
      <c r="J56" s="2052" t="s">
        <v>534</v>
      </c>
      <c r="K56" s="2028" t="s">
        <v>1329</v>
      </c>
      <c r="L56" s="2031" t="str">
        <f ca="1">IF(L48&lt;J51,"——",L48-J51)</f>
        <v>——</v>
      </c>
      <c r="O56" s="2026" t="s">
        <v>1044</v>
      </c>
      <c r="P56" s="2027" t="s">
        <v>1293</v>
      </c>
      <c r="Q56" s="2063">
        <f ca="1">C40+J29</f>
        <v>4331685</v>
      </c>
      <c r="R56" s="2063" t="s">
        <v>1294</v>
      </c>
    </row>
    <row r="57" spans="1:18" s="718" customFormat="1" ht="24">
      <c r="A57" s="1969"/>
      <c r="B57" s="1970" t="s">
        <v>1274</v>
      </c>
      <c r="C57" s="386">
        <f ca="1">C29</f>
        <v>2181262</v>
      </c>
      <c r="D57" s="1971"/>
      <c r="E57" s="1972"/>
      <c r="F57" s="1973"/>
      <c r="I57" s="2053" t="s">
        <v>1330</v>
      </c>
      <c r="J57" s="2054">
        <f ca="1">IF(OR(M47="住宅",J51&lt;L48,J56="是"),"——",J51-L48)</f>
        <v>12</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13425</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872505</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107133</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4331685</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10906</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2519</v>
      </c>
      <c r="D65" s="1978" t="s">
        <v>1251</v>
      </c>
      <c r="E65" s="1970" t="s">
        <v>1218</v>
      </c>
      <c r="F65" s="1914">
        <f t="shared" ca="1" si="0"/>
        <v>1.5E-3</v>
      </c>
      <c r="I65" s="2059" t="s">
        <v>1352</v>
      </c>
      <c r="J65" s="1139">
        <v>40</v>
      </c>
      <c r="K65" s="1139">
        <v>30</v>
      </c>
      <c r="L65" s="1139">
        <v>50</v>
      </c>
      <c r="M65" s="2061">
        <v>0.02</v>
      </c>
      <c r="O65" s="2026" t="s">
        <v>1044</v>
      </c>
      <c r="P65" s="2027" t="s">
        <v>1293</v>
      </c>
      <c r="Q65" s="2063">
        <f ca="1">C40+J29</f>
        <v>4331685</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-13425</v>
      </c>
      <c r="D67" s="1977" t="s">
        <v>1259</v>
      </c>
      <c r="E67" s="2066"/>
      <c r="F67" s="2067"/>
      <c r="O67" s="2034" t="s">
        <v>1305</v>
      </c>
      <c r="P67" s="2027" t="s">
        <v>1336</v>
      </c>
      <c r="Q67" s="2087">
        <f ca="1">L51</f>
        <v>2167987</v>
      </c>
      <c r="R67" s="2063" t="s">
        <v>1353</v>
      </c>
    </row>
    <row r="68" spans="1:18" s="718" customFormat="1" ht="15.75">
      <c r="A68" s="2068" t="s">
        <v>1263</v>
      </c>
      <c r="B68" s="2069" t="s">
        <v>1280</v>
      </c>
      <c r="C68" s="1919">
        <f ca="1">ROUND(C67*(1-((1+F70)/(1+F68))^F69)/(F68-F70),0)</f>
        <v>-192422</v>
      </c>
      <c r="D68" s="1980" t="s">
        <v>1265</v>
      </c>
      <c r="E68" s="1970" t="s">
        <v>1266</v>
      </c>
      <c r="F68" s="1856">
        <f ca="1">F40</f>
        <v>5.5E-2</v>
      </c>
      <c r="O68" s="2034" t="s">
        <v>1309</v>
      </c>
      <c r="P68" s="2086" t="s">
        <v>1354</v>
      </c>
      <c r="Q68" s="2063">
        <f ca="1">ROUND(Q69-Q70*Q71,0)</f>
        <v>125358</v>
      </c>
      <c r="R68" s="2063" t="s">
        <v>1355</v>
      </c>
    </row>
    <row r="69" spans="1:18" s="718" customFormat="1">
      <c r="A69" s="2070"/>
      <c r="B69" s="2071"/>
      <c r="C69" s="1855"/>
      <c r="D69" s="2072" t="s">
        <v>1269</v>
      </c>
      <c r="E69" s="1970" t="s">
        <v>1270</v>
      </c>
      <c r="F69" s="1923">
        <f ca="1">F41</f>
        <v>29</v>
      </c>
      <c r="O69" s="2034" t="s">
        <v>1356</v>
      </c>
      <c r="P69" s="2086" t="s">
        <v>1357</v>
      </c>
      <c r="Q69" s="2063">
        <f ca="1">C39</f>
        <v>242928</v>
      </c>
      <c r="R69" s="2063" t="s">
        <v>1294</v>
      </c>
    </row>
    <row r="70" spans="1:18" s="718" customFormat="1">
      <c r="A70" s="2073"/>
      <c r="B70" s="2074"/>
      <c r="C70" s="1874"/>
      <c r="D70" s="1982"/>
      <c r="E70" s="1970" t="s">
        <v>1273</v>
      </c>
      <c r="F70" s="1960"/>
      <c r="O70" s="2034" t="s">
        <v>1358</v>
      </c>
      <c r="P70" s="2086" t="s">
        <v>1359</v>
      </c>
      <c r="Q70" s="2063">
        <f ca="1">C13</f>
        <v>1679572</v>
      </c>
      <c r="R70" s="2063" t="s">
        <v>1294</v>
      </c>
    </row>
    <row r="71" spans="1:18" s="718" customFormat="1">
      <c r="A71" s="2075" t="s">
        <v>1275</v>
      </c>
      <c r="B71" s="2076" t="s">
        <v>1281</v>
      </c>
      <c r="C71" s="1926">
        <f ca="1">ROUND(C68/F71,0)</f>
        <v>-579</v>
      </c>
      <c r="D71" s="2077" t="s">
        <v>1282</v>
      </c>
      <c r="E71" s="2078" t="s">
        <v>1283</v>
      </c>
      <c r="F71" s="1929">
        <f ca="1">F43</f>
        <v>332.39</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117570</v>
      </c>
      <c r="D75" s="718"/>
      <c r="E75" s="718"/>
      <c r="F75" s="718"/>
      <c r="K75" s="2013"/>
      <c r="L75" s="718"/>
      <c r="O75" s="2026" t="s">
        <v>1147</v>
      </c>
      <c r="P75" s="2027" t="s">
        <v>1323</v>
      </c>
      <c r="Q75" s="2063">
        <f ca="1">Q65+Q66</f>
        <v>4331685</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0.51600000000000001</v>
      </c>
    </row>
    <row r="80" spans="1:18">
      <c r="B80" s="2080" t="s">
        <v>1369</v>
      </c>
      <c r="C80" s="419">
        <f ca="1">ROUND(C75/C39,3)</f>
        <v>0.48399999999999999</v>
      </c>
    </row>
    <row r="81" spans="2:3">
      <c r="B81" s="416" t="s">
        <v>1370</v>
      </c>
      <c r="C81" s="386"/>
    </row>
    <row r="82" spans="2:3">
      <c r="B82" s="418" t="s">
        <v>1123</v>
      </c>
      <c r="C82" s="420">
        <f ca="1">1-C83</f>
        <v>0.61199999999999999</v>
      </c>
    </row>
    <row r="83" spans="2:3">
      <c r="B83" s="418" t="s">
        <v>1124</v>
      </c>
      <c r="C83" s="419">
        <f ca="1">ROUND(C13/C40,3)</f>
        <v>0.38800000000000001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0" t="s">
        <v>1479</v>
      </c>
      <c r="K2" s="3431"/>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4" t="s">
        <v>1487</v>
      </c>
      <c r="K3" s="3425"/>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4" t="s">
        <v>1489</v>
      </c>
      <c r="K4" s="3425"/>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34" t="s">
        <v>1493</v>
      </c>
      <c r="B6" s="3435"/>
      <c r="C6" s="3436"/>
      <c r="D6" s="1671"/>
      <c r="E6" s="1672"/>
      <c r="F6" s="1673"/>
      <c r="G6" s="1674"/>
      <c r="H6" s="1662"/>
      <c r="I6" s="1747"/>
      <c r="J6" s="3418">
        <v>1</v>
      </c>
      <c r="K6" s="3421"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18"/>
      <c r="K7" s="3422"/>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2" t="s">
        <v>1507</v>
      </c>
      <c r="C8" s="3433"/>
      <c r="D8" s="1685" t="s">
        <v>1508</v>
      </c>
      <c r="E8" s="1686" t="s">
        <v>1509</v>
      </c>
      <c r="F8" s="1687" t="s">
        <v>1510</v>
      </c>
      <c r="G8" s="1688"/>
      <c r="H8" s="1662"/>
      <c r="I8" s="1747"/>
      <c r="J8" s="3418"/>
      <c r="K8" s="3422"/>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2" t="s">
        <v>1513</v>
      </c>
      <c r="C9" s="3433"/>
      <c r="D9" s="1685">
        <f>ROUND(D6*E9,0)</f>
        <v>0</v>
      </c>
      <c r="E9" s="1689"/>
      <c r="F9" s="1690" t="s">
        <v>1514</v>
      </c>
      <c r="G9" s="1674"/>
      <c r="H9" s="1662"/>
      <c r="I9" s="1747"/>
      <c r="J9" s="3418"/>
      <c r="K9" s="3422"/>
      <c r="L9" s="1767" t="s">
        <v>1515</v>
      </c>
      <c r="M9" s="1768"/>
      <c r="N9" s="1667"/>
      <c r="O9" s="1769"/>
      <c r="P9" s="1769"/>
      <c r="Q9" s="1700">
        <v>365</v>
      </c>
      <c r="R9" s="1801">
        <f t="shared" si="0"/>
        <v>0</v>
      </c>
      <c r="S9" s="1716"/>
      <c r="T9" s="1716"/>
      <c r="U9" s="1716"/>
      <c r="V9" s="1747"/>
    </row>
    <row r="10" spans="1:22" s="1644" customFormat="1" ht="13.15" customHeight="1">
      <c r="A10" s="1682">
        <v>2</v>
      </c>
      <c r="B10" s="3432" t="s">
        <v>1516</v>
      </c>
      <c r="C10" s="3433"/>
      <c r="D10" s="1685">
        <f>ROUND(D6*E10,0)</f>
        <v>0</v>
      </c>
      <c r="E10" s="1689"/>
      <c r="F10" s="1690" t="s">
        <v>1517</v>
      </c>
      <c r="G10" s="1674"/>
      <c r="H10" s="1662"/>
      <c r="I10" s="1747"/>
      <c r="J10" s="3418"/>
      <c r="K10" s="3422"/>
      <c r="L10" s="1767" t="s">
        <v>1518</v>
      </c>
      <c r="M10" s="1768"/>
      <c r="N10" s="1667"/>
      <c r="O10" s="1769"/>
      <c r="P10" s="1769"/>
      <c r="Q10" s="1700">
        <v>365</v>
      </c>
      <c r="R10" s="1801">
        <f t="shared" si="0"/>
        <v>0</v>
      </c>
      <c r="S10" s="1716"/>
      <c r="T10" s="1716"/>
      <c r="U10" s="1716"/>
      <c r="V10" s="1747"/>
    </row>
    <row r="11" spans="1:22" s="1644" customFormat="1" ht="13.15" customHeight="1">
      <c r="A11" s="1682">
        <v>3</v>
      </c>
      <c r="B11" s="3432" t="s">
        <v>1519</v>
      </c>
      <c r="C11" s="3433"/>
      <c r="D11" s="1685">
        <f>D12+D14+D15+D16</f>
        <v>0</v>
      </c>
      <c r="E11" s="1691" t="e">
        <f>D11/D6</f>
        <v>#DIV/0!</v>
      </c>
      <c r="F11" s="1687"/>
      <c r="G11" s="1688"/>
      <c r="H11" s="1662"/>
      <c r="I11" s="1747"/>
      <c r="J11" s="3418"/>
      <c r="K11" s="3422"/>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26" t="s">
        <v>1522</v>
      </c>
      <c r="C12" s="3427"/>
      <c r="D12" s="1695">
        <f>ROUND(D13*1.2%*(1-30%),0)</f>
        <v>0</v>
      </c>
      <c r="E12" s="1696">
        <v>1.2E-2</v>
      </c>
      <c r="F12" s="1687" t="s">
        <v>1523</v>
      </c>
      <c r="G12" s="1688"/>
      <c r="H12" s="1662"/>
      <c r="I12" s="1747"/>
      <c r="J12" s="3418"/>
      <c r="K12" s="3422"/>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18"/>
      <c r="K13" s="3422"/>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26" t="s">
        <v>1528</v>
      </c>
      <c r="C14" s="3427"/>
      <c r="D14" s="1695">
        <f>ROUND(E14*B5/10000,0)</f>
        <v>0</v>
      </c>
      <c r="E14" s="1700"/>
      <c r="F14" s="1687" t="s">
        <v>1529</v>
      </c>
      <c r="G14" s="1688"/>
      <c r="H14" s="1662"/>
      <c r="I14" s="1747"/>
      <c r="J14" s="3418"/>
      <c r="K14" s="3423"/>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26" t="s">
        <v>1532</v>
      </c>
      <c r="C15" s="3427"/>
      <c r="D15" s="1695">
        <f>ROUND(D6*E15,0)</f>
        <v>0</v>
      </c>
      <c r="E15" s="1696">
        <v>5.5E-2</v>
      </c>
      <c r="F15" s="1687" t="s">
        <v>1533</v>
      </c>
      <c r="G15" s="1674"/>
      <c r="H15" s="1662"/>
      <c r="I15" s="1747"/>
      <c r="J15" s="3418">
        <v>2</v>
      </c>
      <c r="K15" s="3421"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26" t="s">
        <v>1540</v>
      </c>
      <c r="C16" s="3427"/>
      <c r="D16" s="1701">
        <f>D6*E16</f>
        <v>0</v>
      </c>
      <c r="E16" s="1702"/>
      <c r="F16" s="1690" t="s">
        <v>1541</v>
      </c>
      <c r="G16" s="1674"/>
      <c r="H16" s="1662"/>
      <c r="I16" s="1747"/>
      <c r="J16" s="3418"/>
      <c r="K16" s="3422"/>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28" t="s">
        <v>1543</v>
      </c>
      <c r="C17" s="3429"/>
      <c r="D17" s="1704">
        <f>ROUND(D6*E17,0)</f>
        <v>0</v>
      </c>
      <c r="E17" s="1705"/>
      <c r="F17" s="1706" t="s">
        <v>1544</v>
      </c>
      <c r="G17" s="1674"/>
      <c r="H17" s="1662"/>
      <c r="I17" s="1747"/>
      <c r="J17" s="3418"/>
      <c r="K17" s="3422"/>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18"/>
      <c r="K18" s="3422"/>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18"/>
      <c r="K19" s="3423"/>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18">
        <v>3</v>
      </c>
      <c r="K20" s="3421"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18"/>
      <c r="K21" s="3422"/>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18"/>
      <c r="K22" s="3422"/>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18"/>
      <c r="K23" s="3422"/>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18"/>
      <c r="K24" s="3423"/>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19">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0"/>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0" t="s">
        <v>1479</v>
      </c>
      <c r="K32" s="3431"/>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4" t="s">
        <v>1487</v>
      </c>
      <c r="K33" s="3425"/>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4" t="s">
        <v>1489</v>
      </c>
      <c r="K34" s="3425"/>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18">
        <v>1</v>
      </c>
      <c r="K36" s="3421"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18"/>
      <c r="K37" s="3422"/>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18"/>
      <c r="K38" s="3422"/>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18"/>
      <c r="K39" s="3422"/>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18"/>
      <c r="K40" s="3423"/>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19">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0"/>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443.8818</v>
      </c>
      <c r="C2" s="1629" t="s">
        <v>1590</v>
      </c>
      <c r="D2" s="1630" t="s">
        <v>1591</v>
      </c>
      <c r="E2" s="1631">
        <f>SUM(E6:E13)</f>
        <v>332.39</v>
      </c>
      <c r="F2" s="1627"/>
      <c r="G2" s="1507"/>
      <c r="H2" s="1507"/>
      <c r="I2" s="1507"/>
      <c r="J2" s="1507"/>
      <c r="K2" s="1507"/>
      <c r="L2" s="1507"/>
      <c r="M2" s="1507"/>
      <c r="N2" s="1507"/>
      <c r="O2" s="1507"/>
      <c r="P2" s="1507"/>
      <c r="Q2" s="1507"/>
      <c r="R2" s="1507"/>
      <c r="S2" s="1507"/>
    </row>
    <row r="3" spans="1:22" ht="15.75">
      <c r="A3" s="1628" t="s">
        <v>1031</v>
      </c>
      <c r="B3" s="1632">
        <f ca="1">ROUND(B2*10000/E2,0)</f>
        <v>13354</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37" t="s">
        <v>1594</v>
      </c>
      <c r="C5" s="3438"/>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443.8818</v>
      </c>
      <c r="C6" s="1629" t="s">
        <v>1590</v>
      </c>
      <c r="D6" s="1627"/>
      <c r="E6" s="1639">
        <f>IF(OR(A6=0,F6="否"),0,'数据-取费表'!K6+'数据-取费表'!S6)</f>
        <v>332.39</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332.39</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0" t="s">
        <v>1379</v>
      </c>
      <c r="D4" s="3401"/>
      <c r="E4" s="3402" t="s">
        <v>1380</v>
      </c>
      <c r="F4" s="3403"/>
      <c r="G4" s="3400" t="s">
        <v>1381</v>
      </c>
      <c r="H4" s="3401"/>
      <c r="I4" s="3400" t="s">
        <v>1382</v>
      </c>
      <c r="J4" s="3401"/>
      <c r="K4" s="156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408" t="s">
        <v>1381</v>
      </c>
      <c r="AC4" s="3408" t="s">
        <v>1382</v>
      </c>
    </row>
    <row r="5" spans="1:29" ht="15">
      <c r="A5" s="1029"/>
      <c r="B5" s="1030"/>
      <c r="C5" s="3404" t="s">
        <v>1385</v>
      </c>
      <c r="D5" s="3405"/>
      <c r="E5" s="3406" t="s">
        <v>1386</v>
      </c>
      <c r="F5" s="3407"/>
      <c r="G5" s="3404" t="s">
        <v>1387</v>
      </c>
      <c r="H5" s="3405"/>
      <c r="I5" s="3404" t="s">
        <v>1388</v>
      </c>
      <c r="J5" s="3405"/>
      <c r="K5" s="1562"/>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562"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45945</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8"/>
      <c r="Q11" s="794" t="str">
        <f t="shared" si="6"/>
        <v>容积率</v>
      </c>
      <c r="R11" s="1215" t="s">
        <v>1393</v>
      </c>
      <c r="S11" s="1216" t="e">
        <f t="shared" si="0"/>
        <v>#N/A</v>
      </c>
      <c r="T11" s="1215" t="s">
        <v>1393</v>
      </c>
      <c r="U11" s="1216" t="e">
        <f t="shared" si="1"/>
        <v>#N/A</v>
      </c>
      <c r="V11" s="1215" t="s">
        <v>1393</v>
      </c>
      <c r="W11" s="1216" t="e">
        <f t="shared" si="2"/>
        <v>#N/A</v>
      </c>
      <c r="X11" s="1217"/>
      <c r="Y11" s="3265"/>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6" t="s">
        <v>1406</v>
      </c>
      <c r="Q15" s="625" t="str">
        <f t="shared" si="6"/>
        <v>居住社区成熟度</v>
      </c>
      <c r="R15" s="1219" t="s">
        <v>1393</v>
      </c>
      <c r="S15" s="1220">
        <f t="shared" si="0"/>
        <v>100</v>
      </c>
      <c r="T15" s="1219" t="s">
        <v>1393</v>
      </c>
      <c r="U15" s="1220">
        <f t="shared" si="1"/>
        <v>100</v>
      </c>
      <c r="V15" s="1219" t="s">
        <v>1393</v>
      </c>
      <c r="W15" s="1220">
        <f t="shared" si="2"/>
        <v>100</v>
      </c>
      <c r="X15" s="1214"/>
      <c r="Y15" s="3391"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7"/>
      <c r="Q16" s="625"/>
      <c r="R16" s="1219"/>
      <c r="S16" s="1220"/>
      <c r="T16" s="1219"/>
      <c r="U16" s="1220"/>
      <c r="V16" s="1219"/>
      <c r="W16" s="1220"/>
      <c r="X16" s="1214"/>
      <c r="Y16" s="3392"/>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7"/>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7"/>
      <c r="Q18" s="625"/>
      <c r="R18" s="1219"/>
      <c r="S18" s="1220"/>
      <c r="T18" s="1219"/>
      <c r="U18" s="1220"/>
      <c r="V18" s="1219"/>
      <c r="W18" s="1220"/>
      <c r="X18" s="1214"/>
      <c r="Y18" s="3392"/>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7"/>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7"/>
      <c r="Q20" s="625"/>
      <c r="R20" s="1219"/>
      <c r="S20" s="1220"/>
      <c r="T20" s="1219"/>
      <c r="U20" s="1220"/>
      <c r="V20" s="1219"/>
      <c r="W20" s="1220"/>
      <c r="X20" s="1214"/>
      <c r="Y20" s="3392"/>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7"/>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7"/>
      <c r="Q22" s="625"/>
      <c r="R22" s="1219"/>
      <c r="S22" s="1220"/>
      <c r="T22" s="1219"/>
      <c r="U22" s="1220"/>
      <c r="V22" s="1219"/>
      <c r="W22" s="1220"/>
      <c r="X22" s="1214"/>
      <c r="Y22" s="3392"/>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7"/>
      <c r="Q23" s="625" t="str">
        <f>B23</f>
        <v>自然及人文环境</v>
      </c>
      <c r="R23" s="1219" t="s">
        <v>1393</v>
      </c>
      <c r="S23" s="1220">
        <f>F23</f>
        <v>100</v>
      </c>
      <c r="T23" s="1219" t="s">
        <v>1393</v>
      </c>
      <c r="U23" s="1220">
        <f>H23</f>
        <v>100</v>
      </c>
      <c r="V23" s="1219" t="s">
        <v>1393</v>
      </c>
      <c r="W23" s="1220">
        <f>J23</f>
        <v>100</v>
      </c>
      <c r="X23" s="1214"/>
      <c r="Y23" s="3392"/>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7"/>
      <c r="Q24" s="625"/>
      <c r="R24" s="1219"/>
      <c r="S24" s="1220"/>
      <c r="T24" s="1219"/>
      <c r="U24" s="1220"/>
      <c r="V24" s="1219"/>
      <c r="W24" s="1220"/>
      <c r="X24" s="1214"/>
      <c r="Y24" s="3392"/>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7"/>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2"/>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7"/>
      <c r="Q26" s="625" t="str">
        <f t="shared" si="11"/>
        <v>朝向</v>
      </c>
      <c r="R26" s="1219" t="s">
        <v>1393</v>
      </c>
      <c r="S26" s="1220">
        <f t="shared" si="12"/>
        <v>100</v>
      </c>
      <c r="T26" s="1219" t="s">
        <v>1393</v>
      </c>
      <c r="U26" s="1220">
        <f t="shared" si="13"/>
        <v>100</v>
      </c>
      <c r="V26" s="1219" t="s">
        <v>1393</v>
      </c>
      <c r="W26" s="1220">
        <f t="shared" si="14"/>
        <v>100</v>
      </c>
      <c r="X26" s="1214"/>
      <c r="Y26" s="3392"/>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7"/>
      <c r="Q27" s="794">
        <f t="shared" si="11"/>
        <v>111</v>
      </c>
      <c r="R27" s="1215" t="s">
        <v>1393</v>
      </c>
      <c r="S27" s="1216">
        <f t="shared" si="12"/>
        <v>100</v>
      </c>
      <c r="T27" s="1215" t="s">
        <v>1393</v>
      </c>
      <c r="U27" s="1216">
        <f t="shared" si="13"/>
        <v>100</v>
      </c>
      <c r="V27" s="1215" t="s">
        <v>1393</v>
      </c>
      <c r="W27" s="1216">
        <f t="shared" si="14"/>
        <v>100</v>
      </c>
      <c r="X27" s="1217"/>
      <c r="Y27" s="3392"/>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7"/>
      <c r="Q28" s="625">
        <f t="shared" si="11"/>
        <v>111</v>
      </c>
      <c r="R28" s="1219" t="s">
        <v>1393</v>
      </c>
      <c r="S28" s="1220">
        <f t="shared" si="12"/>
        <v>100</v>
      </c>
      <c r="T28" s="1219" t="s">
        <v>1393</v>
      </c>
      <c r="U28" s="1220">
        <f t="shared" si="13"/>
        <v>100</v>
      </c>
      <c r="V28" s="1219" t="s">
        <v>1393</v>
      </c>
      <c r="W28" s="1220">
        <f t="shared" si="14"/>
        <v>100</v>
      </c>
      <c r="X28" s="1214"/>
      <c r="Y28" s="3392"/>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7"/>
      <c r="Q29" s="625">
        <f t="shared" si="11"/>
        <v>111</v>
      </c>
      <c r="R29" s="1219" t="s">
        <v>1393</v>
      </c>
      <c r="S29" s="1220">
        <f t="shared" si="12"/>
        <v>100</v>
      </c>
      <c r="T29" s="1219" t="s">
        <v>1393</v>
      </c>
      <c r="U29" s="1220">
        <f t="shared" si="13"/>
        <v>100</v>
      </c>
      <c r="V29" s="1219" t="s">
        <v>1393</v>
      </c>
      <c r="W29" s="1220">
        <f t="shared" si="14"/>
        <v>100</v>
      </c>
      <c r="X29" s="1214"/>
      <c r="Y29" s="3392"/>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7"/>
      <c r="Q30" s="625">
        <f t="shared" si="11"/>
        <v>111</v>
      </c>
      <c r="R30" s="1219" t="s">
        <v>1393</v>
      </c>
      <c r="S30" s="1220">
        <f t="shared" si="12"/>
        <v>100</v>
      </c>
      <c r="T30" s="1219" t="s">
        <v>1393</v>
      </c>
      <c r="U30" s="1220">
        <f t="shared" si="13"/>
        <v>100</v>
      </c>
      <c r="V30" s="1219" t="s">
        <v>1393</v>
      </c>
      <c r="W30" s="1220">
        <f t="shared" si="14"/>
        <v>100</v>
      </c>
      <c r="X30" s="1214"/>
      <c r="Y30" s="3392"/>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7"/>
      <c r="Q31" s="625">
        <f t="shared" si="11"/>
        <v>111</v>
      </c>
      <c r="R31" s="1219" t="s">
        <v>1393</v>
      </c>
      <c r="S31" s="1220">
        <f t="shared" si="12"/>
        <v>100</v>
      </c>
      <c r="T31" s="1219" t="s">
        <v>1393</v>
      </c>
      <c r="U31" s="1220">
        <f t="shared" si="13"/>
        <v>100</v>
      </c>
      <c r="V31" s="1219" t="s">
        <v>1393</v>
      </c>
      <c r="W31" s="1220">
        <f t="shared" si="14"/>
        <v>100</v>
      </c>
      <c r="X31" s="1214"/>
      <c r="Y31" s="3392"/>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8" t="s">
        <v>1421</v>
      </c>
      <c r="Q32" s="625" t="str">
        <f t="shared" si="11"/>
        <v>建筑类型</v>
      </c>
      <c r="R32" s="1219" t="s">
        <v>1393</v>
      </c>
      <c r="S32" s="1220">
        <f t="shared" si="12"/>
        <v>100</v>
      </c>
      <c r="T32" s="1219" t="s">
        <v>1393</v>
      </c>
      <c r="U32" s="1220">
        <f t="shared" si="13"/>
        <v>100</v>
      </c>
      <c r="V32" s="1219" t="s">
        <v>1393</v>
      </c>
      <c r="W32" s="1220">
        <f t="shared" si="14"/>
        <v>100</v>
      </c>
      <c r="X32" s="1214"/>
      <c r="Y32" s="3393"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9"/>
      <c r="Q33" s="1415" t="str">
        <f t="shared" si="11"/>
        <v>项目建筑规模</v>
      </c>
      <c r="R33" s="1221" t="s">
        <v>1393</v>
      </c>
      <c r="S33" s="1222" t="e">
        <f t="shared" si="12"/>
        <v>#N/A</v>
      </c>
      <c r="T33" s="1221" t="s">
        <v>1393</v>
      </c>
      <c r="U33" s="1222" t="e">
        <f t="shared" si="13"/>
        <v>#N/A</v>
      </c>
      <c r="V33" s="1221" t="s">
        <v>1393</v>
      </c>
      <c r="W33" s="1222" t="e">
        <f t="shared" si="14"/>
        <v>#N/A</v>
      </c>
      <c r="X33" s="1223"/>
      <c r="Y33" s="3393"/>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9"/>
      <c r="Q34" s="625" t="str">
        <f t="shared" si="11"/>
        <v>建筑结构</v>
      </c>
      <c r="R34" s="1219" t="s">
        <v>1393</v>
      </c>
      <c r="S34" s="1220">
        <f t="shared" si="12"/>
        <v>100</v>
      </c>
      <c r="T34" s="1219" t="s">
        <v>1393</v>
      </c>
      <c r="U34" s="1220">
        <f t="shared" si="13"/>
        <v>100</v>
      </c>
      <c r="V34" s="1219" t="s">
        <v>1393</v>
      </c>
      <c r="W34" s="1220">
        <f t="shared" si="14"/>
        <v>100</v>
      </c>
      <c r="X34" s="1214"/>
      <c r="Y34" s="3393"/>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9"/>
      <c r="Q35" s="625" t="str">
        <f t="shared" si="11"/>
        <v>建筑品质</v>
      </c>
      <c r="R35" s="1219" t="s">
        <v>1393</v>
      </c>
      <c r="S35" s="1220">
        <f t="shared" si="12"/>
        <v>100</v>
      </c>
      <c r="T35" s="1219" t="s">
        <v>1393</v>
      </c>
      <c r="U35" s="1220">
        <f t="shared" si="13"/>
        <v>100</v>
      </c>
      <c r="V35" s="1219" t="s">
        <v>1393</v>
      </c>
      <c r="W35" s="1220">
        <f t="shared" si="14"/>
        <v>100</v>
      </c>
      <c r="X35" s="1214"/>
      <c r="Y35" s="3393"/>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9"/>
      <c r="Q36" s="625" t="str">
        <f t="shared" si="11"/>
        <v>公共部分装修</v>
      </c>
      <c r="R36" s="1219" t="s">
        <v>1393</v>
      </c>
      <c r="S36" s="1220">
        <f t="shared" si="12"/>
        <v>100</v>
      </c>
      <c r="T36" s="1219" t="s">
        <v>1393</v>
      </c>
      <c r="U36" s="1220">
        <f t="shared" si="13"/>
        <v>100</v>
      </c>
      <c r="V36" s="1219" t="s">
        <v>1393</v>
      </c>
      <c r="W36" s="1220">
        <f t="shared" si="14"/>
        <v>100</v>
      </c>
      <c r="X36" s="1214"/>
      <c r="Y36" s="3393"/>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9"/>
      <c r="Q37" s="794" t="str">
        <f t="shared" si="11"/>
        <v>成新度</v>
      </c>
      <c r="R37" s="1215" t="s">
        <v>1393</v>
      </c>
      <c r="S37" s="1216" t="e">
        <f t="shared" si="12"/>
        <v>#N/A</v>
      </c>
      <c r="T37" s="1215" t="s">
        <v>1393</v>
      </c>
      <c r="U37" s="1216" t="e">
        <f t="shared" si="13"/>
        <v>#N/A</v>
      </c>
      <c r="V37" s="1215" t="s">
        <v>1393</v>
      </c>
      <c r="W37" s="1216" t="e">
        <f t="shared" si="14"/>
        <v>#N/A</v>
      </c>
      <c r="X37" s="1217"/>
      <c r="Y37" s="3393"/>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9" t="s">
        <v>1421</v>
      </c>
      <c r="Q38" s="625" t="str">
        <f t="shared" si="11"/>
        <v>物业管理</v>
      </c>
      <c r="R38" s="1219" t="s">
        <v>1393</v>
      </c>
      <c r="S38" s="1220">
        <f t="shared" si="12"/>
        <v>100</v>
      </c>
      <c r="T38" s="1219" t="s">
        <v>1393</v>
      </c>
      <c r="U38" s="1220">
        <f t="shared" si="13"/>
        <v>100</v>
      </c>
      <c r="V38" s="1219" t="s">
        <v>1393</v>
      </c>
      <c r="W38" s="1220">
        <f t="shared" si="14"/>
        <v>100</v>
      </c>
      <c r="X38" s="1214"/>
      <c r="Y38" s="3393"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9"/>
      <c r="Q39" s="625" t="str">
        <f t="shared" si="11"/>
        <v>市政基础设施</v>
      </c>
      <c r="R39" s="1219" t="s">
        <v>1393</v>
      </c>
      <c r="S39" s="1220">
        <f t="shared" si="12"/>
        <v>100</v>
      </c>
      <c r="T39" s="1219" t="s">
        <v>1393</v>
      </c>
      <c r="U39" s="1220">
        <f t="shared" si="13"/>
        <v>100</v>
      </c>
      <c r="V39" s="1219" t="s">
        <v>1393</v>
      </c>
      <c r="W39" s="1220">
        <f t="shared" si="14"/>
        <v>100</v>
      </c>
      <c r="X39" s="1214"/>
      <c r="Y39" s="3393"/>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9"/>
      <c r="Q40" s="625" t="str">
        <f t="shared" si="11"/>
        <v>房型</v>
      </c>
      <c r="R40" s="1219" t="s">
        <v>1393</v>
      </c>
      <c r="S40" s="1220">
        <f t="shared" si="12"/>
        <v>100</v>
      </c>
      <c r="T40" s="1219" t="s">
        <v>1393</v>
      </c>
      <c r="U40" s="1220">
        <f t="shared" si="13"/>
        <v>100</v>
      </c>
      <c r="V40" s="1219" t="s">
        <v>1393</v>
      </c>
      <c r="W40" s="1220">
        <f t="shared" si="14"/>
        <v>100</v>
      </c>
      <c r="X40" s="1214"/>
      <c r="Y40" s="3393"/>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9"/>
      <c r="Q41" s="1415" t="str">
        <f t="shared" si="11"/>
        <v>单套/主力户型建筑面积</v>
      </c>
      <c r="R41" s="1221" t="s">
        <v>1393</v>
      </c>
      <c r="S41" s="1222">
        <f t="shared" si="12"/>
        <v>100</v>
      </c>
      <c r="T41" s="1221" t="s">
        <v>1393</v>
      </c>
      <c r="U41" s="1222">
        <f t="shared" si="13"/>
        <v>100</v>
      </c>
      <c r="V41" s="1221" t="s">
        <v>1393</v>
      </c>
      <c r="W41" s="1222">
        <f t="shared" si="14"/>
        <v>100</v>
      </c>
      <c r="X41" s="1223"/>
      <c r="Y41" s="3393"/>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9"/>
      <c r="Q42" s="625" t="str">
        <f t="shared" si="11"/>
        <v>内部装修</v>
      </c>
      <c r="R42" s="1219" t="s">
        <v>1393</v>
      </c>
      <c r="S42" s="1220">
        <f t="shared" si="12"/>
        <v>100</v>
      </c>
      <c r="T42" s="1219" t="s">
        <v>1393</v>
      </c>
      <c r="U42" s="1220">
        <f t="shared" si="13"/>
        <v>100</v>
      </c>
      <c r="V42" s="1219" t="s">
        <v>1393</v>
      </c>
      <c r="W42" s="1220">
        <f t="shared" si="14"/>
        <v>100</v>
      </c>
      <c r="X42" s="1214"/>
      <c r="Y42" s="3393"/>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9"/>
      <c r="Q43" s="625" t="str">
        <f t="shared" si="11"/>
        <v>内部装修维护情况</v>
      </c>
      <c r="R43" s="1219" t="s">
        <v>1393</v>
      </c>
      <c r="S43" s="1220">
        <f t="shared" si="12"/>
        <v>100</v>
      </c>
      <c r="T43" s="1219" t="s">
        <v>1393</v>
      </c>
      <c r="U43" s="1220">
        <f t="shared" si="13"/>
        <v>100</v>
      </c>
      <c r="V43" s="1219" t="s">
        <v>1393</v>
      </c>
      <c r="W43" s="1220">
        <f t="shared" si="14"/>
        <v>100</v>
      </c>
      <c r="X43" s="1214"/>
      <c r="Y43" s="3393"/>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9"/>
      <c r="Q44" s="794">
        <f t="shared" si="11"/>
        <v>111</v>
      </c>
      <c r="R44" s="1215" t="s">
        <v>1393</v>
      </c>
      <c r="S44" s="1216">
        <f t="shared" si="12"/>
        <v>100</v>
      </c>
      <c r="T44" s="1215" t="s">
        <v>1393</v>
      </c>
      <c r="U44" s="1216">
        <f t="shared" si="13"/>
        <v>100</v>
      </c>
      <c r="V44" s="1215" t="s">
        <v>1393</v>
      </c>
      <c r="W44" s="1216">
        <f t="shared" si="14"/>
        <v>100</v>
      </c>
      <c r="X44" s="1217"/>
      <c r="Y44" s="3393"/>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9"/>
      <c r="Q45" s="625">
        <f t="shared" si="11"/>
        <v>111</v>
      </c>
      <c r="R45" s="1219" t="s">
        <v>1393</v>
      </c>
      <c r="S45" s="1220">
        <f t="shared" si="12"/>
        <v>100</v>
      </c>
      <c r="T45" s="1219" t="s">
        <v>1393</v>
      </c>
      <c r="U45" s="1220">
        <f t="shared" si="13"/>
        <v>100</v>
      </c>
      <c r="V45" s="1219" t="s">
        <v>1393</v>
      </c>
      <c r="W45" s="1220">
        <f t="shared" si="14"/>
        <v>100</v>
      </c>
      <c r="X45" s="1214"/>
      <c r="Y45" s="3393"/>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0"/>
      <c r="Q46" s="625">
        <f t="shared" si="11"/>
        <v>111</v>
      </c>
      <c r="R46" s="1219" t="s">
        <v>1393</v>
      </c>
      <c r="S46" s="1220">
        <f t="shared" si="12"/>
        <v>100</v>
      </c>
      <c r="T46" s="1219" t="s">
        <v>1393</v>
      </c>
      <c r="U46" s="1220">
        <f t="shared" si="13"/>
        <v>100</v>
      </c>
      <c r="V46" s="1219" t="s">
        <v>1393</v>
      </c>
      <c r="W46" s="1220">
        <f t="shared" si="14"/>
        <v>100</v>
      </c>
      <c r="X46" s="1214"/>
      <c r="Y46" s="3394"/>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9" t="str">
        <f>A47</f>
        <v>成交单价（元/平方米）</v>
      </c>
      <c r="Q47" s="3379"/>
      <c r="R47" s="3377">
        <f>E47</f>
        <v>0</v>
      </c>
      <c r="S47" s="3377"/>
      <c r="T47" s="3377">
        <f>G47</f>
        <v>0</v>
      </c>
      <c r="U47" s="3377"/>
      <c r="V47" s="3377">
        <f>I47</f>
        <v>0</v>
      </c>
      <c r="W47" s="3377"/>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9" t="str">
        <f>A48</f>
        <v>比较价值（元/平方米）</v>
      </c>
      <c r="Q48" s="3379"/>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332.39</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487"/>
      <c r="M4" s="1157"/>
      <c r="N4" s="1157"/>
      <c r="O4" s="1157"/>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487"/>
      <c r="M5" s="1157"/>
      <c r="N5" s="1157"/>
      <c r="O5" s="1157"/>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487"/>
      <c r="M6" s="1157"/>
      <c r="N6" s="1157"/>
      <c r="O6" s="1157"/>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9"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9"/>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9"/>
      <c r="Q11" s="794" t="str">
        <f t="shared" si="6"/>
        <v>容积率</v>
      </c>
      <c r="R11" s="1215" t="s">
        <v>1393</v>
      </c>
      <c r="S11" s="1216">
        <f t="shared" si="0"/>
        <v>100</v>
      </c>
      <c r="T11" s="1215" t="s">
        <v>1393</v>
      </c>
      <c r="U11" s="1216">
        <f t="shared" si="1"/>
        <v>100</v>
      </c>
      <c r="V11" s="1215" t="s">
        <v>1393</v>
      </c>
      <c r="W11" s="1216">
        <f t="shared" si="2"/>
        <v>100</v>
      </c>
      <c r="X11" s="1217"/>
      <c r="Y11" s="3265"/>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9"/>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1" t="s">
        <v>1406</v>
      </c>
      <c r="Q15" s="625" t="str">
        <f t="shared" si="6"/>
        <v>产业集聚程度</v>
      </c>
      <c r="R15" s="1219" t="s">
        <v>1393</v>
      </c>
      <c r="S15" s="1220">
        <f t="shared" si="0"/>
        <v>100</v>
      </c>
      <c r="T15" s="1219" t="s">
        <v>1393</v>
      </c>
      <c r="U15" s="1220">
        <f t="shared" si="1"/>
        <v>100</v>
      </c>
      <c r="V15" s="1219" t="s">
        <v>1393</v>
      </c>
      <c r="W15" s="1220">
        <f t="shared" si="2"/>
        <v>100</v>
      </c>
      <c r="X15" s="1214"/>
      <c r="Y15" s="3391"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2"/>
      <c r="Q16" s="625"/>
      <c r="R16" s="1219"/>
      <c r="S16" s="1220"/>
      <c r="T16" s="1219"/>
      <c r="U16" s="1220"/>
      <c r="V16" s="1219"/>
      <c r="W16" s="1220"/>
      <c r="X16" s="1214"/>
      <c r="Y16" s="3392"/>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2"/>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2"/>
      <c r="Q18" s="625"/>
      <c r="R18" s="1219"/>
      <c r="S18" s="1220"/>
      <c r="T18" s="1219"/>
      <c r="U18" s="1220"/>
      <c r="V18" s="1219"/>
      <c r="W18" s="1220"/>
      <c r="X18" s="1214"/>
      <c r="Y18" s="3392"/>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2"/>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2"/>
      <c r="Q20" s="625"/>
      <c r="R20" s="1219"/>
      <c r="S20" s="1220"/>
      <c r="T20" s="1219"/>
      <c r="U20" s="1220"/>
      <c r="V20" s="1219"/>
      <c r="W20" s="1220"/>
      <c r="X20" s="1214"/>
      <c r="Y20" s="3392"/>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2"/>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2"/>
      <c r="Q22" s="625"/>
      <c r="R22" s="1219"/>
      <c r="S22" s="1220"/>
      <c r="T22" s="1219"/>
      <c r="U22" s="1220"/>
      <c r="V22" s="1219"/>
      <c r="W22" s="1220"/>
      <c r="X22" s="1214"/>
      <c r="Y22" s="3392"/>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2"/>
      <c r="Q23" s="625" t="str">
        <f>B23</f>
        <v>环境质量</v>
      </c>
      <c r="R23" s="1219" t="s">
        <v>1393</v>
      </c>
      <c r="S23" s="1220">
        <f>F23</f>
        <v>100</v>
      </c>
      <c r="T23" s="1219" t="s">
        <v>1393</v>
      </c>
      <c r="U23" s="1220">
        <f>H23</f>
        <v>100</v>
      </c>
      <c r="V23" s="1219" t="s">
        <v>1393</v>
      </c>
      <c r="W23" s="1220">
        <f>J23</f>
        <v>100</v>
      </c>
      <c r="X23" s="1214"/>
      <c r="Y23" s="3392"/>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2"/>
      <c r="Q24" s="625"/>
      <c r="R24" s="1219"/>
      <c r="S24" s="1220"/>
      <c r="T24" s="1219"/>
      <c r="U24" s="1220"/>
      <c r="V24" s="1219"/>
      <c r="W24" s="1220"/>
      <c r="X24" s="1214"/>
      <c r="Y24" s="3392"/>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2"/>
      <c r="Q25" s="625">
        <f>B25</f>
        <v>111</v>
      </c>
      <c r="R25" s="1219" t="s">
        <v>1393</v>
      </c>
      <c r="S25" s="1220">
        <f>F25</f>
        <v>100</v>
      </c>
      <c r="T25" s="1219" t="s">
        <v>1393</v>
      </c>
      <c r="U25" s="1220">
        <f>H25</f>
        <v>100</v>
      </c>
      <c r="V25" s="1219" t="s">
        <v>1393</v>
      </c>
      <c r="W25" s="1220">
        <f>J25</f>
        <v>100</v>
      </c>
      <c r="X25" s="1214"/>
      <c r="Y25" s="3392"/>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2"/>
      <c r="Q26" s="625">
        <f t="shared" ref="Q26:Q40" si="11">B26</f>
        <v>111</v>
      </c>
      <c r="R26" s="1219" t="s">
        <v>1393</v>
      </c>
      <c r="S26" s="1220">
        <f>F26</f>
        <v>100</v>
      </c>
      <c r="T26" s="1219" t="s">
        <v>1393</v>
      </c>
      <c r="U26" s="1220">
        <f>H26</f>
        <v>100</v>
      </c>
      <c r="V26" s="1219" t="s">
        <v>1393</v>
      </c>
      <c r="W26" s="1220">
        <f>J26</f>
        <v>100</v>
      </c>
      <c r="X26" s="1214"/>
      <c r="Y26" s="3392"/>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2"/>
      <c r="Q27" s="794">
        <f t="shared" si="11"/>
        <v>111</v>
      </c>
      <c r="R27" s="1215" t="s">
        <v>1393</v>
      </c>
      <c r="S27" s="1216">
        <f>F27</f>
        <v>100</v>
      </c>
      <c r="T27" s="1215" t="s">
        <v>1393</v>
      </c>
      <c r="U27" s="1216">
        <f>H27</f>
        <v>100</v>
      </c>
      <c r="V27" s="1215" t="s">
        <v>1393</v>
      </c>
      <c r="W27" s="1216">
        <f>J27</f>
        <v>100</v>
      </c>
      <c r="X27" s="1217"/>
      <c r="Y27" s="3392"/>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2"/>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2"/>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39" t="s">
        <v>1421</v>
      </c>
      <c r="Q29" s="625" t="str">
        <f t="shared" si="11"/>
        <v>建筑类型</v>
      </c>
      <c r="R29" s="1219" t="s">
        <v>1393</v>
      </c>
      <c r="S29" s="1220">
        <f t="shared" si="12"/>
        <v>100</v>
      </c>
      <c r="T29" s="1219" t="s">
        <v>1393</v>
      </c>
      <c r="U29" s="1220">
        <f t="shared" si="13"/>
        <v>100</v>
      </c>
      <c r="V29" s="1219" t="s">
        <v>1393</v>
      </c>
      <c r="W29" s="1220">
        <f t="shared" si="14"/>
        <v>100</v>
      </c>
      <c r="X29" s="1214"/>
      <c r="Y29" s="3393"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3"/>
      <c r="Q30" s="1415" t="str">
        <f t="shared" si="11"/>
        <v>项目建筑规模</v>
      </c>
      <c r="R30" s="1221" t="s">
        <v>1393</v>
      </c>
      <c r="S30" s="1222" t="e">
        <f t="shared" si="12"/>
        <v>#N/A</v>
      </c>
      <c r="T30" s="1221" t="s">
        <v>1393</v>
      </c>
      <c r="U30" s="1222" t="e">
        <f t="shared" si="13"/>
        <v>#N/A</v>
      </c>
      <c r="V30" s="1221" t="s">
        <v>1393</v>
      </c>
      <c r="W30" s="1222" t="e">
        <f t="shared" si="14"/>
        <v>#N/A</v>
      </c>
      <c r="X30" s="1223"/>
      <c r="Y30" s="3393"/>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3"/>
      <c r="Q31" s="625" t="str">
        <f t="shared" si="11"/>
        <v>建筑结构</v>
      </c>
      <c r="R31" s="1219" t="s">
        <v>1393</v>
      </c>
      <c r="S31" s="1220">
        <f t="shared" si="12"/>
        <v>100</v>
      </c>
      <c r="T31" s="1219" t="s">
        <v>1393</v>
      </c>
      <c r="U31" s="1220">
        <f t="shared" si="13"/>
        <v>100</v>
      </c>
      <c r="V31" s="1219" t="s">
        <v>1393</v>
      </c>
      <c r="W31" s="1220">
        <f t="shared" si="14"/>
        <v>100</v>
      </c>
      <c r="X31" s="1214"/>
      <c r="Y31" s="3393"/>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3"/>
      <c r="Q32" s="625" t="str">
        <f t="shared" si="11"/>
        <v>公共部分装修</v>
      </c>
      <c r="R32" s="1219" t="s">
        <v>1393</v>
      </c>
      <c r="S32" s="1220">
        <f t="shared" si="12"/>
        <v>100</v>
      </c>
      <c r="T32" s="1219" t="s">
        <v>1393</v>
      </c>
      <c r="U32" s="1220">
        <f t="shared" si="13"/>
        <v>100</v>
      </c>
      <c r="V32" s="1219" t="s">
        <v>1393</v>
      </c>
      <c r="W32" s="1220">
        <f t="shared" si="14"/>
        <v>100</v>
      </c>
      <c r="X32" s="1214"/>
      <c r="Y32" s="3393"/>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3"/>
      <c r="Q33" s="625" t="str">
        <f t="shared" si="11"/>
        <v>成新度</v>
      </c>
      <c r="R33" s="1219" t="s">
        <v>1393</v>
      </c>
      <c r="S33" s="1220" t="e">
        <f t="shared" si="12"/>
        <v>#N/A</v>
      </c>
      <c r="T33" s="1219" t="s">
        <v>1393</v>
      </c>
      <c r="U33" s="1220" t="e">
        <f t="shared" si="13"/>
        <v>#N/A</v>
      </c>
      <c r="V33" s="1219" t="s">
        <v>1393</v>
      </c>
      <c r="W33" s="1220" t="e">
        <f t="shared" si="14"/>
        <v>#N/A</v>
      </c>
      <c r="X33" s="1214"/>
      <c r="Y33" s="3393"/>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3"/>
      <c r="Q34" s="794" t="str">
        <f t="shared" si="11"/>
        <v>物业管理</v>
      </c>
      <c r="R34" s="1215" t="s">
        <v>1393</v>
      </c>
      <c r="S34" s="1216">
        <f t="shared" si="12"/>
        <v>100</v>
      </c>
      <c r="T34" s="1215" t="s">
        <v>1393</v>
      </c>
      <c r="U34" s="1216">
        <f t="shared" si="13"/>
        <v>100</v>
      </c>
      <c r="V34" s="1215" t="s">
        <v>1393</v>
      </c>
      <c r="W34" s="1216">
        <f t="shared" si="14"/>
        <v>100</v>
      </c>
      <c r="X34" s="1217"/>
      <c r="Y34" s="3393"/>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3" t="s">
        <v>1421</v>
      </c>
      <c r="Q35" s="625" t="str">
        <f t="shared" si="11"/>
        <v>市政基础设施</v>
      </c>
      <c r="R35" s="1219" t="s">
        <v>1393</v>
      </c>
      <c r="S35" s="1220">
        <f t="shared" si="12"/>
        <v>100</v>
      </c>
      <c r="T35" s="1219" t="s">
        <v>1393</v>
      </c>
      <c r="U35" s="1220">
        <f t="shared" si="13"/>
        <v>100</v>
      </c>
      <c r="V35" s="1219" t="s">
        <v>1393</v>
      </c>
      <c r="W35" s="1220">
        <f t="shared" si="14"/>
        <v>100</v>
      </c>
      <c r="X35" s="1214"/>
      <c r="Y35" s="3393"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3"/>
      <c r="Q36" s="625" t="str">
        <f t="shared" si="11"/>
        <v>内部装修</v>
      </c>
      <c r="R36" s="1219" t="s">
        <v>1393</v>
      </c>
      <c r="S36" s="1220">
        <f t="shared" si="12"/>
        <v>100</v>
      </c>
      <c r="T36" s="1219" t="s">
        <v>1393</v>
      </c>
      <c r="U36" s="1220">
        <f t="shared" si="13"/>
        <v>100</v>
      </c>
      <c r="V36" s="1219" t="s">
        <v>1393</v>
      </c>
      <c r="W36" s="1220">
        <f t="shared" si="14"/>
        <v>100</v>
      </c>
      <c r="X36" s="1214"/>
      <c r="Y36" s="3393"/>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3"/>
      <c r="Q37" s="625" t="str">
        <f t="shared" si="11"/>
        <v>内部装修状况</v>
      </c>
      <c r="R37" s="1219" t="s">
        <v>1393</v>
      </c>
      <c r="S37" s="1220">
        <f t="shared" si="12"/>
        <v>100</v>
      </c>
      <c r="T37" s="1219" t="s">
        <v>1393</v>
      </c>
      <c r="U37" s="1220">
        <f t="shared" si="13"/>
        <v>100</v>
      </c>
      <c r="V37" s="1219" t="s">
        <v>1393</v>
      </c>
      <c r="W37" s="1220">
        <f t="shared" si="14"/>
        <v>100</v>
      </c>
      <c r="X37" s="1214"/>
      <c r="Y37" s="3393"/>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3"/>
      <c r="Q38" s="1415">
        <f t="shared" si="11"/>
        <v>111</v>
      </c>
      <c r="R38" s="1221" t="s">
        <v>1393</v>
      </c>
      <c r="S38" s="1222">
        <f t="shared" si="12"/>
        <v>100</v>
      </c>
      <c r="T38" s="1221" t="s">
        <v>1393</v>
      </c>
      <c r="U38" s="1222">
        <f t="shared" si="13"/>
        <v>100</v>
      </c>
      <c r="V38" s="1221" t="s">
        <v>1393</v>
      </c>
      <c r="W38" s="1222">
        <f t="shared" si="14"/>
        <v>100</v>
      </c>
      <c r="X38" s="1223"/>
      <c r="Y38" s="3393"/>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3"/>
      <c r="Q39" s="625">
        <f t="shared" si="11"/>
        <v>111</v>
      </c>
      <c r="R39" s="1219" t="s">
        <v>1393</v>
      </c>
      <c r="S39" s="1220">
        <f t="shared" si="12"/>
        <v>100</v>
      </c>
      <c r="T39" s="1219" t="s">
        <v>1393</v>
      </c>
      <c r="U39" s="1220">
        <f t="shared" si="13"/>
        <v>100</v>
      </c>
      <c r="V39" s="1219" t="s">
        <v>1393</v>
      </c>
      <c r="W39" s="1220">
        <f t="shared" si="14"/>
        <v>100</v>
      </c>
      <c r="X39" s="1214"/>
      <c r="Y39" s="3393"/>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4"/>
      <c r="Q40" s="625">
        <f t="shared" si="11"/>
        <v>111</v>
      </c>
      <c r="R40" s="1219" t="s">
        <v>1393</v>
      </c>
      <c r="S40" s="1220">
        <f t="shared" si="12"/>
        <v>100</v>
      </c>
      <c r="T40" s="1219" t="s">
        <v>1393</v>
      </c>
      <c r="U40" s="1220">
        <f t="shared" si="13"/>
        <v>100</v>
      </c>
      <c r="V40" s="1219" t="s">
        <v>1393</v>
      </c>
      <c r="W40" s="1220">
        <f t="shared" si="14"/>
        <v>100</v>
      </c>
      <c r="X40" s="1214"/>
      <c r="Y40" s="3394"/>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9" t="str">
        <f>A41</f>
        <v>成交单价（元/平方米）</v>
      </c>
      <c r="Q41" s="3379"/>
      <c r="R41" s="3377">
        <f>E41</f>
        <v>0</v>
      </c>
      <c r="S41" s="3377"/>
      <c r="T41" s="3377">
        <f>G41</f>
        <v>0</v>
      </c>
      <c r="U41" s="3377"/>
      <c r="V41" s="3377">
        <f>I41</f>
        <v>0</v>
      </c>
      <c r="W41" s="3377"/>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9" t="str">
        <f>A42</f>
        <v>比较价值（元/平方米）</v>
      </c>
      <c r="Q42" s="3379"/>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估价对象为北京市房地产，为所有。根据《国有土地使用证》[]，估价对象（分摊）出让国有建设用地使用权面积为0平方米，建筑面积为332.39平方米。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估价对象为北京市房地产,属开发建设的办公项目，该项目尚在开发建设中。根据《国有土地使用证》[]，估价对象（分摊）出让国有建设用地使用权面积为0平方米，规划建筑面积为332.39平方米。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2025年10月15日（评估专业人员实地查勘之日）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本次评估采用的主估价方法为比较法和成本法。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3" t="s">
        <v>1392</v>
      </c>
      <c r="Q7" s="3399"/>
      <c r="R7" s="1215" t="s">
        <v>1393</v>
      </c>
      <c r="S7" s="1216">
        <f t="shared" ref="S7:S14" si="0">F7</f>
        <v>0</v>
      </c>
      <c r="T7" s="1215" t="s">
        <v>1393</v>
      </c>
      <c r="U7" s="1216">
        <f t="shared" ref="U7:U14" si="1">H7</f>
        <v>0</v>
      </c>
      <c r="V7" s="1215" t="s">
        <v>1393</v>
      </c>
      <c r="W7" s="1216">
        <f t="shared" ref="W7:W14" si="2">J7</f>
        <v>0</v>
      </c>
      <c r="X7" s="1217"/>
      <c r="Y7" s="3383" t="s">
        <v>1392</v>
      </c>
      <c r="Z7" s="3384"/>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9" t="s">
        <v>1400</v>
      </c>
      <c r="Q9" s="794" t="str">
        <f t="shared" ref="Q9:Q14" si="6">B9</f>
        <v>用途</v>
      </c>
      <c r="R9" s="1215" t="s">
        <v>1393</v>
      </c>
      <c r="S9" s="1216">
        <f t="shared" si="0"/>
        <v>100</v>
      </c>
      <c r="T9" s="1215" t="s">
        <v>1393</v>
      </c>
      <c r="U9" s="1216">
        <f t="shared" si="1"/>
        <v>100</v>
      </c>
      <c r="V9" s="1215" t="s">
        <v>1393</v>
      </c>
      <c r="W9" s="1216">
        <f t="shared" si="2"/>
        <v>100</v>
      </c>
      <c r="X9" s="1217"/>
      <c r="Y9" s="3265"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9"/>
      <c r="Q11" s="794">
        <f t="shared" si="6"/>
        <v>111</v>
      </c>
      <c r="R11" s="1215" t="s">
        <v>1393</v>
      </c>
      <c r="S11" s="1216">
        <f t="shared" si="0"/>
        <v>100</v>
      </c>
      <c r="T11" s="1215" t="s">
        <v>1393</v>
      </c>
      <c r="U11" s="1216">
        <f t="shared" si="1"/>
        <v>100</v>
      </c>
      <c r="V11" s="1215" t="s">
        <v>1393</v>
      </c>
      <c r="W11" s="1216">
        <f t="shared" si="2"/>
        <v>100</v>
      </c>
      <c r="X11" s="1217"/>
      <c r="Y11" s="3265"/>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1" t="s">
        <v>1406</v>
      </c>
      <c r="Q14" s="625" t="str">
        <f t="shared" si="6"/>
        <v>交通便捷度</v>
      </c>
      <c r="R14" s="1219" t="s">
        <v>1393</v>
      </c>
      <c r="S14" s="1220">
        <f t="shared" si="0"/>
        <v>100</v>
      </c>
      <c r="T14" s="1219" t="s">
        <v>1393</v>
      </c>
      <c r="U14" s="1220">
        <f t="shared" si="1"/>
        <v>100</v>
      </c>
      <c r="V14" s="1219" t="s">
        <v>1393</v>
      </c>
      <c r="W14" s="1220">
        <f t="shared" si="2"/>
        <v>100</v>
      </c>
      <c r="X14" s="1214"/>
      <c r="Y14" s="3391"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2"/>
      <c r="Q15" s="625"/>
      <c r="R15" s="1219"/>
      <c r="S15" s="1220"/>
      <c r="T15" s="1219"/>
      <c r="U15" s="1220"/>
      <c r="V15" s="1219"/>
      <c r="W15" s="1220"/>
      <c r="X15" s="1214"/>
      <c r="Y15" s="3392"/>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2"/>
      <c r="Q16" s="625" t="str">
        <f>B16</f>
        <v>公共配套设施</v>
      </c>
      <c r="R16" s="1219" t="s">
        <v>1393</v>
      </c>
      <c r="S16" s="1220">
        <f>F16</f>
        <v>100</v>
      </c>
      <c r="T16" s="1219" t="s">
        <v>1393</v>
      </c>
      <c r="U16" s="1220">
        <f>H16</f>
        <v>100</v>
      </c>
      <c r="V16" s="1219" t="s">
        <v>1393</v>
      </c>
      <c r="W16" s="1220">
        <f>J16</f>
        <v>100</v>
      </c>
      <c r="X16" s="1214"/>
      <c r="Y16" s="3392"/>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2"/>
      <c r="Q17" s="625"/>
      <c r="R17" s="1219"/>
      <c r="S17" s="1220"/>
      <c r="T17" s="1219"/>
      <c r="U17" s="1220"/>
      <c r="V17" s="1219"/>
      <c r="W17" s="1220"/>
      <c r="X17" s="1214"/>
      <c r="Y17" s="3392"/>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2"/>
      <c r="Q18" s="625" t="str">
        <f>B18</f>
        <v>基础设施水平</v>
      </c>
      <c r="R18" s="1219" t="s">
        <v>1393</v>
      </c>
      <c r="S18" s="1220">
        <f>F18</f>
        <v>100</v>
      </c>
      <c r="T18" s="1219" t="s">
        <v>1393</v>
      </c>
      <c r="U18" s="1220">
        <f>H18</f>
        <v>100</v>
      </c>
      <c r="V18" s="1219" t="s">
        <v>1393</v>
      </c>
      <c r="W18" s="1220">
        <f>J18</f>
        <v>100</v>
      </c>
      <c r="X18" s="1214"/>
      <c r="Y18" s="3392"/>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2"/>
      <c r="Q19" s="625"/>
      <c r="R19" s="1219"/>
      <c r="S19" s="1220"/>
      <c r="T19" s="1219"/>
      <c r="U19" s="1220"/>
      <c r="V19" s="1219"/>
      <c r="W19" s="1220"/>
      <c r="X19" s="1214"/>
      <c r="Y19" s="3392"/>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2"/>
      <c r="Q20" s="625" t="str">
        <f>B20</f>
        <v>自然及人文环境</v>
      </c>
      <c r="R20" s="1219" t="s">
        <v>1393</v>
      </c>
      <c r="S20" s="1220">
        <f>F20</f>
        <v>100</v>
      </c>
      <c r="T20" s="1219" t="s">
        <v>1393</v>
      </c>
      <c r="U20" s="1220">
        <f>H20</f>
        <v>100</v>
      </c>
      <c r="V20" s="1219" t="s">
        <v>1393</v>
      </c>
      <c r="W20" s="1220">
        <f>J20</f>
        <v>100</v>
      </c>
      <c r="X20" s="1214"/>
      <c r="Y20" s="3392"/>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2"/>
      <c r="Q21" s="625"/>
      <c r="R21" s="1219"/>
      <c r="S21" s="1220"/>
      <c r="T21" s="1219"/>
      <c r="U21" s="1220"/>
      <c r="V21" s="1219"/>
      <c r="W21" s="1220"/>
      <c r="X21" s="1214"/>
      <c r="Y21" s="3392"/>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2"/>
      <c r="Q22" s="625" t="str">
        <f>B22</f>
        <v>楼层</v>
      </c>
      <c r="R22" s="1219" t="s">
        <v>1393</v>
      </c>
      <c r="S22" s="1220">
        <f>F22</f>
        <v>100</v>
      </c>
      <c r="T22" s="1219" t="s">
        <v>1393</v>
      </c>
      <c r="U22" s="1220">
        <f>H22</f>
        <v>100</v>
      </c>
      <c r="V22" s="1219" t="s">
        <v>1393</v>
      </c>
      <c r="W22" s="1220">
        <f>J22</f>
        <v>100</v>
      </c>
      <c r="X22" s="1214"/>
      <c r="Y22" s="3392"/>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2"/>
      <c r="Q23" s="625">
        <f>B23</f>
        <v>111</v>
      </c>
      <c r="R23" s="1219" t="s">
        <v>1393</v>
      </c>
      <c r="S23" s="1220">
        <f>F23</f>
        <v>100</v>
      </c>
      <c r="T23" s="1219" t="s">
        <v>1393</v>
      </c>
      <c r="U23" s="1220">
        <f>H23</f>
        <v>100</v>
      </c>
      <c r="V23" s="1219" t="s">
        <v>1393</v>
      </c>
      <c r="W23" s="1220">
        <f>J23</f>
        <v>100</v>
      </c>
      <c r="X23" s="1214"/>
      <c r="Y23" s="3392"/>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2"/>
      <c r="Q24" s="625">
        <f t="shared" ref="Q24:Q36" si="11">B24</f>
        <v>111</v>
      </c>
      <c r="R24" s="1219" t="s">
        <v>1393</v>
      </c>
      <c r="S24" s="1220">
        <f>F24</f>
        <v>100</v>
      </c>
      <c r="T24" s="1219" t="s">
        <v>1393</v>
      </c>
      <c r="U24" s="1220">
        <f>H24</f>
        <v>100</v>
      </c>
      <c r="V24" s="1219" t="s">
        <v>1393</v>
      </c>
      <c r="W24" s="1220">
        <f>J24</f>
        <v>100</v>
      </c>
      <c r="X24" s="1214"/>
      <c r="Y24" s="3392"/>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2"/>
      <c r="Q25" s="794">
        <f t="shared" si="11"/>
        <v>111</v>
      </c>
      <c r="R25" s="1215" t="s">
        <v>1393</v>
      </c>
      <c r="S25" s="1216">
        <f>F25</f>
        <v>100</v>
      </c>
      <c r="T25" s="1215" t="s">
        <v>1393</v>
      </c>
      <c r="U25" s="1216">
        <f>H25</f>
        <v>100</v>
      </c>
      <c r="V25" s="1215" t="s">
        <v>1393</v>
      </c>
      <c r="W25" s="1216">
        <f>J25</f>
        <v>100</v>
      </c>
      <c r="X25" s="1217"/>
      <c r="Y25" s="3392"/>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39"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3"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3"/>
      <c r="Q27" s="1415" t="str">
        <f t="shared" si="11"/>
        <v>项目停车位配比</v>
      </c>
      <c r="R27" s="1221" t="s">
        <v>1393</v>
      </c>
      <c r="S27" s="1222">
        <f t="shared" si="12"/>
        <v>100</v>
      </c>
      <c r="T27" s="1221" t="s">
        <v>1393</v>
      </c>
      <c r="U27" s="1222">
        <f t="shared" si="13"/>
        <v>100</v>
      </c>
      <c r="V27" s="1221" t="s">
        <v>1393</v>
      </c>
      <c r="W27" s="1222">
        <f t="shared" si="14"/>
        <v>100</v>
      </c>
      <c r="X27" s="1223"/>
      <c r="Y27" s="3393"/>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3"/>
      <c r="Q28" s="625" t="str">
        <f t="shared" si="11"/>
        <v>公共部分装修</v>
      </c>
      <c r="R28" s="1219" t="s">
        <v>1393</v>
      </c>
      <c r="S28" s="1220">
        <f t="shared" si="12"/>
        <v>100</v>
      </c>
      <c r="T28" s="1219" t="s">
        <v>1393</v>
      </c>
      <c r="U28" s="1220">
        <f t="shared" si="13"/>
        <v>100</v>
      </c>
      <c r="V28" s="1219" t="s">
        <v>1393</v>
      </c>
      <c r="W28" s="1220">
        <f t="shared" si="14"/>
        <v>100</v>
      </c>
      <c r="X28" s="1214"/>
      <c r="Y28" s="3393"/>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3"/>
      <c r="Q29" s="625" t="str">
        <f t="shared" si="11"/>
        <v>成新率</v>
      </c>
      <c r="R29" s="1219" t="s">
        <v>1393</v>
      </c>
      <c r="S29" s="1220" t="e">
        <f t="shared" si="12"/>
        <v>#N/A</v>
      </c>
      <c r="T29" s="1219" t="s">
        <v>1393</v>
      </c>
      <c r="U29" s="1220" t="e">
        <f t="shared" si="13"/>
        <v>#N/A</v>
      </c>
      <c r="V29" s="1219" t="s">
        <v>1393</v>
      </c>
      <c r="W29" s="1220" t="e">
        <f t="shared" si="14"/>
        <v>#N/A</v>
      </c>
      <c r="X29" s="1214"/>
      <c r="Y29" s="3393"/>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3"/>
      <c r="Q30" s="625" t="str">
        <f t="shared" si="11"/>
        <v>物业等级</v>
      </c>
      <c r="R30" s="1219" t="s">
        <v>1393</v>
      </c>
      <c r="S30" s="1220">
        <f t="shared" si="12"/>
        <v>100</v>
      </c>
      <c r="T30" s="1219" t="s">
        <v>1393</v>
      </c>
      <c r="U30" s="1220">
        <f t="shared" si="13"/>
        <v>100</v>
      </c>
      <c r="V30" s="1219" t="s">
        <v>1393</v>
      </c>
      <c r="W30" s="1220">
        <f t="shared" si="14"/>
        <v>100</v>
      </c>
      <c r="X30" s="1214"/>
      <c r="Y30" s="3393"/>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3"/>
      <c r="Q31" s="794" t="str">
        <f t="shared" si="11"/>
        <v>停车位面积</v>
      </c>
      <c r="R31" s="1215" t="s">
        <v>1393</v>
      </c>
      <c r="S31" s="1216" t="e">
        <f t="shared" si="12"/>
        <v>#N/A</v>
      </c>
      <c r="T31" s="1215" t="s">
        <v>1393</v>
      </c>
      <c r="U31" s="1216" t="e">
        <f t="shared" si="13"/>
        <v>#N/A</v>
      </c>
      <c r="V31" s="1215" t="s">
        <v>1393</v>
      </c>
      <c r="W31" s="1216" t="e">
        <f t="shared" si="14"/>
        <v>#N/A</v>
      </c>
      <c r="X31" s="1217"/>
      <c r="Y31" s="3393"/>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3" t="s">
        <v>1421</v>
      </c>
      <c r="Q32" s="625" t="str">
        <f t="shared" si="11"/>
        <v>车位类型</v>
      </c>
      <c r="R32" s="1219" t="s">
        <v>1393</v>
      </c>
      <c r="S32" s="1220">
        <f t="shared" si="12"/>
        <v>100</v>
      </c>
      <c r="T32" s="1219" t="s">
        <v>1393</v>
      </c>
      <c r="U32" s="1220">
        <f t="shared" si="13"/>
        <v>100</v>
      </c>
      <c r="V32" s="1219" t="s">
        <v>1393</v>
      </c>
      <c r="W32" s="1220">
        <f t="shared" si="14"/>
        <v>100</v>
      </c>
      <c r="X32" s="1214"/>
      <c r="Y32" s="3393"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3"/>
      <c r="Q33" s="625" t="str">
        <f t="shared" si="11"/>
        <v>是否直接入户</v>
      </c>
      <c r="R33" s="1219" t="s">
        <v>1393</v>
      </c>
      <c r="S33" s="1220">
        <f t="shared" si="12"/>
        <v>100</v>
      </c>
      <c r="T33" s="1219" t="s">
        <v>1393</v>
      </c>
      <c r="U33" s="1220">
        <f t="shared" si="13"/>
        <v>100</v>
      </c>
      <c r="V33" s="1219" t="s">
        <v>1393</v>
      </c>
      <c r="W33" s="1220">
        <f t="shared" si="14"/>
        <v>100</v>
      </c>
      <c r="X33" s="1214"/>
      <c r="Y33" s="3393"/>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3"/>
      <c r="Q34" s="625">
        <f t="shared" si="11"/>
        <v>111</v>
      </c>
      <c r="R34" s="1219" t="s">
        <v>1393</v>
      </c>
      <c r="S34" s="1220">
        <f t="shared" si="12"/>
        <v>100</v>
      </c>
      <c r="T34" s="1219" t="s">
        <v>1393</v>
      </c>
      <c r="U34" s="1220">
        <f t="shared" si="13"/>
        <v>100</v>
      </c>
      <c r="V34" s="1219" t="s">
        <v>1393</v>
      </c>
      <c r="W34" s="1220">
        <f t="shared" si="14"/>
        <v>100</v>
      </c>
      <c r="X34" s="1214"/>
      <c r="Y34" s="3393"/>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3"/>
      <c r="Q35" s="1415">
        <f t="shared" si="11"/>
        <v>111</v>
      </c>
      <c r="R35" s="1221" t="s">
        <v>1393</v>
      </c>
      <c r="S35" s="1222">
        <f t="shared" si="12"/>
        <v>100</v>
      </c>
      <c r="T35" s="1221" t="s">
        <v>1393</v>
      </c>
      <c r="U35" s="1222">
        <f t="shared" si="13"/>
        <v>100</v>
      </c>
      <c r="V35" s="1221" t="s">
        <v>1393</v>
      </c>
      <c r="W35" s="1222">
        <f t="shared" si="14"/>
        <v>100</v>
      </c>
      <c r="X35" s="1223"/>
      <c r="Y35" s="3393"/>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3"/>
      <c r="Q36" s="625">
        <f t="shared" si="11"/>
        <v>111</v>
      </c>
      <c r="R36" s="1219" t="s">
        <v>1393</v>
      </c>
      <c r="S36" s="1220">
        <f t="shared" si="12"/>
        <v>100</v>
      </c>
      <c r="T36" s="1219" t="s">
        <v>1393</v>
      </c>
      <c r="U36" s="1220">
        <f t="shared" si="13"/>
        <v>100</v>
      </c>
      <c r="V36" s="1219" t="s">
        <v>1393</v>
      </c>
      <c r="W36" s="1220">
        <f t="shared" si="14"/>
        <v>100</v>
      </c>
      <c r="X36" s="1214"/>
      <c r="Y36" s="3393"/>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9" t="str">
        <f>A37</f>
        <v>成交单价</v>
      </c>
      <c r="Q37" s="3379"/>
      <c r="R37" s="3377">
        <f>E37</f>
        <v>0</v>
      </c>
      <c r="S37" s="3377"/>
      <c r="T37" s="3377">
        <f>G37</f>
        <v>0</v>
      </c>
      <c r="U37" s="3377"/>
      <c r="V37" s="3377">
        <f>I37</f>
        <v>0</v>
      </c>
      <c r="W37" s="3377"/>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9" t="str">
        <f>A38</f>
        <v>比较价值（元/平方米）</v>
      </c>
      <c r="Q38" s="3379"/>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5" t="str">
        <f>A39</f>
        <v>估价对象XX用房的比较价值（楼面单价，元/平方米）</v>
      </c>
      <c r="Q39" s="3416"/>
      <c r="R39" s="3440" t="e">
        <f>IF(F1="售价",ROUND(IF(D38="简单平均",AVERAGE(R38:W38),R38*F38+T38*H38+V38*J38),0),ROUND(IF(D38="简单平均",AVERAGE(R38:V38),R38*F38+T38*H38+V38*J38),1))</f>
        <v>#DIV/0!</v>
      </c>
      <c r="S39" s="3440"/>
      <c r="T39" s="3440"/>
      <c r="U39" s="3440"/>
      <c r="V39" s="3440"/>
      <c r="W39" s="3440"/>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3" t="s">
        <v>1392</v>
      </c>
      <c r="Q7" s="3399"/>
      <c r="R7" s="1215" t="s">
        <v>1393</v>
      </c>
      <c r="S7" s="1216">
        <f t="shared" ref="S7:S14" si="0">F7</f>
        <v>0</v>
      </c>
      <c r="T7" s="1215" t="s">
        <v>1393</v>
      </c>
      <c r="U7" s="1216">
        <f t="shared" ref="U7:U14" si="1">H7</f>
        <v>0</v>
      </c>
      <c r="V7" s="1215" t="s">
        <v>1393</v>
      </c>
      <c r="W7" s="1216">
        <f t="shared" ref="W7:W14" si="2">J7</f>
        <v>0</v>
      </c>
      <c r="X7" s="1217"/>
      <c r="Y7" s="3383" t="s">
        <v>1392</v>
      </c>
      <c r="Z7" s="3384"/>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9" t="s">
        <v>1400</v>
      </c>
      <c r="Q9" s="794" t="str">
        <f t="shared" ref="Q9:Q14" si="6">B9</f>
        <v>用途</v>
      </c>
      <c r="R9" s="1215" t="s">
        <v>1393</v>
      </c>
      <c r="S9" s="1216">
        <f t="shared" si="0"/>
        <v>100</v>
      </c>
      <c r="T9" s="1215" t="s">
        <v>1393</v>
      </c>
      <c r="U9" s="1216">
        <f t="shared" si="1"/>
        <v>100</v>
      </c>
      <c r="V9" s="1215" t="s">
        <v>1393</v>
      </c>
      <c r="W9" s="1216">
        <f t="shared" si="2"/>
        <v>100</v>
      </c>
      <c r="X9" s="1217"/>
      <c r="Y9" s="3265"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9"/>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9"/>
      <c r="Q11" s="794">
        <f t="shared" si="6"/>
        <v>111</v>
      </c>
      <c r="R11" s="1215" t="s">
        <v>1393</v>
      </c>
      <c r="S11" s="1216">
        <f t="shared" si="0"/>
        <v>100</v>
      </c>
      <c r="T11" s="1215" t="s">
        <v>1393</v>
      </c>
      <c r="U11" s="1216">
        <f t="shared" si="1"/>
        <v>100</v>
      </c>
      <c r="V11" s="1215" t="s">
        <v>1393</v>
      </c>
      <c r="W11" s="1216">
        <f t="shared" si="2"/>
        <v>100</v>
      </c>
      <c r="X11" s="1217"/>
      <c r="Y11" s="3265"/>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1" t="s">
        <v>1406</v>
      </c>
      <c r="Q14" s="625" t="str">
        <f t="shared" si="6"/>
        <v>交通便捷度</v>
      </c>
      <c r="R14" s="1219" t="s">
        <v>1393</v>
      </c>
      <c r="S14" s="1220">
        <f t="shared" si="0"/>
        <v>100</v>
      </c>
      <c r="T14" s="1219" t="s">
        <v>1393</v>
      </c>
      <c r="U14" s="1220">
        <f t="shared" si="1"/>
        <v>100</v>
      </c>
      <c r="V14" s="1219" t="s">
        <v>1393</v>
      </c>
      <c r="W14" s="1220">
        <f t="shared" si="2"/>
        <v>100</v>
      </c>
      <c r="X14" s="1214"/>
      <c r="Y14" s="3391"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2"/>
      <c r="Q15" s="625"/>
      <c r="R15" s="1219"/>
      <c r="S15" s="1220"/>
      <c r="T15" s="1219"/>
      <c r="U15" s="1220"/>
      <c r="V15" s="1219"/>
      <c r="W15" s="1220"/>
      <c r="X15" s="1214"/>
      <c r="Y15" s="3392"/>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2"/>
      <c r="Q16" s="625" t="str">
        <f>B16</f>
        <v>公共配套设施</v>
      </c>
      <c r="R16" s="1219" t="s">
        <v>1393</v>
      </c>
      <c r="S16" s="1220">
        <f>F16</f>
        <v>100</v>
      </c>
      <c r="T16" s="1219" t="s">
        <v>1393</v>
      </c>
      <c r="U16" s="1220">
        <f>H16</f>
        <v>100</v>
      </c>
      <c r="V16" s="1219" t="s">
        <v>1393</v>
      </c>
      <c r="W16" s="1220">
        <f>J16</f>
        <v>100</v>
      </c>
      <c r="X16" s="1214"/>
      <c r="Y16" s="3392"/>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2"/>
      <c r="Q17" s="625"/>
      <c r="R17" s="1219"/>
      <c r="S17" s="1220"/>
      <c r="T17" s="1219"/>
      <c r="U17" s="1220"/>
      <c r="V17" s="1219"/>
      <c r="W17" s="1220"/>
      <c r="X17" s="1214"/>
      <c r="Y17" s="3392"/>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2"/>
      <c r="Q18" s="625" t="str">
        <f>B18</f>
        <v>基础设施水平</v>
      </c>
      <c r="R18" s="1219" t="s">
        <v>1393</v>
      </c>
      <c r="S18" s="1220">
        <f>F18</f>
        <v>100</v>
      </c>
      <c r="T18" s="1219" t="s">
        <v>1393</v>
      </c>
      <c r="U18" s="1220">
        <f>H18</f>
        <v>100</v>
      </c>
      <c r="V18" s="1219" t="s">
        <v>1393</v>
      </c>
      <c r="W18" s="1220">
        <f>J18</f>
        <v>100</v>
      </c>
      <c r="X18" s="1214"/>
      <c r="Y18" s="3392"/>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2"/>
      <c r="Q19" s="625"/>
      <c r="R19" s="1219"/>
      <c r="S19" s="1220"/>
      <c r="T19" s="1219"/>
      <c r="U19" s="1220"/>
      <c r="V19" s="1219"/>
      <c r="W19" s="1220"/>
      <c r="X19" s="1214"/>
      <c r="Y19" s="3392"/>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2"/>
      <c r="Q20" s="625" t="str">
        <f>B20</f>
        <v>自然及人文环境</v>
      </c>
      <c r="R20" s="1219" t="s">
        <v>1393</v>
      </c>
      <c r="S20" s="1220">
        <f>F20</f>
        <v>100</v>
      </c>
      <c r="T20" s="1219" t="s">
        <v>1393</v>
      </c>
      <c r="U20" s="1220">
        <f>H20</f>
        <v>100</v>
      </c>
      <c r="V20" s="1219" t="s">
        <v>1393</v>
      </c>
      <c r="W20" s="1220">
        <f>J20</f>
        <v>100</v>
      </c>
      <c r="X20" s="1214"/>
      <c r="Y20" s="3392"/>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2"/>
      <c r="Q21" s="625"/>
      <c r="R21" s="1219"/>
      <c r="S21" s="1220"/>
      <c r="T21" s="1219"/>
      <c r="U21" s="1220"/>
      <c r="V21" s="1219"/>
      <c r="W21" s="1220"/>
      <c r="X21" s="1214"/>
      <c r="Y21" s="3392"/>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2"/>
      <c r="Q22" s="625" t="str">
        <f>B22</f>
        <v>楼层</v>
      </c>
      <c r="R22" s="1219" t="s">
        <v>1393</v>
      </c>
      <c r="S22" s="1220">
        <f>F22</f>
        <v>100</v>
      </c>
      <c r="T22" s="1219" t="s">
        <v>1393</v>
      </c>
      <c r="U22" s="1220">
        <f>H22</f>
        <v>100</v>
      </c>
      <c r="V22" s="1219" t="s">
        <v>1393</v>
      </c>
      <c r="W22" s="1220">
        <f>J22</f>
        <v>100</v>
      </c>
      <c r="X22" s="1214"/>
      <c r="Y22" s="3392"/>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2"/>
      <c r="Q23" s="625">
        <f>B23</f>
        <v>111</v>
      </c>
      <c r="R23" s="1219" t="s">
        <v>1393</v>
      </c>
      <c r="S23" s="1220">
        <f>F23</f>
        <v>100</v>
      </c>
      <c r="T23" s="1219" t="s">
        <v>1393</v>
      </c>
      <c r="U23" s="1220">
        <f>H23</f>
        <v>100</v>
      </c>
      <c r="V23" s="1219" t="s">
        <v>1393</v>
      </c>
      <c r="W23" s="1220">
        <f>J23</f>
        <v>100</v>
      </c>
      <c r="X23" s="1214"/>
      <c r="Y23" s="3392"/>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2"/>
      <c r="Q24" s="625">
        <f t="shared" ref="Q24:Q34" si="11">B24</f>
        <v>111</v>
      </c>
      <c r="R24" s="1219" t="s">
        <v>1393</v>
      </c>
      <c r="S24" s="1220">
        <f>F24</f>
        <v>100</v>
      </c>
      <c r="T24" s="1219" t="s">
        <v>1393</v>
      </c>
      <c r="U24" s="1220">
        <f>H24</f>
        <v>100</v>
      </c>
      <c r="V24" s="1219" t="s">
        <v>1393</v>
      </c>
      <c r="W24" s="1220">
        <f>J24</f>
        <v>100</v>
      </c>
      <c r="X24" s="1214"/>
      <c r="Y24" s="3392"/>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2"/>
      <c r="Q25" s="794">
        <f t="shared" si="11"/>
        <v>111</v>
      </c>
      <c r="R25" s="1215" t="s">
        <v>1393</v>
      </c>
      <c r="S25" s="1216">
        <f>F25</f>
        <v>100</v>
      </c>
      <c r="T25" s="1215" t="s">
        <v>1393</v>
      </c>
      <c r="U25" s="1216">
        <f>H25</f>
        <v>100</v>
      </c>
      <c r="V25" s="1215" t="s">
        <v>1393</v>
      </c>
      <c r="W25" s="1216">
        <f>J25</f>
        <v>100</v>
      </c>
      <c r="X25" s="1217"/>
      <c r="Y25" s="3392"/>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39"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3"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3"/>
      <c r="Q27" s="1415" t="str">
        <f t="shared" si="11"/>
        <v>成新率</v>
      </c>
      <c r="R27" s="1221" t="s">
        <v>1393</v>
      </c>
      <c r="S27" s="1222" t="e">
        <f t="shared" si="12"/>
        <v>#N/A</v>
      </c>
      <c r="T27" s="1221" t="s">
        <v>1393</v>
      </c>
      <c r="U27" s="1222" t="e">
        <f t="shared" si="13"/>
        <v>#N/A</v>
      </c>
      <c r="V27" s="1221" t="s">
        <v>1393</v>
      </c>
      <c r="W27" s="1222" t="e">
        <f t="shared" si="14"/>
        <v>#N/A</v>
      </c>
      <c r="X27" s="1223"/>
      <c r="Y27" s="3393"/>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3"/>
      <c r="Q28" s="625" t="str">
        <f t="shared" si="11"/>
        <v>物业等级</v>
      </c>
      <c r="R28" s="1219" t="s">
        <v>1393</v>
      </c>
      <c r="S28" s="1220">
        <f t="shared" si="12"/>
        <v>100</v>
      </c>
      <c r="T28" s="1219" t="s">
        <v>1393</v>
      </c>
      <c r="U28" s="1220">
        <f t="shared" si="13"/>
        <v>100</v>
      </c>
      <c r="V28" s="1219" t="s">
        <v>1393</v>
      </c>
      <c r="W28" s="1220">
        <f t="shared" si="14"/>
        <v>100</v>
      </c>
      <c r="X28" s="1214"/>
      <c r="Y28" s="3393"/>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3"/>
      <c r="Q29" s="625" t="str">
        <f t="shared" si="11"/>
        <v>有无电梯</v>
      </c>
      <c r="R29" s="1219" t="s">
        <v>1393</v>
      </c>
      <c r="S29" s="1220">
        <f t="shared" si="12"/>
        <v>100</v>
      </c>
      <c r="T29" s="1219" t="s">
        <v>1393</v>
      </c>
      <c r="U29" s="1220">
        <f t="shared" si="13"/>
        <v>100</v>
      </c>
      <c r="V29" s="1219" t="s">
        <v>1393</v>
      </c>
      <c r="W29" s="1220">
        <f t="shared" si="14"/>
        <v>100</v>
      </c>
      <c r="X29" s="1214"/>
      <c r="Y29" s="3393"/>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3"/>
      <c r="Q30" s="625" t="str">
        <f t="shared" si="11"/>
        <v>建筑面积</v>
      </c>
      <c r="R30" s="1219" t="s">
        <v>1393</v>
      </c>
      <c r="S30" s="1220" t="e">
        <f t="shared" si="12"/>
        <v>#N/A</v>
      </c>
      <c r="T30" s="1219" t="s">
        <v>1393</v>
      </c>
      <c r="U30" s="1220" t="e">
        <f t="shared" si="13"/>
        <v>#N/A</v>
      </c>
      <c r="V30" s="1219" t="s">
        <v>1393</v>
      </c>
      <c r="W30" s="1220" t="e">
        <f t="shared" si="14"/>
        <v>#N/A</v>
      </c>
      <c r="X30" s="1214"/>
      <c r="Y30" s="3393"/>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3"/>
      <c r="Q31" s="794" t="str">
        <f t="shared" si="11"/>
        <v>是否封闭</v>
      </c>
      <c r="R31" s="1215" t="s">
        <v>1393</v>
      </c>
      <c r="S31" s="1216">
        <f t="shared" si="12"/>
        <v>100</v>
      </c>
      <c r="T31" s="1215" t="s">
        <v>1393</v>
      </c>
      <c r="U31" s="1216">
        <f t="shared" si="13"/>
        <v>100</v>
      </c>
      <c r="V31" s="1215" t="s">
        <v>1393</v>
      </c>
      <c r="W31" s="1216">
        <f t="shared" si="14"/>
        <v>100</v>
      </c>
      <c r="X31" s="1217"/>
      <c r="Y31" s="3393"/>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3" t="s">
        <v>1421</v>
      </c>
      <c r="Q32" s="625">
        <f t="shared" si="11"/>
        <v>111</v>
      </c>
      <c r="R32" s="1219" t="s">
        <v>1393</v>
      </c>
      <c r="S32" s="1220">
        <f t="shared" si="12"/>
        <v>100</v>
      </c>
      <c r="T32" s="1219" t="s">
        <v>1393</v>
      </c>
      <c r="U32" s="1220">
        <f t="shared" si="13"/>
        <v>100</v>
      </c>
      <c r="V32" s="1219" t="s">
        <v>1393</v>
      </c>
      <c r="W32" s="1220">
        <f t="shared" si="14"/>
        <v>100</v>
      </c>
      <c r="X32" s="1214"/>
      <c r="Y32" s="3393"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3"/>
      <c r="Q33" s="625">
        <f t="shared" si="11"/>
        <v>111</v>
      </c>
      <c r="R33" s="1219" t="s">
        <v>1393</v>
      </c>
      <c r="S33" s="1220">
        <f t="shared" si="12"/>
        <v>100</v>
      </c>
      <c r="T33" s="1219" t="s">
        <v>1393</v>
      </c>
      <c r="U33" s="1220">
        <f t="shared" si="13"/>
        <v>100</v>
      </c>
      <c r="V33" s="1219" t="s">
        <v>1393</v>
      </c>
      <c r="W33" s="1220">
        <f t="shared" si="14"/>
        <v>100</v>
      </c>
      <c r="X33" s="1214"/>
      <c r="Y33" s="3393"/>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3"/>
      <c r="Q34" s="625">
        <f t="shared" si="11"/>
        <v>111</v>
      </c>
      <c r="R34" s="1219" t="s">
        <v>1393</v>
      </c>
      <c r="S34" s="1220">
        <f t="shared" si="12"/>
        <v>100</v>
      </c>
      <c r="T34" s="1219" t="s">
        <v>1393</v>
      </c>
      <c r="U34" s="1220">
        <f t="shared" si="13"/>
        <v>100</v>
      </c>
      <c r="V34" s="1219" t="s">
        <v>1393</v>
      </c>
      <c r="W34" s="1220">
        <f t="shared" si="14"/>
        <v>100</v>
      </c>
      <c r="X34" s="1214"/>
      <c r="Y34" s="3393"/>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9" t="str">
        <f>A35</f>
        <v>成交单价（元/平方米）</v>
      </c>
      <c r="Q35" s="3379"/>
      <c r="R35" s="3377">
        <f>E35</f>
        <v>0</v>
      </c>
      <c r="S35" s="3377"/>
      <c r="T35" s="3377">
        <f>G35</f>
        <v>0</v>
      </c>
      <c r="U35" s="3377"/>
      <c r="V35" s="3377">
        <f>I35</f>
        <v>0</v>
      </c>
      <c r="W35" s="3377"/>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9" t="str">
        <f>A36</f>
        <v>比较价值（元/平方米）</v>
      </c>
      <c r="Q36" s="3379"/>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5" t="str">
        <f>A37</f>
        <v>估价对象XX用房的比较价值（楼面单价，元/平方米）</v>
      </c>
      <c r="Q37" s="3416"/>
      <c r="R37" s="3440" t="e">
        <f>IF(F1="售价",ROUND(IF(D36="简单平均",AVERAGE(R36:W36),R36*F36+T36*H36+V36*J36),0),ROUND(IF(D36="简单平均",AVERAGE(R36:V36),R36*F36+T36*H36+V36*J36),1))</f>
        <v>#DIV/0!</v>
      </c>
      <c r="S37" s="3440"/>
      <c r="T37" s="3440"/>
      <c r="U37" s="3440"/>
      <c r="V37" s="3440"/>
      <c r="W37" s="3440"/>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3" t="s">
        <v>1397</v>
      </c>
      <c r="Q8" s="3384"/>
      <c r="R8" s="1215" t="s">
        <v>1393</v>
      </c>
      <c r="S8" s="1216">
        <f t="shared" si="0"/>
        <v>0</v>
      </c>
      <c r="T8" s="1215" t="s">
        <v>1393</v>
      </c>
      <c r="U8" s="1216">
        <f t="shared" si="1"/>
        <v>0</v>
      </c>
      <c r="V8" s="1215" t="s">
        <v>1393</v>
      </c>
      <c r="W8" s="1216">
        <f t="shared" si="2"/>
        <v>0</v>
      </c>
      <c r="X8" s="1217"/>
      <c r="Y8" s="3383" t="s">
        <v>1397</v>
      </c>
      <c r="Z8" s="3384"/>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9"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121</v>
      </c>
      <c r="G10" s="1334"/>
      <c r="H10" s="1048">
        <f>ROUND(100/'数据-取费表'!G16,0)</f>
        <v>121</v>
      </c>
      <c r="I10" s="1334"/>
      <c r="J10" s="1048">
        <f>ROUND(100/'数据-取费表'!G16,0)</f>
        <v>121</v>
      </c>
      <c r="K10" s="1177"/>
      <c r="L10" s="1178"/>
      <c r="M10" s="1179"/>
      <c r="N10" s="1179"/>
      <c r="O10" s="1180"/>
      <c r="P10" s="3379"/>
      <c r="Q10" s="794" t="str">
        <f t="shared" si="6"/>
        <v>土地使用年限（年）</v>
      </c>
      <c r="R10" s="1215" t="s">
        <v>1393</v>
      </c>
      <c r="S10" s="1216">
        <f t="shared" si="0"/>
        <v>121</v>
      </c>
      <c r="T10" s="1215" t="s">
        <v>1393</v>
      </c>
      <c r="U10" s="1216">
        <f t="shared" si="1"/>
        <v>121</v>
      </c>
      <c r="V10" s="1215" t="s">
        <v>1393</v>
      </c>
      <c r="W10" s="1216">
        <f t="shared" si="2"/>
        <v>121</v>
      </c>
      <c r="X10" s="1217"/>
      <c r="Y10" s="3265"/>
      <c r="Z10" s="1227" t="str">
        <f t="shared" si="7"/>
        <v>土地使用年限（年）</v>
      </c>
      <c r="AA10" s="1227">
        <f t="shared" si="3"/>
        <v>0.82644628099173556</v>
      </c>
      <c r="AB10" s="1227">
        <f t="shared" si="4"/>
        <v>0.82644628099173556</v>
      </c>
      <c r="AC10" s="1227">
        <f t="shared" si="5"/>
        <v>0.82644628099173556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9"/>
      <c r="Q11" s="794" t="str">
        <f t="shared" si="6"/>
        <v>容积率</v>
      </c>
      <c r="R11" s="1215" t="s">
        <v>1393</v>
      </c>
      <c r="S11" s="1216" t="e">
        <f t="shared" si="0"/>
        <v>#N/A</v>
      </c>
      <c r="T11" s="1215" t="s">
        <v>1393</v>
      </c>
      <c r="U11" s="1216" t="e">
        <f t="shared" si="1"/>
        <v>#N/A</v>
      </c>
      <c r="V11" s="1215" t="s">
        <v>1393</v>
      </c>
      <c r="W11" s="1216" t="e">
        <f t="shared" si="2"/>
        <v>#N/A</v>
      </c>
      <c r="X11" s="1217"/>
      <c r="Y11" s="3265"/>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9"/>
      <c r="Q12" s="794" t="str">
        <f t="shared" si="6"/>
        <v>配建</v>
      </c>
      <c r="R12" s="1215" t="s">
        <v>1393</v>
      </c>
      <c r="S12" s="1216">
        <f t="shared" si="0"/>
        <v>100</v>
      </c>
      <c r="T12" s="1215" t="s">
        <v>1393</v>
      </c>
      <c r="U12" s="1216">
        <f t="shared" si="1"/>
        <v>100</v>
      </c>
      <c r="V12" s="1215" t="s">
        <v>1393</v>
      </c>
      <c r="W12" s="1216">
        <f t="shared" si="2"/>
        <v>100</v>
      </c>
      <c r="X12" s="1217"/>
      <c r="Y12" s="3265"/>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9"/>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1" t="s">
        <v>1406</v>
      </c>
      <c r="Q15" s="625" t="str">
        <f t="shared" si="6"/>
        <v>居住社区成熟度</v>
      </c>
      <c r="R15" s="1219" t="s">
        <v>1393</v>
      </c>
      <c r="S15" s="1220">
        <f t="shared" si="0"/>
        <v>100</v>
      </c>
      <c r="T15" s="1219" t="s">
        <v>1393</v>
      </c>
      <c r="U15" s="1220">
        <f t="shared" si="1"/>
        <v>100</v>
      </c>
      <c r="V15" s="1219" t="s">
        <v>1393</v>
      </c>
      <c r="W15" s="1220">
        <f t="shared" si="2"/>
        <v>100</v>
      </c>
      <c r="X15" s="1214"/>
      <c r="Y15" s="3391"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2"/>
      <c r="Q16" s="625"/>
      <c r="R16" s="1219"/>
      <c r="S16" s="1220"/>
      <c r="T16" s="1219"/>
      <c r="U16" s="1220"/>
      <c r="V16" s="1219"/>
      <c r="W16" s="1220"/>
      <c r="X16" s="1214"/>
      <c r="Y16" s="3392"/>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2"/>
      <c r="Q17" s="625" t="str">
        <f>B17</f>
        <v>商业繁华度</v>
      </c>
      <c r="R17" s="1219" t="s">
        <v>1393</v>
      </c>
      <c r="S17" s="1220">
        <f>F17</f>
        <v>100</v>
      </c>
      <c r="T17" s="1219" t="s">
        <v>1393</v>
      </c>
      <c r="U17" s="1220">
        <f>H17</f>
        <v>100</v>
      </c>
      <c r="V17" s="1219" t="s">
        <v>1393</v>
      </c>
      <c r="W17" s="1220">
        <f>J17</f>
        <v>100</v>
      </c>
      <c r="X17" s="1214"/>
      <c r="Y17" s="3392"/>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2"/>
      <c r="Q18" s="625"/>
      <c r="R18" s="1219"/>
      <c r="S18" s="1220"/>
      <c r="T18" s="1219"/>
      <c r="U18" s="1220"/>
      <c r="V18" s="1219"/>
      <c r="W18" s="1220"/>
      <c r="X18" s="1214"/>
      <c r="Y18" s="3392"/>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2"/>
      <c r="Q19" s="625" t="str">
        <f>B19</f>
        <v>办公集聚程度</v>
      </c>
      <c r="R19" s="1219" t="s">
        <v>1393</v>
      </c>
      <c r="S19" s="1220">
        <f>F19</f>
        <v>100</v>
      </c>
      <c r="T19" s="1219" t="s">
        <v>1393</v>
      </c>
      <c r="U19" s="1220">
        <f>H19</f>
        <v>100</v>
      </c>
      <c r="V19" s="1219" t="s">
        <v>1393</v>
      </c>
      <c r="W19" s="1220">
        <f>J19</f>
        <v>100</v>
      </c>
      <c r="X19" s="1214"/>
      <c r="Y19" s="3392"/>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2"/>
      <c r="Q20" s="625"/>
      <c r="R20" s="1219"/>
      <c r="S20" s="1220"/>
      <c r="T20" s="1219"/>
      <c r="U20" s="1220"/>
      <c r="V20" s="1219"/>
      <c r="W20" s="1220"/>
      <c r="X20" s="1214"/>
      <c r="Y20" s="3392"/>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2"/>
      <c r="Q21" s="625" t="str">
        <f>B21</f>
        <v>交通便捷度</v>
      </c>
      <c r="R21" s="1219" t="s">
        <v>1393</v>
      </c>
      <c r="S21" s="1220">
        <f>F21</f>
        <v>100</v>
      </c>
      <c r="T21" s="1219" t="s">
        <v>1393</v>
      </c>
      <c r="U21" s="1220">
        <f>H21</f>
        <v>100</v>
      </c>
      <c r="V21" s="1219" t="s">
        <v>1393</v>
      </c>
      <c r="W21" s="1220">
        <f>J21</f>
        <v>100</v>
      </c>
      <c r="X21" s="1214"/>
      <c r="Y21" s="3392"/>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2"/>
      <c r="Q22" s="625"/>
      <c r="R22" s="1219"/>
      <c r="S22" s="1220"/>
      <c r="T22" s="1219"/>
      <c r="U22" s="1220"/>
      <c r="V22" s="1219"/>
      <c r="W22" s="1220"/>
      <c r="X22" s="1214"/>
      <c r="Y22" s="3392"/>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2"/>
      <c r="Q23" s="625" t="str">
        <f t="shared" ref="Q23:Q38" si="8">B23</f>
        <v>区域土地利用方向</v>
      </c>
      <c r="R23" s="1219" t="s">
        <v>1393</v>
      </c>
      <c r="S23" s="1220">
        <f>F23</f>
        <v>100</v>
      </c>
      <c r="T23" s="1219" t="s">
        <v>1393</v>
      </c>
      <c r="U23" s="1220">
        <f>H23</f>
        <v>100</v>
      </c>
      <c r="V23" s="1219" t="s">
        <v>1393</v>
      </c>
      <c r="W23" s="1220">
        <f>J23</f>
        <v>100</v>
      </c>
      <c r="X23" s="1214"/>
      <c r="Y23" s="3392"/>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2"/>
      <c r="Q24" s="625"/>
      <c r="R24" s="1219"/>
      <c r="S24" s="1220"/>
      <c r="T24" s="1219"/>
      <c r="U24" s="1220"/>
      <c r="V24" s="1219"/>
      <c r="W24" s="1220"/>
      <c r="X24" s="1214"/>
      <c r="Y24" s="3392"/>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2"/>
      <c r="Q25" s="625" t="str">
        <f t="shared" si="8"/>
        <v>自然及人文环境状况</v>
      </c>
      <c r="R25" s="1219" t="s">
        <v>1393</v>
      </c>
      <c r="S25" s="1220">
        <f>F25</f>
        <v>100</v>
      </c>
      <c r="T25" s="1219" t="s">
        <v>1393</v>
      </c>
      <c r="U25" s="1220">
        <f>H25</f>
        <v>100</v>
      </c>
      <c r="V25" s="1219" t="s">
        <v>1393</v>
      </c>
      <c r="W25" s="1220">
        <f>J25</f>
        <v>100</v>
      </c>
      <c r="X25" s="1214"/>
      <c r="Y25" s="3392"/>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2"/>
      <c r="Q26" s="625"/>
      <c r="R26" s="1219"/>
      <c r="S26" s="1220"/>
      <c r="T26" s="1219"/>
      <c r="U26" s="1220"/>
      <c r="V26" s="1219"/>
      <c r="W26" s="1220"/>
      <c r="X26" s="1214"/>
      <c r="Y26" s="3392"/>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2"/>
      <c r="Q27" s="794" t="str">
        <f t="shared" si="8"/>
        <v>公共配套设施</v>
      </c>
      <c r="R27" s="1215" t="s">
        <v>1393</v>
      </c>
      <c r="S27" s="1216">
        <f>F27</f>
        <v>100</v>
      </c>
      <c r="T27" s="1215" t="s">
        <v>1393</v>
      </c>
      <c r="U27" s="1216">
        <f>H27</f>
        <v>100</v>
      </c>
      <c r="V27" s="1215" t="s">
        <v>1393</v>
      </c>
      <c r="W27" s="1216">
        <f>J27</f>
        <v>100</v>
      </c>
      <c r="X27" s="1217"/>
      <c r="Y27" s="3392"/>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2"/>
      <c r="Q28" s="794"/>
      <c r="R28" s="1215"/>
      <c r="S28" s="1216"/>
      <c r="T28" s="1215"/>
      <c r="U28" s="1216"/>
      <c r="V28" s="1215"/>
      <c r="W28" s="1216"/>
      <c r="X28" s="1217"/>
      <c r="Y28" s="3392"/>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2"/>
      <c r="Q29" s="794" t="str">
        <f t="shared" ref="Q29" si="9">B29</f>
        <v>基础设施水平</v>
      </c>
      <c r="R29" s="1215" t="s">
        <v>1393</v>
      </c>
      <c r="S29" s="1216">
        <f>F29</f>
        <v>100</v>
      </c>
      <c r="T29" s="1215" t="s">
        <v>1393</v>
      </c>
      <c r="U29" s="1216">
        <f>H29</f>
        <v>100</v>
      </c>
      <c r="V29" s="1215" t="s">
        <v>1393</v>
      </c>
      <c r="W29" s="1216">
        <f>J29</f>
        <v>100</v>
      </c>
      <c r="X29" s="1217"/>
      <c r="Y29" s="3392"/>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2"/>
      <c r="Q30" s="794"/>
      <c r="R30" s="1215"/>
      <c r="S30" s="1216"/>
      <c r="T30" s="1215"/>
      <c r="U30" s="1216"/>
      <c r="V30" s="1215"/>
      <c r="W30" s="1216"/>
      <c r="X30" s="1217"/>
      <c r="Y30" s="3392"/>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2"/>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2"/>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2"/>
      <c r="Q32" s="625" t="str">
        <f t="shared" si="8"/>
        <v>毗邻道路的类型与等级</v>
      </c>
      <c r="R32" s="1219" t="s">
        <v>1393</v>
      </c>
      <c r="S32" s="1220">
        <f t="shared" si="10"/>
        <v>100</v>
      </c>
      <c r="T32" s="1219" t="s">
        <v>1393</v>
      </c>
      <c r="U32" s="1220">
        <f t="shared" si="11"/>
        <v>100</v>
      </c>
      <c r="V32" s="1219" t="s">
        <v>1393</v>
      </c>
      <c r="W32" s="1220">
        <f t="shared" si="12"/>
        <v>100</v>
      </c>
      <c r="X32" s="1214"/>
      <c r="Y32" s="3392"/>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2"/>
      <c r="Q33" s="625"/>
      <c r="R33" s="1219"/>
      <c r="S33" s="1220"/>
      <c r="T33" s="1219"/>
      <c r="U33" s="1220"/>
      <c r="V33" s="1219"/>
      <c r="W33" s="1220"/>
      <c r="X33" s="1214"/>
      <c r="Y33" s="3392"/>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2"/>
      <c r="Q34" s="625" t="str">
        <f t="shared" si="8"/>
        <v>土地级别</v>
      </c>
      <c r="R34" s="1219" t="s">
        <v>1393</v>
      </c>
      <c r="S34" s="1220">
        <f t="shared" si="10"/>
        <v>100</v>
      </c>
      <c r="T34" s="1219" t="s">
        <v>1393</v>
      </c>
      <c r="U34" s="1220">
        <f t="shared" si="11"/>
        <v>100</v>
      </c>
      <c r="V34" s="1219" t="s">
        <v>1393</v>
      </c>
      <c r="W34" s="1220">
        <f t="shared" si="12"/>
        <v>100</v>
      </c>
      <c r="X34" s="1214"/>
      <c r="Y34" s="3392"/>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2"/>
      <c r="Q35" s="625">
        <f t="shared" si="8"/>
        <v>111</v>
      </c>
      <c r="R35" s="1219" t="s">
        <v>1393</v>
      </c>
      <c r="S35" s="1220">
        <f t="shared" si="10"/>
        <v>100</v>
      </c>
      <c r="T35" s="1219" t="s">
        <v>1393</v>
      </c>
      <c r="U35" s="1220">
        <f t="shared" si="11"/>
        <v>100</v>
      </c>
      <c r="V35" s="1219" t="s">
        <v>1393</v>
      </c>
      <c r="W35" s="1220">
        <f t="shared" si="12"/>
        <v>100</v>
      </c>
      <c r="X35" s="1214"/>
      <c r="Y35" s="3392"/>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39" t="s">
        <v>1421</v>
      </c>
      <c r="Q36" s="625">
        <f t="shared" si="8"/>
        <v>111</v>
      </c>
      <c r="R36" s="1219" t="s">
        <v>1393</v>
      </c>
      <c r="S36" s="1220">
        <f t="shared" si="10"/>
        <v>100</v>
      </c>
      <c r="T36" s="1219" t="s">
        <v>1393</v>
      </c>
      <c r="U36" s="1220">
        <f t="shared" si="11"/>
        <v>100</v>
      </c>
      <c r="V36" s="1219" t="s">
        <v>1393</v>
      </c>
      <c r="W36" s="1220">
        <f t="shared" si="12"/>
        <v>100</v>
      </c>
      <c r="X36" s="1214"/>
      <c r="Y36" s="3393"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3"/>
      <c r="Q37" s="625">
        <f t="shared" si="8"/>
        <v>111</v>
      </c>
      <c r="R37" s="1221" t="s">
        <v>1393</v>
      </c>
      <c r="S37" s="1222">
        <f t="shared" si="10"/>
        <v>100</v>
      </c>
      <c r="T37" s="1221" t="s">
        <v>1393</v>
      </c>
      <c r="U37" s="1222">
        <f t="shared" si="11"/>
        <v>100</v>
      </c>
      <c r="V37" s="1221" t="s">
        <v>1393</v>
      </c>
      <c r="W37" s="1222">
        <f t="shared" si="12"/>
        <v>100</v>
      </c>
      <c r="X37" s="1223"/>
      <c r="Y37" s="3393"/>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3"/>
      <c r="Q38" s="625" t="str">
        <f t="shared" si="8"/>
        <v>宗地面积</v>
      </c>
      <c r="R38" s="1219" t="s">
        <v>1393</v>
      </c>
      <c r="S38" s="1220" t="e">
        <f t="shared" si="10"/>
        <v>#N/A</v>
      </c>
      <c r="T38" s="1219" t="s">
        <v>1393</v>
      </c>
      <c r="U38" s="1220" t="e">
        <f t="shared" si="11"/>
        <v>#N/A</v>
      </c>
      <c r="V38" s="1219" t="s">
        <v>1393</v>
      </c>
      <c r="W38" s="1220" t="e">
        <f t="shared" si="12"/>
        <v>#N/A</v>
      </c>
      <c r="X38" s="1214"/>
      <c r="Y38" s="3393"/>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3"/>
      <c r="Q39" s="625" t="str">
        <f t="shared" ref="Q39:Q45" si="14">B39</f>
        <v>宗地形状</v>
      </c>
      <c r="R39" s="1219" t="s">
        <v>1393</v>
      </c>
      <c r="S39" s="1220">
        <f t="shared" si="10"/>
        <v>100</v>
      </c>
      <c r="T39" s="1219" t="s">
        <v>1393</v>
      </c>
      <c r="U39" s="1220">
        <f t="shared" si="11"/>
        <v>100</v>
      </c>
      <c r="V39" s="1219" t="s">
        <v>1393</v>
      </c>
      <c r="W39" s="1220">
        <f t="shared" si="12"/>
        <v>100</v>
      </c>
      <c r="X39" s="1214"/>
      <c r="Y39" s="3393"/>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3"/>
      <c r="Q40" s="625" t="str">
        <f t="shared" si="14"/>
        <v>临街宽度及深度</v>
      </c>
      <c r="R40" s="1219" t="s">
        <v>1393</v>
      </c>
      <c r="S40" s="1220">
        <f t="shared" si="10"/>
        <v>100</v>
      </c>
      <c r="T40" s="1219" t="s">
        <v>1393</v>
      </c>
      <c r="U40" s="1220">
        <f t="shared" si="11"/>
        <v>100</v>
      </c>
      <c r="V40" s="1219" t="s">
        <v>1393</v>
      </c>
      <c r="W40" s="1220">
        <f t="shared" si="12"/>
        <v>100</v>
      </c>
      <c r="X40" s="1214"/>
      <c r="Y40" s="3393"/>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3"/>
      <c r="Q41" s="625" t="str">
        <f t="shared" si="14"/>
        <v>宗地开发程度</v>
      </c>
      <c r="R41" s="1215" t="s">
        <v>1393</v>
      </c>
      <c r="S41" s="1216">
        <f t="shared" si="10"/>
        <v>100</v>
      </c>
      <c r="T41" s="1215" t="s">
        <v>1393</v>
      </c>
      <c r="U41" s="1216">
        <f t="shared" si="11"/>
        <v>100</v>
      </c>
      <c r="V41" s="1215" t="s">
        <v>1393</v>
      </c>
      <c r="W41" s="1216">
        <f t="shared" si="12"/>
        <v>100</v>
      </c>
      <c r="X41" s="1217"/>
      <c r="Y41" s="3393"/>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3" t="s">
        <v>1421</v>
      </c>
      <c r="Q42" s="625" t="str">
        <f t="shared" si="14"/>
        <v>工程地质条件</v>
      </c>
      <c r="R42" s="1219" t="s">
        <v>1393</v>
      </c>
      <c r="S42" s="1220">
        <f t="shared" si="10"/>
        <v>100</v>
      </c>
      <c r="T42" s="1219" t="s">
        <v>1393</v>
      </c>
      <c r="U42" s="1220">
        <f t="shared" si="11"/>
        <v>100</v>
      </c>
      <c r="V42" s="1219" t="s">
        <v>1393</v>
      </c>
      <c r="W42" s="1220">
        <f t="shared" si="12"/>
        <v>100</v>
      </c>
      <c r="X42" s="1214"/>
      <c r="Y42" s="3393"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3"/>
      <c r="Q43" s="625">
        <f t="shared" si="14"/>
        <v>111</v>
      </c>
      <c r="R43" s="1219" t="s">
        <v>1393</v>
      </c>
      <c r="S43" s="1220">
        <f t="shared" si="10"/>
        <v>100</v>
      </c>
      <c r="T43" s="1219" t="s">
        <v>1393</v>
      </c>
      <c r="U43" s="1220">
        <f t="shared" si="11"/>
        <v>100</v>
      </c>
      <c r="V43" s="1219" t="s">
        <v>1393</v>
      </c>
      <c r="W43" s="1220">
        <f t="shared" si="12"/>
        <v>100</v>
      </c>
      <c r="X43" s="1214"/>
      <c r="Y43" s="3393"/>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3"/>
      <c r="Q44" s="625">
        <f t="shared" si="14"/>
        <v>111</v>
      </c>
      <c r="R44" s="1219" t="s">
        <v>1393</v>
      </c>
      <c r="S44" s="1220">
        <f t="shared" si="10"/>
        <v>100</v>
      </c>
      <c r="T44" s="1219" t="s">
        <v>1393</v>
      </c>
      <c r="U44" s="1220">
        <f t="shared" si="11"/>
        <v>100</v>
      </c>
      <c r="V44" s="1219" t="s">
        <v>1393</v>
      </c>
      <c r="W44" s="1220">
        <f t="shared" si="12"/>
        <v>100</v>
      </c>
      <c r="X44" s="1214"/>
      <c r="Y44" s="3393"/>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3"/>
      <c r="Q45" s="625">
        <f t="shared" si="14"/>
        <v>111</v>
      </c>
      <c r="R45" s="1221" t="s">
        <v>1393</v>
      </c>
      <c r="S45" s="1222">
        <f t="shared" si="10"/>
        <v>100</v>
      </c>
      <c r="T45" s="1221" t="s">
        <v>1393</v>
      </c>
      <c r="U45" s="1222">
        <f t="shared" si="11"/>
        <v>100</v>
      </c>
      <c r="V45" s="1221" t="s">
        <v>1393</v>
      </c>
      <c r="W45" s="1222">
        <f t="shared" si="12"/>
        <v>100</v>
      </c>
      <c r="X45" s="1223"/>
      <c r="Y45" s="3393"/>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9" t="str">
        <f>A46</f>
        <v>成交单价</v>
      </c>
      <c r="Q46" s="3379"/>
      <c r="R46" s="3377">
        <f>E46</f>
        <v>0</v>
      </c>
      <c r="S46" s="3377"/>
      <c r="T46" s="3377">
        <f>G46</f>
        <v>0</v>
      </c>
      <c r="U46" s="3377"/>
      <c r="V46" s="3377">
        <f>I46</f>
        <v>0</v>
      </c>
      <c r="W46" s="3377"/>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9" t="str">
        <f>A47</f>
        <v>比较价值（元/平方米）</v>
      </c>
      <c r="Q47" s="3379"/>
      <c r="R47" s="3442" t="e">
        <f>ROUND(PRODUCT(R46,AA7:AA45),0)</f>
        <v>#DIV/0!</v>
      </c>
      <c r="S47" s="3442"/>
      <c r="T47" s="3442" t="e">
        <f>ROUND(PRODUCT(T46,AB7:AB45),0)</f>
        <v>#DIV/0!</v>
      </c>
      <c r="U47" s="3442"/>
      <c r="V47" s="3442" t="e">
        <f>ROUND(PRODUCT(V46,AC7:AC45),0)</f>
        <v>#DIV/0!</v>
      </c>
      <c r="W47" s="3442"/>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5" t="str">
        <f>A48</f>
        <v>估价对象XX用房的比较价值（楼面单价，元/平方米）</v>
      </c>
      <c r="Q48" s="3416"/>
      <c r="R48" s="3443" t="e">
        <f>ROUND(IF(D47="简单平均",AVERAGE(R47:W47),R47*F47+T47*H47+V47*J47),0)</f>
        <v>#DIV/0!</v>
      </c>
      <c r="S48" s="3443"/>
      <c r="T48" s="3443"/>
      <c r="U48" s="3443"/>
      <c r="V48" s="3443"/>
      <c r="W48" s="3443"/>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0" t="s">
        <v>1675</v>
      </c>
      <c r="H55" s="3441"/>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332.39</v>
      </c>
      <c r="F56" s="1345" t="e">
        <f t="shared" ref="F56:F64" si="15">ROUND(B56*E56/10000,0)</f>
        <v>#DIV/0!</v>
      </c>
      <c r="G56" s="3378"/>
      <c r="H56" s="3379"/>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六级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六级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六级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0.25</v>
      </c>
      <c r="D60" s="1143">
        <v>0.25</v>
      </c>
      <c r="E60" s="359">
        <f>'数据-汇总表'!E11</f>
        <v>0</v>
      </c>
      <c r="F60" s="1345" t="e">
        <f t="shared" si="15"/>
        <v>#DIV/0!</v>
      </c>
      <c r="G60" s="1149" t="s">
        <v>1684</v>
      </c>
      <c r="H60" s="1146" t="str">
        <f>项目基本情况!C37</f>
        <v>六级</v>
      </c>
      <c r="I60" s="1350">
        <f>SUMIF(修正!A59:A70,H60,修正!E59:E70)</f>
        <v>0.25</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0.25</v>
      </c>
      <c r="D61" s="1143">
        <v>0.25</v>
      </c>
      <c r="E61" s="359">
        <f>'数据-汇总表'!E12</f>
        <v>0</v>
      </c>
      <c r="F61" s="1345" t="e">
        <f t="shared" si="15"/>
        <v>#DIV/0!</v>
      </c>
      <c r="G61" s="1150" t="s">
        <v>1686</v>
      </c>
      <c r="H61" s="1146" t="str">
        <f>IF(G61="商业",项目基本情况!B37,IF(G61="办公",项目基本情况!C37,IF(G61="住宅",项目基本情况!D37,项目基本情况!E37)))</f>
        <v>六级</v>
      </c>
      <c r="I61" s="1350">
        <f>SUMIF(修正!A59:A70,H61,修正!F59:F70)</f>
        <v>0.25</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六级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0.15</v>
      </c>
      <c r="D64" s="1143">
        <v>0.25</v>
      </c>
      <c r="E64" s="359">
        <f>'数据-汇总表'!E15</f>
        <v>0</v>
      </c>
      <c r="F64" s="1345" t="e">
        <f t="shared" si="15"/>
        <v>#DIV/0!</v>
      </c>
      <c r="G64" s="1151" t="s">
        <v>1684</v>
      </c>
      <c r="H64" s="1152" t="str">
        <f>项目基本情况!C37</f>
        <v>六级</v>
      </c>
      <c r="I64" s="1353">
        <f>SUMIF(修正!A59:A70,H64,修正!G59:G70)</f>
        <v>0.15</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332.39</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444" t="s">
        <v>1699</v>
      </c>
      <c r="D6" s="3445"/>
      <c r="E6" s="3446" t="s">
        <v>1699</v>
      </c>
      <c r="F6" s="3447"/>
      <c r="G6" s="3444" t="s">
        <v>1699</v>
      </c>
      <c r="H6" s="3445"/>
      <c r="I6" s="3444" t="s">
        <v>1699</v>
      </c>
      <c r="J6" s="3445"/>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45945</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3" t="s">
        <v>1397</v>
      </c>
      <c r="Q8" s="3384"/>
      <c r="R8" s="1215" t="s">
        <v>1393</v>
      </c>
      <c r="S8" s="1216">
        <f t="shared" si="0"/>
        <v>0</v>
      </c>
      <c r="T8" s="1215" t="s">
        <v>1393</v>
      </c>
      <c r="U8" s="1216">
        <f t="shared" si="1"/>
        <v>0</v>
      </c>
      <c r="V8" s="1215" t="s">
        <v>1393</v>
      </c>
      <c r="W8" s="1216">
        <f t="shared" si="2"/>
        <v>0</v>
      </c>
      <c r="X8" s="1217"/>
      <c r="Y8" s="3383" t="s">
        <v>1397</v>
      </c>
      <c r="Z8" s="3384"/>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9"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121</v>
      </c>
      <c r="G10" s="1047"/>
      <c r="H10" s="1048">
        <f>ROUND(100/'数据-取费表'!G16,0)</f>
        <v>121</v>
      </c>
      <c r="I10" s="1047"/>
      <c r="J10" s="1048">
        <f>ROUND(100/'数据-取费表'!G16,0)</f>
        <v>121</v>
      </c>
      <c r="K10" s="1177"/>
      <c r="L10" s="1178"/>
      <c r="M10" s="1179"/>
      <c r="N10" s="1179"/>
      <c r="O10" s="1180"/>
      <c r="P10" s="3379"/>
      <c r="Q10" s="794" t="str">
        <f t="shared" si="6"/>
        <v>土地使用年限（年）</v>
      </c>
      <c r="R10" s="1215" t="s">
        <v>1393</v>
      </c>
      <c r="S10" s="1216">
        <f t="shared" si="0"/>
        <v>121</v>
      </c>
      <c r="T10" s="1215" t="s">
        <v>1393</v>
      </c>
      <c r="U10" s="1216">
        <f t="shared" si="1"/>
        <v>121</v>
      </c>
      <c r="V10" s="1215" t="s">
        <v>1393</v>
      </c>
      <c r="W10" s="1216">
        <f t="shared" si="2"/>
        <v>121</v>
      </c>
      <c r="X10" s="1217"/>
      <c r="Y10" s="3265"/>
      <c r="Z10" s="1227" t="str">
        <f t="shared" si="7"/>
        <v>土地使用年限（年）</v>
      </c>
      <c r="AA10" s="1227">
        <f t="shared" si="3"/>
        <v>0.82644628099173556</v>
      </c>
      <c r="AB10" s="1227">
        <f t="shared" si="4"/>
        <v>0.82644628099173556</v>
      </c>
      <c r="AC10" s="1227">
        <f t="shared" si="5"/>
        <v>0.82644628099173556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9"/>
      <c r="Q11" s="794" t="str">
        <f t="shared" si="6"/>
        <v>容积率</v>
      </c>
      <c r="R11" s="1215" t="s">
        <v>1393</v>
      </c>
      <c r="S11" s="1216" t="e">
        <f t="shared" si="0"/>
        <v>#N/A</v>
      </c>
      <c r="T11" s="1215" t="s">
        <v>1393</v>
      </c>
      <c r="U11" s="1216" t="e">
        <f t="shared" si="1"/>
        <v>#N/A</v>
      </c>
      <c r="V11" s="1215" t="s">
        <v>1393</v>
      </c>
      <c r="W11" s="1216" t="e">
        <f t="shared" si="2"/>
        <v>#N/A</v>
      </c>
      <c r="X11" s="1217"/>
      <c r="Y11" s="3265"/>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9"/>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1" t="s">
        <v>1406</v>
      </c>
      <c r="Q15" s="625" t="str">
        <f t="shared" si="6"/>
        <v>产业集聚程度</v>
      </c>
      <c r="R15" s="1219" t="s">
        <v>1393</v>
      </c>
      <c r="S15" s="1220">
        <f t="shared" si="0"/>
        <v>100</v>
      </c>
      <c r="T15" s="1219" t="s">
        <v>1393</v>
      </c>
      <c r="U15" s="1220">
        <f t="shared" si="1"/>
        <v>100</v>
      </c>
      <c r="V15" s="1219" t="s">
        <v>1393</v>
      </c>
      <c r="W15" s="1220">
        <f t="shared" si="2"/>
        <v>100</v>
      </c>
      <c r="X15" s="1214"/>
      <c r="Y15" s="3391"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2"/>
      <c r="Q16" s="625"/>
      <c r="R16" s="1219"/>
      <c r="S16" s="1220"/>
      <c r="T16" s="1219"/>
      <c r="U16" s="1220"/>
      <c r="V16" s="1219"/>
      <c r="W16" s="1220"/>
      <c r="X16" s="1214"/>
      <c r="Y16" s="3392"/>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2"/>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2"/>
      <c r="Q18" s="625"/>
      <c r="R18" s="1219"/>
      <c r="S18" s="1220"/>
      <c r="T18" s="1219"/>
      <c r="U18" s="1220"/>
      <c r="V18" s="1219"/>
      <c r="W18" s="1220"/>
      <c r="X18" s="1214"/>
      <c r="Y18" s="3392"/>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2"/>
      <c r="Q19" s="625" t="str">
        <f t="shared" ref="Q19:Q34" si="8">B19</f>
        <v>区域土地利用方向</v>
      </c>
      <c r="R19" s="1219" t="s">
        <v>1393</v>
      </c>
      <c r="S19" s="1220">
        <f>F19</f>
        <v>100</v>
      </c>
      <c r="T19" s="1219" t="s">
        <v>1393</v>
      </c>
      <c r="U19" s="1220">
        <f>H19</f>
        <v>100</v>
      </c>
      <c r="V19" s="1219" t="s">
        <v>1393</v>
      </c>
      <c r="W19" s="1220">
        <f>J19</f>
        <v>100</v>
      </c>
      <c r="X19" s="1214"/>
      <c r="Y19" s="3392"/>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2"/>
      <c r="Q20" s="625"/>
      <c r="R20" s="1219"/>
      <c r="S20" s="1220"/>
      <c r="T20" s="1219"/>
      <c r="U20" s="1220"/>
      <c r="V20" s="1219"/>
      <c r="W20" s="1220"/>
      <c r="X20" s="1214"/>
      <c r="Y20" s="3392"/>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2"/>
      <c r="Q21" s="625" t="str">
        <f t="shared" si="8"/>
        <v>环境状况</v>
      </c>
      <c r="R21" s="1219" t="s">
        <v>1393</v>
      </c>
      <c r="S21" s="1220">
        <f>F21</f>
        <v>100</v>
      </c>
      <c r="T21" s="1219" t="s">
        <v>1393</v>
      </c>
      <c r="U21" s="1220">
        <f>H21</f>
        <v>100</v>
      </c>
      <c r="V21" s="1219" t="s">
        <v>1393</v>
      </c>
      <c r="W21" s="1220">
        <f>J21</f>
        <v>100</v>
      </c>
      <c r="X21" s="1214"/>
      <c r="Y21" s="3392"/>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2"/>
      <c r="Q22" s="625"/>
      <c r="R22" s="1219"/>
      <c r="S22" s="1220"/>
      <c r="T22" s="1219"/>
      <c r="U22" s="1220"/>
      <c r="V22" s="1219"/>
      <c r="W22" s="1220"/>
      <c r="X22" s="1214"/>
      <c r="Y22" s="3392"/>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2"/>
      <c r="Q23" s="794" t="str">
        <f t="shared" si="8"/>
        <v>公共配套设施</v>
      </c>
      <c r="R23" s="1215" t="s">
        <v>1393</v>
      </c>
      <c r="S23" s="1216">
        <f>F23</f>
        <v>100</v>
      </c>
      <c r="T23" s="1215" t="s">
        <v>1393</v>
      </c>
      <c r="U23" s="1216">
        <f>H23</f>
        <v>100</v>
      </c>
      <c r="V23" s="1215" t="s">
        <v>1393</v>
      </c>
      <c r="W23" s="1216">
        <f>J23</f>
        <v>100</v>
      </c>
      <c r="X23" s="1217"/>
      <c r="Y23" s="3392"/>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2"/>
      <c r="Q24" s="794"/>
      <c r="R24" s="1215"/>
      <c r="S24" s="1216"/>
      <c r="T24" s="1215"/>
      <c r="U24" s="1216"/>
      <c r="V24" s="1215"/>
      <c r="W24" s="1216"/>
      <c r="X24" s="1217"/>
      <c r="Y24" s="3392"/>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2"/>
      <c r="Q25" s="794" t="str">
        <f t="shared" ref="Q25" si="9">B25</f>
        <v>基础设施水平</v>
      </c>
      <c r="R25" s="1215" t="s">
        <v>1393</v>
      </c>
      <c r="S25" s="1216">
        <f>F25</f>
        <v>100</v>
      </c>
      <c r="T25" s="1215" t="s">
        <v>1393</v>
      </c>
      <c r="U25" s="1216">
        <f>H25</f>
        <v>100</v>
      </c>
      <c r="V25" s="1215" t="s">
        <v>1393</v>
      </c>
      <c r="W25" s="1216">
        <f>J25</f>
        <v>100</v>
      </c>
      <c r="X25" s="1217"/>
      <c r="Y25" s="3392"/>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2"/>
      <c r="Q26" s="794"/>
      <c r="R26" s="1215"/>
      <c r="S26" s="1216"/>
      <c r="T26" s="1215"/>
      <c r="U26" s="1216"/>
      <c r="V26" s="1215"/>
      <c r="W26" s="1216"/>
      <c r="X26" s="1217"/>
      <c r="Y26" s="3392"/>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2"/>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2"/>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2"/>
      <c r="Q28" s="625" t="str">
        <f t="shared" si="8"/>
        <v>毗邻道路的类型与等级</v>
      </c>
      <c r="R28" s="1219" t="s">
        <v>1393</v>
      </c>
      <c r="S28" s="1220">
        <f t="shared" si="10"/>
        <v>100</v>
      </c>
      <c r="T28" s="1219" t="s">
        <v>1393</v>
      </c>
      <c r="U28" s="1220">
        <f t="shared" si="11"/>
        <v>100</v>
      </c>
      <c r="V28" s="1219" t="s">
        <v>1393</v>
      </c>
      <c r="W28" s="1220">
        <f t="shared" si="12"/>
        <v>100</v>
      </c>
      <c r="X28" s="1214"/>
      <c r="Y28" s="3392"/>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2"/>
      <c r="Q29" s="625"/>
      <c r="R29" s="1219"/>
      <c r="S29" s="1220"/>
      <c r="T29" s="1219"/>
      <c r="U29" s="1220"/>
      <c r="V29" s="1219"/>
      <c r="W29" s="1220"/>
      <c r="X29" s="1214"/>
      <c r="Y29" s="3392"/>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2"/>
      <c r="Q30" s="625" t="str">
        <f t="shared" si="8"/>
        <v>土地级别</v>
      </c>
      <c r="R30" s="1219" t="s">
        <v>1393</v>
      </c>
      <c r="S30" s="1220">
        <f t="shared" si="10"/>
        <v>100</v>
      </c>
      <c r="T30" s="1219" t="s">
        <v>1393</v>
      </c>
      <c r="U30" s="1220">
        <f t="shared" si="11"/>
        <v>100</v>
      </c>
      <c r="V30" s="1219" t="s">
        <v>1393</v>
      </c>
      <c r="W30" s="1220">
        <f t="shared" si="12"/>
        <v>100</v>
      </c>
      <c r="X30" s="1214"/>
      <c r="Y30" s="3392"/>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2"/>
      <c r="Q31" s="625">
        <f t="shared" si="8"/>
        <v>111</v>
      </c>
      <c r="R31" s="1219" t="s">
        <v>1393</v>
      </c>
      <c r="S31" s="1220">
        <f t="shared" si="10"/>
        <v>100</v>
      </c>
      <c r="T31" s="1219" t="s">
        <v>1393</v>
      </c>
      <c r="U31" s="1220">
        <f t="shared" si="11"/>
        <v>100</v>
      </c>
      <c r="V31" s="1219" t="s">
        <v>1393</v>
      </c>
      <c r="W31" s="1220">
        <f t="shared" si="12"/>
        <v>100</v>
      </c>
      <c r="X31" s="1214"/>
      <c r="Y31" s="3392"/>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39" t="s">
        <v>1421</v>
      </c>
      <c r="Q32" s="625">
        <f t="shared" si="8"/>
        <v>111</v>
      </c>
      <c r="R32" s="1219" t="s">
        <v>1393</v>
      </c>
      <c r="S32" s="1220">
        <f t="shared" si="10"/>
        <v>100</v>
      </c>
      <c r="T32" s="1219" t="s">
        <v>1393</v>
      </c>
      <c r="U32" s="1220">
        <f t="shared" si="11"/>
        <v>100</v>
      </c>
      <c r="V32" s="1219" t="s">
        <v>1393</v>
      </c>
      <c r="W32" s="1220">
        <f t="shared" si="12"/>
        <v>100</v>
      </c>
      <c r="X32" s="1214"/>
      <c r="Y32" s="3393"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3"/>
      <c r="Q33" s="625">
        <f t="shared" si="8"/>
        <v>111</v>
      </c>
      <c r="R33" s="1221" t="s">
        <v>1393</v>
      </c>
      <c r="S33" s="1222">
        <f t="shared" si="10"/>
        <v>100</v>
      </c>
      <c r="T33" s="1221" t="s">
        <v>1393</v>
      </c>
      <c r="U33" s="1222">
        <f t="shared" si="11"/>
        <v>100</v>
      </c>
      <c r="V33" s="1221" t="s">
        <v>1393</v>
      </c>
      <c r="W33" s="1222">
        <f t="shared" si="12"/>
        <v>100</v>
      </c>
      <c r="X33" s="1223"/>
      <c r="Y33" s="3393"/>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3"/>
      <c r="Q34" s="625" t="str">
        <f t="shared" si="8"/>
        <v>宗地面积</v>
      </c>
      <c r="R34" s="1219" t="s">
        <v>1393</v>
      </c>
      <c r="S34" s="1220" t="e">
        <f t="shared" si="10"/>
        <v>#N/A</v>
      </c>
      <c r="T34" s="1219" t="s">
        <v>1393</v>
      </c>
      <c r="U34" s="1220" t="e">
        <f t="shared" si="11"/>
        <v>#N/A</v>
      </c>
      <c r="V34" s="1219" t="s">
        <v>1393</v>
      </c>
      <c r="W34" s="1220" t="e">
        <f t="shared" si="12"/>
        <v>#N/A</v>
      </c>
      <c r="X34" s="1214"/>
      <c r="Y34" s="3393"/>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3"/>
      <c r="Q35" s="625" t="str">
        <f t="shared" ref="Q35:Q40" si="14">B35</f>
        <v>宗地形状</v>
      </c>
      <c r="R35" s="1219" t="s">
        <v>1393</v>
      </c>
      <c r="S35" s="1220">
        <f t="shared" si="10"/>
        <v>100</v>
      </c>
      <c r="T35" s="1219" t="s">
        <v>1393</v>
      </c>
      <c r="U35" s="1220">
        <f t="shared" si="11"/>
        <v>100</v>
      </c>
      <c r="V35" s="1219" t="s">
        <v>1393</v>
      </c>
      <c r="W35" s="1220">
        <f t="shared" si="12"/>
        <v>100</v>
      </c>
      <c r="X35" s="1214"/>
      <c r="Y35" s="3393"/>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3"/>
      <c r="Q36" s="625" t="str">
        <f t="shared" si="14"/>
        <v>宗地开发程度</v>
      </c>
      <c r="R36" s="1215" t="s">
        <v>1393</v>
      </c>
      <c r="S36" s="1216">
        <f t="shared" si="10"/>
        <v>100</v>
      </c>
      <c r="T36" s="1215" t="s">
        <v>1393</v>
      </c>
      <c r="U36" s="1216">
        <f t="shared" si="11"/>
        <v>100</v>
      </c>
      <c r="V36" s="1215" t="s">
        <v>1393</v>
      </c>
      <c r="W36" s="1216">
        <f t="shared" si="12"/>
        <v>100</v>
      </c>
      <c r="X36" s="1217"/>
      <c r="Y36" s="3393"/>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3" t="s">
        <v>1421</v>
      </c>
      <c r="Q37" s="625" t="str">
        <f t="shared" si="14"/>
        <v>工程地质条件</v>
      </c>
      <c r="R37" s="1219" t="s">
        <v>1393</v>
      </c>
      <c r="S37" s="1220">
        <f t="shared" si="10"/>
        <v>100</v>
      </c>
      <c r="T37" s="1219" t="s">
        <v>1393</v>
      </c>
      <c r="U37" s="1220">
        <f t="shared" si="11"/>
        <v>100</v>
      </c>
      <c r="V37" s="1219" t="s">
        <v>1393</v>
      </c>
      <c r="W37" s="1220">
        <f t="shared" si="12"/>
        <v>100</v>
      </c>
      <c r="X37" s="1214"/>
      <c r="Y37" s="3393"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3"/>
      <c r="Q38" s="625">
        <f t="shared" si="14"/>
        <v>111</v>
      </c>
      <c r="R38" s="1219" t="s">
        <v>1393</v>
      </c>
      <c r="S38" s="1220">
        <f t="shared" si="10"/>
        <v>100</v>
      </c>
      <c r="T38" s="1219" t="s">
        <v>1393</v>
      </c>
      <c r="U38" s="1220">
        <f t="shared" si="11"/>
        <v>100</v>
      </c>
      <c r="V38" s="1219" t="s">
        <v>1393</v>
      </c>
      <c r="W38" s="1220">
        <f t="shared" si="12"/>
        <v>100</v>
      </c>
      <c r="X38" s="1214"/>
      <c r="Y38" s="3393"/>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3"/>
      <c r="Q39" s="625">
        <f t="shared" si="14"/>
        <v>111</v>
      </c>
      <c r="R39" s="1219" t="s">
        <v>1393</v>
      </c>
      <c r="S39" s="1220">
        <f t="shared" si="10"/>
        <v>100</v>
      </c>
      <c r="T39" s="1219" t="s">
        <v>1393</v>
      </c>
      <c r="U39" s="1220">
        <f t="shared" si="11"/>
        <v>100</v>
      </c>
      <c r="V39" s="1219" t="s">
        <v>1393</v>
      </c>
      <c r="W39" s="1220">
        <f t="shared" si="12"/>
        <v>100</v>
      </c>
      <c r="X39" s="1214"/>
      <c r="Y39" s="3393"/>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3"/>
      <c r="Q40" s="625">
        <f t="shared" si="14"/>
        <v>111</v>
      </c>
      <c r="R40" s="1221" t="s">
        <v>1393</v>
      </c>
      <c r="S40" s="1222">
        <f t="shared" si="10"/>
        <v>100</v>
      </c>
      <c r="T40" s="1221" t="s">
        <v>1393</v>
      </c>
      <c r="U40" s="1222">
        <f t="shared" si="11"/>
        <v>100</v>
      </c>
      <c r="V40" s="1221" t="s">
        <v>1393</v>
      </c>
      <c r="W40" s="1222">
        <f t="shared" si="12"/>
        <v>100</v>
      </c>
      <c r="X40" s="1223"/>
      <c r="Y40" s="3393"/>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9" t="str">
        <f>A41</f>
        <v>成交单价</v>
      </c>
      <c r="Q41" s="3379"/>
      <c r="R41" s="3377">
        <f>E41</f>
        <v>0</v>
      </c>
      <c r="S41" s="3377"/>
      <c r="T41" s="3377">
        <f>G41</f>
        <v>0</v>
      </c>
      <c r="U41" s="3377"/>
      <c r="V41" s="3377">
        <f>I41</f>
        <v>0</v>
      </c>
      <c r="W41" s="3377"/>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9" t="str">
        <f>A42</f>
        <v>比较价值（元/平方米）</v>
      </c>
      <c r="Q42" s="3379"/>
      <c r="R42" s="3442" t="e">
        <f>ROUND(PRODUCT(R41,AA7:AA40),0)</f>
        <v>#DIV/0!</v>
      </c>
      <c r="S42" s="3442"/>
      <c r="T42" s="3442" t="e">
        <f>ROUND(PRODUCT(T41,AB7:AB40),0)</f>
        <v>#DIV/0!</v>
      </c>
      <c r="U42" s="3442"/>
      <c r="V42" s="3442" t="e">
        <f>ROUND(PRODUCT(V41,AC7:AC40),0)</f>
        <v>#DIV/0!</v>
      </c>
      <c r="W42" s="3442"/>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5" t="str">
        <f>A43</f>
        <v>估价对象XX用房的比较价值（楼面单价，元/平方米）</v>
      </c>
      <c r="Q43" s="3416"/>
      <c r="R43" s="3443" t="e">
        <f>ROUND(IF(D42="简单平均",AVERAGE(R42:W42),R42*F42+T42*H42+V42*J42),0)</f>
        <v>#DIV/0!</v>
      </c>
      <c r="S43" s="3443"/>
      <c r="T43" s="3443"/>
      <c r="U43" s="3443"/>
      <c r="V43" s="3443"/>
      <c r="W43" s="3443"/>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0" t="s">
        <v>1675</v>
      </c>
      <c r="H50" s="3441"/>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332.39</v>
      </c>
      <c r="F51" s="1141" t="e">
        <f t="shared" ref="F51:F60" si="15">ROUND(B51*E51/10000,0)</f>
        <v>#DIV/0!</v>
      </c>
      <c r="G51" s="3378"/>
      <c r="H51" s="3379"/>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六级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六级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六级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0.25</v>
      </c>
      <c r="D56" s="1143">
        <v>0.25</v>
      </c>
      <c r="E56" s="359">
        <f>'数据-汇总表'!E11</f>
        <v>0</v>
      </c>
      <c r="F56" s="1141" t="e">
        <f t="shared" si="15"/>
        <v>#DIV/0!</v>
      </c>
      <c r="G56" s="1149" t="s">
        <v>1684</v>
      </c>
      <c r="H56" s="1146" t="str">
        <f>项目基本情况!C37</f>
        <v>六级</v>
      </c>
      <c r="I56" s="653">
        <f>SUMIF(修正!A59:A70,H56,修正!E59:E70)</f>
        <v>0.25</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0.25</v>
      </c>
      <c r="D57" s="1143">
        <v>0.25</v>
      </c>
      <c r="E57" s="359">
        <f>'数据-汇总表'!E12</f>
        <v>0</v>
      </c>
      <c r="F57" s="1141" t="e">
        <f t="shared" si="15"/>
        <v>#DIV/0!</v>
      </c>
      <c r="G57" s="1150" t="s">
        <v>1686</v>
      </c>
      <c r="H57" s="1146" t="str">
        <f>IF(G57="商业",项目基本情况!B37,IF(G57="办公",项目基本情况!C37,IF(G57="住宅",项目基本情况!D37,项目基本情况!E37)))</f>
        <v>六级</v>
      </c>
      <c r="I57" s="653">
        <f>SUMIF(修正!A59:A70,H57,修正!F59:F70)</f>
        <v>0.25</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六级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0.15</v>
      </c>
      <c r="D60" s="1143">
        <v>0.25</v>
      </c>
      <c r="E60" s="359">
        <f>'数据-汇总表'!E15</f>
        <v>0</v>
      </c>
      <c r="F60" s="1141" t="e">
        <f t="shared" si="15"/>
        <v>#DIV/0!</v>
      </c>
      <c r="G60" s="1151" t="s">
        <v>1684</v>
      </c>
      <c r="H60" s="1152" t="str">
        <f>项目基本情况!C37</f>
        <v>六级</v>
      </c>
      <c r="I60" s="653">
        <f>SUMIF(修正!A59:A70,H60,修正!G59:G70)</f>
        <v>0.15</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3" sqref="K1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8" t="s">
        <v>1705</v>
      </c>
      <c r="D1" s="3449"/>
      <c r="E1" s="3449"/>
      <c r="F1" s="3449"/>
      <c r="G1" s="3449"/>
      <c r="H1" s="3449"/>
      <c r="I1" s="3449"/>
      <c r="J1" s="3449"/>
      <c r="K1" s="3449"/>
      <c r="L1" s="3449"/>
      <c r="M1" s="3449"/>
      <c r="N1" s="3449"/>
      <c r="O1" s="3449"/>
      <c r="P1" s="3449"/>
      <c r="Q1" s="3449"/>
      <c r="R1" s="3449"/>
      <c r="S1" s="3450"/>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911</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19575</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465.39</v>
      </c>
      <c r="C22" s="3451" t="s">
        <v>124</v>
      </c>
      <c r="D22" s="3452"/>
      <c r="E22" s="3452"/>
      <c r="F22" s="3452"/>
      <c r="G22" s="3452"/>
      <c r="H22" s="3452"/>
      <c r="I22" s="3452"/>
      <c r="J22" s="3452"/>
      <c r="K22" s="3452"/>
      <c r="L22" s="3452"/>
      <c r="M22" s="3452"/>
      <c r="N22" s="3452"/>
      <c r="O22" s="3452"/>
      <c r="P22" s="3452"/>
      <c r="Q22" s="3453"/>
      <c r="R22" s="950">
        <f ca="1">ROUND(S22*10000/B22,0)</f>
        <v>19575</v>
      </c>
      <c r="S22" s="950">
        <f ca="1">SUM(S24:S10000)</f>
        <v>911</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f>'数据-基础表'!C13</f>
        <v>2006</v>
      </c>
      <c r="B24" s="954">
        <f>'数据-基础表'!I13</f>
        <v>332.39</v>
      </c>
      <c r="C24" s="955">
        <v>1</v>
      </c>
      <c r="D24" s="956"/>
      <c r="E24" s="955">
        <v>1</v>
      </c>
      <c r="F24" s="956"/>
      <c r="G24" s="955">
        <v>1</v>
      </c>
      <c r="H24" s="956"/>
      <c r="I24" s="955">
        <v>1</v>
      </c>
      <c r="J24" s="956"/>
      <c r="K24" s="955">
        <v>1</v>
      </c>
      <c r="L24" s="956"/>
      <c r="M24" s="955">
        <v>1</v>
      </c>
      <c r="N24" s="956"/>
      <c r="O24" s="955">
        <v>1</v>
      </c>
      <c r="P24" s="956"/>
      <c r="Q24" s="955">
        <v>1</v>
      </c>
      <c r="R24" s="954">
        <f ca="1">结果表!C32</f>
        <v>19251</v>
      </c>
      <c r="S24" s="1005">
        <f t="shared" ref="S24:S54" ca="1" si="11">ROUND(R24*B24/10000,0)</f>
        <v>640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2011</v>
      </c>
      <c r="B25" s="958">
        <v>71.150000000000006</v>
      </c>
      <c r="C25" s="950">
        <f>IF(B25="",1,(LOOKUP(B25,$3:$3,$4:$4)-LOOKUP($B$24,$3:$3,$4:$4)+100)/100)</f>
        <v>1.06</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20406</v>
      </c>
      <c r="S25" s="949">
        <f t="shared" ca="1" si="11"/>
        <v>145</v>
      </c>
    </row>
    <row r="26" spans="1:45">
      <c r="A26" s="957">
        <v>2012</v>
      </c>
      <c r="B26" s="958">
        <v>61.85</v>
      </c>
      <c r="C26" s="950">
        <f t="shared" ref="C26:C89" si="12">IF(B26="",1,(LOOKUP(B26,$3:$3,$4:$4)-LOOKUP($B$24,$3:$3,$4:$4)+100)/100)</f>
        <v>1.06</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ca="1" si="20">IF(B26="",0,ROUND($R$24*C26*E26*G26*I26*K26*M26*O26*Q26,0))</f>
        <v>20406</v>
      </c>
      <c r="S26" s="949">
        <f t="shared" ca="1" si="11"/>
        <v>126</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f ca="1">SUMIF(B6:B13,"&lt;&gt;#ref!",B6:B13)</f>
        <v>325</v>
      </c>
      <c r="C2" s="883" t="s">
        <v>1723</v>
      </c>
      <c r="D2" s="883" t="s">
        <v>1724</v>
      </c>
      <c r="E2" s="885">
        <f ca="1">SUMIF(E6:E13,"&lt;&gt;#ref!",E6:E13)</f>
        <v>332.39</v>
      </c>
      <c r="F2" s="882"/>
      <c r="G2" s="882"/>
      <c r="H2" s="882"/>
      <c r="I2" s="882"/>
      <c r="J2" s="882"/>
      <c r="K2" s="882"/>
      <c r="L2" s="882"/>
      <c r="M2" s="882"/>
      <c r="N2" s="882"/>
      <c r="O2" s="882"/>
      <c r="P2" s="882"/>
    </row>
    <row r="3" spans="1:16" ht="15.75">
      <c r="A3" s="883" t="s">
        <v>1725</v>
      </c>
      <c r="B3" s="884">
        <f ca="1">ROUND(B2*10000/E2,0)</f>
        <v>9778</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f ca="1">SUMIF(INDIRECT("'"&amp;A6&amp;"'"&amp;"!A:A"),"总价",INDIRECT("'"&amp;A6&amp;"'"&amp;"!B:B"))</f>
        <v>325</v>
      </c>
      <c r="C6" s="883" t="s">
        <v>1723</v>
      </c>
      <c r="D6" s="882"/>
      <c r="E6" s="885">
        <f ca="1">SUMIF(INDIRECT("'"&amp;A6&amp;"'"&amp;"!C:C"),"建筑面积",INDIRECT("'"&amp;A6&amp;"'"&amp;"!D:D"))</f>
        <v>332.39</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61" sqref="G61:G69"/>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332.39</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f>C30</f>
        <v>325</v>
      </c>
      <c r="C2" s="512" t="s">
        <v>1030</v>
      </c>
      <c r="D2" s="513" t="s">
        <v>1738</v>
      </c>
      <c r="E2" s="514" t="s">
        <v>230</v>
      </c>
      <c r="F2" s="513" t="s">
        <v>1739</v>
      </c>
      <c r="G2" s="515" t="str">
        <f>IF(E2="商业",项目基本情况!B37,IF(E2="办公",项目基本情况!C37,IF(E2="住宅",项目基本情况!D37,IF(E2="工业",项目基本情况!E37,项目基本情况!F37))))</f>
        <v>六级</v>
      </c>
      <c r="H2" s="513" t="s">
        <v>1740</v>
      </c>
      <c r="I2" s="515" t="str">
        <f>IF(E2="商业",项目基本情况!B38,IF(E2="办公",项目基本情况!C38,IF(E2="住宅",项目基本情况!D38,IF(E2="工业",项目基本情况!E38,项目基本情况!F38))))</f>
        <v>Ⅵ-03</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14687</v>
      </c>
      <c r="U2" s="801"/>
      <c r="V2" s="800">
        <f>ROUND(T2*U2/10000,0)</f>
        <v>0</v>
      </c>
      <c r="W2" s="799"/>
      <c r="X2" s="799"/>
      <c r="Y2" s="799"/>
      <c r="Z2" s="799"/>
      <c r="AA2" s="799"/>
      <c r="AB2" s="799"/>
      <c r="AC2" s="810"/>
      <c r="AD2" s="811"/>
      <c r="AE2" s="811"/>
      <c r="AF2" s="811"/>
      <c r="AG2" s="811"/>
      <c r="AH2" s="811"/>
      <c r="AI2" s="811"/>
      <c r="AJ2" s="820"/>
    </row>
    <row r="3" spans="1:36" ht="15.75">
      <c r="A3" s="346" t="s">
        <v>1031</v>
      </c>
      <c r="B3" s="347">
        <f>ROUND(B2*10000/D1,0)</f>
        <v>9778</v>
      </c>
      <c r="C3" s="512" t="s">
        <v>1032</v>
      </c>
      <c r="D3" s="513" t="s">
        <v>1742</v>
      </c>
      <c r="E3" s="516" t="s">
        <v>245</v>
      </c>
      <c r="F3" s="517" t="s">
        <v>2789</v>
      </c>
      <c r="G3" s="518">
        <f>IF(F3="宗地容积率",'数据-汇总表'!I4,IF(F3="估价对象容积率",'数据-汇总表'!I6,'数据-汇总表'!I7))</f>
        <v>2.5</v>
      </c>
      <c r="H3" s="513" t="s">
        <v>1743</v>
      </c>
      <c r="I3" s="714">
        <v>1</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11576</v>
      </c>
      <c r="U3" s="801"/>
      <c r="V3" s="800">
        <f t="shared" ref="V3:V16" si="1">ROUND(T3*U3/10000,0)</f>
        <v>0</v>
      </c>
      <c r="W3" s="799"/>
      <c r="X3" s="799"/>
      <c r="Y3" s="799"/>
      <c r="Z3" s="799"/>
      <c r="AA3" s="799"/>
      <c r="AB3" s="799"/>
      <c r="AC3" s="810"/>
      <c r="AD3" s="811"/>
      <c r="AE3" s="811"/>
      <c r="AF3" s="811"/>
      <c r="AG3" s="811"/>
      <c r="AH3" s="811"/>
      <c r="AI3" s="811"/>
      <c r="AJ3" s="820"/>
    </row>
    <row r="4" spans="1:36" ht="15.75">
      <c r="A4" s="3454"/>
      <c r="B4" s="3455"/>
      <c r="C4" s="3455"/>
      <c r="D4" s="3456"/>
      <c r="E4" s="3456"/>
      <c r="F4" s="3456"/>
      <c r="G4" s="3456"/>
      <c r="H4" s="3456"/>
      <c r="I4" s="3456"/>
      <c r="J4" s="3457"/>
      <c r="K4" s="503"/>
      <c r="L4" s="712" t="s">
        <v>1746</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1.0004999999999999</v>
      </c>
      <c r="T4" s="800">
        <f t="shared" si="0"/>
        <v>9784</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11212</v>
      </c>
      <c r="D5" s="522">
        <f>ROUND(C6*C17+C20,0)</f>
        <v>10884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8629</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10920</v>
      </c>
      <c r="D6" s="528"/>
      <c r="E6" s="529"/>
      <c r="F6" s="529"/>
      <c r="G6" s="530"/>
      <c r="H6" s="530"/>
      <c r="I6" s="530"/>
      <c r="J6" s="717"/>
      <c r="K6" s="718"/>
      <c r="L6" s="712" t="s">
        <v>1750</v>
      </c>
      <c r="M6" s="713">
        <f>SUMPRODUCT((区片价!B127:B189=I2)*(区片价!C3:G3=E2)*(区片价!C127:G189))</f>
        <v>10920</v>
      </c>
      <c r="N6" s="711">
        <f>SUMPRODUCT((因素修正幅度!B127:B189=I2)*(因素修正幅度!C3:G3=E2)*(因素修正幅度!C127:G189))</f>
        <v>0.108</v>
      </c>
      <c r="O6" s="503"/>
      <c r="P6" s="503"/>
      <c r="Q6" s="503"/>
      <c r="R6" s="798">
        <v>5</v>
      </c>
      <c r="S6" s="800">
        <f>ROUND(SUMPRODUCT((B106:B110=R6)*(C105:N105=G2)*(C106:N110)),4)</f>
        <v>0.84799999999999998</v>
      </c>
      <c r="T6" s="800">
        <f t="shared" si="0"/>
        <v>8292</v>
      </c>
      <c r="U6" s="801"/>
      <c r="V6" s="800">
        <f t="shared" si="1"/>
        <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1755</v>
      </c>
      <c r="X7" s="804" t="str">
        <f>G2</f>
        <v>六级</v>
      </c>
      <c r="Y7" s="804" t="s">
        <v>1756</v>
      </c>
      <c r="Z7" s="814">
        <f>G3</f>
        <v>2.5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8" t="s">
        <v>1761</v>
      </c>
      <c r="X8" s="3459"/>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2"/>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2"/>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1787</v>
      </c>
      <c r="B12" s="550" t="s">
        <v>1788</v>
      </c>
      <c r="C12" s="551">
        <v>1.03</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4" t="s">
        <v>1810</v>
      </c>
      <c r="B20" s="590" t="s">
        <v>1811</v>
      </c>
      <c r="C20" s="591">
        <f>ROUND(IF(F21="与级别开发程度一致",0,(G21-E21)/C21),0)</f>
        <v>-36</v>
      </c>
      <c r="D20" s="592" t="s">
        <v>1812</v>
      </c>
      <c r="E20" s="593"/>
      <c r="F20" s="3460" t="s">
        <v>1813</v>
      </c>
      <c r="G20" s="3461"/>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5"/>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2790</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1817</v>
      </c>
      <c r="E23" s="610">
        <v>44197</v>
      </c>
      <c r="F23" s="609" t="s">
        <v>1818</v>
      </c>
      <c r="G23" s="611">
        <f>'数据-取费表'!B2</f>
        <v>45945</v>
      </c>
      <c r="H23" s="612" t="s">
        <v>2791</v>
      </c>
      <c r="I23" s="742" t="str">
        <f>IF(H23="季度增幅（自定义）",SUMIF(N25:N28,E2,O25:O28),"")</f>
        <v/>
      </c>
      <c r="J23" s="743" t="s">
        <v>2792</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0.84650000000000003</v>
      </c>
      <c r="D24" s="616" t="s">
        <v>1822</v>
      </c>
      <c r="E24" s="617">
        <f>存贷款利率!E28/100</f>
        <v>4.3499999999999997E-2</v>
      </c>
      <c r="F24" s="616" t="s">
        <v>1823</v>
      </c>
      <c r="G24" s="618">
        <f>SUMIF(M30:Q30,E2,M33:Q33)</f>
        <v>5.5E-2</v>
      </c>
      <c r="H24" s="616" t="s">
        <v>1824</v>
      </c>
      <c r="I24" s="748">
        <f>SUMIF('数据-取费表'!C6:C15,E2,'数据-取费表'!F6:F15)/COUNTIF('数据-取费表'!C6:C15,E2)</f>
        <v>29</v>
      </c>
      <c r="J24" s="749">
        <f>IF(E2="住宅",70,IF(E2="商业",40,50))</f>
        <v>50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2801</v>
      </c>
      <c r="C25" s="621">
        <f>IF(B25="容积率修正",IF(G3&lt;10,D26,J26),C27)</f>
        <v>1</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1</v>
      </c>
      <c r="E26" s="518">
        <f>ROUNDDOWN(G3,1)</f>
        <v>2.5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2.5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1.5019</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1.0504</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f>IF(B25="容积率修正",E33+SUM(E37:E42),SUM(V2:V16)+SUM(E37:E42))</f>
        <v>325</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f>E34+SUM(I37:I42)</f>
        <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f>ROUND(C5*C22*C23*C24*C25*C28,0)</f>
        <v>9779</v>
      </c>
      <c r="D33" s="652">
        <f>'数据-基础表'!I13</f>
        <v>332.39</v>
      </c>
      <c r="E33" s="653">
        <f>ROUND(C33*D33/10000,0)</f>
        <v>325</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f>ROUND(IF(E2="工业",C33*M42,IF(B25="楼层修正",SUM(V2:V16)*M41*10000/D34,C33*M41)),0)</f>
        <v>2445</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3.0599999999999999E-2</v>
      </c>
      <c r="M36" s="782">
        <f ca="1">ROUND($L$36*(1+M31),3)</f>
        <v>3.7999999999999999E-2</v>
      </c>
      <c r="N36" s="782">
        <f ca="1">ROUND($L$36*(1+N31),3)</f>
        <v>3.6999999999999998E-2</v>
      </c>
      <c r="O36" s="782">
        <f ca="1">ROUND($L$36*(1+O31),3)</f>
        <v>3.5000000000000003E-2</v>
      </c>
      <c r="P36" s="782">
        <f ca="1">ROUND($L$36*(1+P31),3)</f>
        <v>3.4000000000000002E-2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6"/>
      <c r="B37" s="669" t="s">
        <v>1864</v>
      </c>
      <c r="C37" s="651">
        <f>ROUND(D5*C22*C23*C24*C28*F37,0)</f>
        <v>5696</v>
      </c>
      <c r="D37" s="652"/>
      <c r="E37" s="515">
        <f>ROUND(C37*D37/10000,0)</f>
        <v>0</v>
      </c>
      <c r="F37" s="515">
        <f>SUMIF(修正!A59:A70,G2,修正!B59:B70)</f>
        <v>0.6</v>
      </c>
      <c r="G37" s="515">
        <f>ROUND(IF(E2="工业",C37*$M$42,C37*$M$41),0)</f>
        <v>1424</v>
      </c>
      <c r="H37" s="515">
        <f>D37</f>
        <v>0</v>
      </c>
      <c r="I37" s="515">
        <f>ROUND(G37*H37/10000,0)</f>
        <v>0</v>
      </c>
      <c r="J37" s="783"/>
      <c r="K37" s="784" t="s">
        <v>1865</v>
      </c>
      <c r="L37" s="678">
        <f ca="1">L36+K38</f>
        <v>3.56E-2</v>
      </c>
      <c r="M37" s="782">
        <f ca="1">ROUND($L$37*(1+M31),3)</f>
        <v>4.4999999999999998E-2</v>
      </c>
      <c r="N37" s="782">
        <f t="shared" ref="N37:Q37" ca="1" si="3">ROUND($L$37*(1+N31),3)</f>
        <v>4.2999999999999997E-2</v>
      </c>
      <c r="O37" s="782">
        <f t="shared" ca="1" si="3"/>
        <v>4.1000000000000002E-2</v>
      </c>
      <c r="P37" s="782">
        <f t="shared" ca="1" si="3"/>
        <v>3.9E-2</v>
      </c>
      <c r="Q37" s="782">
        <f t="shared" ca="1" si="3"/>
        <v>4.1000000000000002E-2</v>
      </c>
      <c r="R37" s="503"/>
      <c r="S37" s="503"/>
      <c r="T37" s="503"/>
      <c r="U37" s="503"/>
      <c r="V37" s="503"/>
      <c r="W37" s="503"/>
      <c r="X37" s="503"/>
      <c r="Y37" s="503"/>
      <c r="Z37" s="674"/>
      <c r="AA37" s="674"/>
      <c r="AB37" s="674"/>
      <c r="AC37" s="674"/>
      <c r="AD37" s="674"/>
      <c r="AE37" s="674"/>
      <c r="AF37" s="674"/>
      <c r="AG37" s="823"/>
      <c r="AH37" s="823"/>
      <c r="AI37" s="823"/>
      <c r="AJ37" s="823"/>
    </row>
    <row r="38" spans="1:37">
      <c r="A38" s="3467"/>
      <c r="B38" s="562" t="s">
        <v>1866</v>
      </c>
      <c r="C38" s="651">
        <f>ROUND(D5*C22*C23*C24*C28*F38,0)</f>
        <v>2848</v>
      </c>
      <c r="D38" s="652"/>
      <c r="E38" s="515">
        <f t="shared" ref="E38:E42" si="4">ROUND(C38*D38/10000,0)</f>
        <v>0</v>
      </c>
      <c r="F38" s="515">
        <f>SUMIF(修正!A59:A70,G2,修正!C59:C70)</f>
        <v>0.3</v>
      </c>
      <c r="G38" s="515">
        <f>ROUND(IF(E2="工业",C38*$M$42,C38*$M$41),0)</f>
        <v>712</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7"/>
      <c r="B39" s="562" t="s">
        <v>1867</v>
      </c>
      <c r="C39" s="651">
        <f>ROUND(D5*C22*C23*C24*C28*F39,0)</f>
        <v>2373</v>
      </c>
      <c r="D39" s="652"/>
      <c r="E39" s="515">
        <f t="shared" si="4"/>
        <v>0</v>
      </c>
      <c r="F39" s="515">
        <f>SUMIF(修正!A59:A70,G2,修正!D59:D70)</f>
        <v>0.25</v>
      </c>
      <c r="G39" s="515">
        <f>ROUND(IF(E2="工业",C39*$M$42,C39*$M$41),0)</f>
        <v>593</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2373</v>
      </c>
      <c r="D40" s="652"/>
      <c r="E40" s="515">
        <f t="shared" si="4"/>
        <v>0</v>
      </c>
      <c r="F40" s="651">
        <f>SUMIF(修正!A59:A70,G2,修正!E59:E70)</f>
        <v>0.25</v>
      </c>
      <c r="G40" s="515">
        <f>ROUND(IF(E2="工业",C40*$M$42,C40*$M$41),0)</f>
        <v>593</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t="e">
        <f>1+E50</f>
        <v>#VALUE!</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t="e">
        <f t="shared" ref="D50:D58" si="7">SUMIF($J$49:$N$49,C50,J50:N50)</f>
        <v>#VALUE!</v>
      </c>
      <c r="E50" s="696" t="e">
        <f>ROUND(SUM(D50:D58),4)</f>
        <v>#VALUE!</v>
      </c>
      <c r="F50" s="697" t="str">
        <f>IF(E2="商业",SUMIF(L1:L12,G2,N1:N12),"——")</f>
        <v>——</v>
      </c>
      <c r="G50" s="698" t="str">
        <f>H50</f>
        <v>——</v>
      </c>
      <c r="H50" s="699" t="str">
        <f t="shared" ref="H50:H58" si="8">IFERROR(ROUNDDOWN($F$50*I50/2,4),"——")</f>
        <v>——</v>
      </c>
      <c r="I50" s="795">
        <v>0.3</v>
      </c>
      <c r="J50" s="796" t="e">
        <f t="shared" ref="J50:J58" si="9">K50+$G50</f>
        <v>#VALUE!</v>
      </c>
      <c r="K50" s="796" t="e">
        <f t="shared" ref="K50:K58" si="10">$L50+$G50</f>
        <v>#VALUE!</v>
      </c>
      <c r="L50" s="796">
        <v>0</v>
      </c>
      <c r="M50" s="796" t="e">
        <f t="shared" ref="M50:N58" si="11">L50-$G50</f>
        <v>#VALUE!</v>
      </c>
      <c r="N50" s="796" t="e">
        <f t="shared" si="11"/>
        <v>#VALUE!</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2765</v>
      </c>
      <c r="D51" s="695">
        <f t="shared" si="7"/>
        <v>0</v>
      </c>
      <c r="E51" s="700"/>
      <c r="F51" s="697"/>
      <c r="G51" s="698" t="str">
        <f t="shared" ref="G51:G58" si="12">H51</f>
        <v>——</v>
      </c>
      <c r="H51" s="699" t="str">
        <f t="shared" si="8"/>
        <v>——</v>
      </c>
      <c r="I51" s="795">
        <v>0.22</v>
      </c>
      <c r="J51" s="796" t="e">
        <f t="shared" si="9"/>
        <v>#VALUE!</v>
      </c>
      <c r="K51" s="796" t="e">
        <f t="shared" si="10"/>
        <v>#VALUE!</v>
      </c>
      <c r="L51" s="796">
        <v>0</v>
      </c>
      <c r="M51" s="796" t="e">
        <f t="shared" si="11"/>
        <v>#VALUE!</v>
      </c>
      <c r="N51" s="796" t="e">
        <f t="shared" si="11"/>
        <v>#VALUE!</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t="e">
        <f t="shared" si="7"/>
        <v>#VALUE!</v>
      </c>
      <c r="E52" s="700"/>
      <c r="F52" s="697"/>
      <c r="G52" s="698" t="str">
        <f t="shared" si="12"/>
        <v>——</v>
      </c>
      <c r="H52" s="699" t="str">
        <f t="shared" si="8"/>
        <v>——</v>
      </c>
      <c r="I52" s="795">
        <v>0.12</v>
      </c>
      <c r="J52" s="796" t="e">
        <f t="shared" si="9"/>
        <v>#VALUE!</v>
      </c>
      <c r="K52" s="796" t="e">
        <f t="shared" si="10"/>
        <v>#VALUE!</v>
      </c>
      <c r="L52" s="796">
        <v>0</v>
      </c>
      <c r="M52" s="796" t="e">
        <f t="shared" si="11"/>
        <v>#VALUE!</v>
      </c>
      <c r="N52" s="796" t="e">
        <f t="shared" si="11"/>
        <v>#VALUE!</v>
      </c>
      <c r="AA52" s="674"/>
      <c r="AB52" s="674"/>
      <c r="AC52" s="674"/>
      <c r="AD52" s="674"/>
      <c r="AE52" s="674"/>
      <c r="AF52" s="674"/>
      <c r="AG52" s="674"/>
      <c r="AH52" s="674"/>
      <c r="AI52" s="674"/>
      <c r="AJ52" s="674"/>
      <c r="AK52" s="674"/>
    </row>
    <row r="53" spans="1:37" s="503" customFormat="1" ht="36.75">
      <c r="A53" s="689" t="s">
        <v>1887</v>
      </c>
      <c r="B53" s="702" t="s">
        <v>1888</v>
      </c>
      <c r="C53" s="568" t="s">
        <v>1407</v>
      </c>
      <c r="D53" s="695" t="e">
        <f t="shared" si="7"/>
        <v>#VALUE!</v>
      </c>
      <c r="E53" s="700"/>
      <c r="F53" s="697"/>
      <c r="G53" s="698" t="str">
        <f t="shared" si="12"/>
        <v>——</v>
      </c>
      <c r="H53" s="699" t="str">
        <f t="shared" si="8"/>
        <v>——</v>
      </c>
      <c r="I53" s="795">
        <v>0.05</v>
      </c>
      <c r="J53" s="796" t="e">
        <f t="shared" si="9"/>
        <v>#VALUE!</v>
      </c>
      <c r="K53" s="796" t="e">
        <f t="shared" si="10"/>
        <v>#VALUE!</v>
      </c>
      <c r="L53" s="796">
        <v>0</v>
      </c>
      <c r="M53" s="796" t="e">
        <f t="shared" si="11"/>
        <v>#VALUE!</v>
      </c>
      <c r="N53" s="796" t="e">
        <f t="shared" si="11"/>
        <v>#VALUE!</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t="e">
        <f t="shared" si="7"/>
        <v>#VALUE!</v>
      </c>
      <c r="E54" s="700"/>
      <c r="F54" s="697"/>
      <c r="G54" s="698" t="str">
        <f t="shared" si="12"/>
        <v>——</v>
      </c>
      <c r="H54" s="699" t="str">
        <f t="shared" si="8"/>
        <v>——</v>
      </c>
      <c r="I54" s="795">
        <v>0.08</v>
      </c>
      <c r="J54" s="796" t="e">
        <f t="shared" si="9"/>
        <v>#VALUE!</v>
      </c>
      <c r="K54" s="796" t="e">
        <f t="shared" si="10"/>
        <v>#VALUE!</v>
      </c>
      <c r="L54" s="796">
        <v>0</v>
      </c>
      <c r="M54" s="796" t="e">
        <f t="shared" si="11"/>
        <v>#VALUE!</v>
      </c>
      <c r="N54" s="796" t="e">
        <f t="shared" si="11"/>
        <v>#VALUE!</v>
      </c>
      <c r="AA54" s="674"/>
      <c r="AB54" s="674"/>
      <c r="AC54" s="674"/>
      <c r="AD54" s="674"/>
      <c r="AE54" s="674"/>
      <c r="AF54" s="674"/>
      <c r="AG54" s="674"/>
      <c r="AH54" s="674"/>
      <c r="AI54" s="674"/>
      <c r="AJ54" s="674"/>
      <c r="AK54" s="674"/>
    </row>
    <row r="55" spans="1:37" s="503" customFormat="1" ht="24">
      <c r="A55" s="689" t="s">
        <v>1890</v>
      </c>
      <c r="B55" s="703" t="s">
        <v>1891</v>
      </c>
      <c r="C55" s="568" t="s">
        <v>1407</v>
      </c>
      <c r="D55" s="695" t="e">
        <f t="shared" si="7"/>
        <v>#VALUE!</v>
      </c>
      <c r="E55" s="700"/>
      <c r="F55" s="697"/>
      <c r="G55" s="698" t="str">
        <f t="shared" si="12"/>
        <v>——</v>
      </c>
      <c r="H55" s="699" t="str">
        <f t="shared" si="8"/>
        <v>——</v>
      </c>
      <c r="I55" s="795">
        <v>0.05</v>
      </c>
      <c r="J55" s="796" t="e">
        <f t="shared" si="9"/>
        <v>#VALUE!</v>
      </c>
      <c r="K55" s="796" t="e">
        <f t="shared" si="10"/>
        <v>#VALUE!</v>
      </c>
      <c r="L55" s="796">
        <v>0</v>
      </c>
      <c r="M55" s="796" t="e">
        <f t="shared" si="11"/>
        <v>#VALUE!</v>
      </c>
      <c r="N55" s="796" t="e">
        <f t="shared" si="11"/>
        <v>#VALUE!</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t="e">
        <f t="shared" si="7"/>
        <v>#VALUE!</v>
      </c>
      <c r="E56" s="700"/>
      <c r="F56" s="697"/>
      <c r="G56" s="698" t="str">
        <f t="shared" si="12"/>
        <v>——</v>
      </c>
      <c r="H56" s="699" t="str">
        <f t="shared" si="8"/>
        <v>——</v>
      </c>
      <c r="I56" s="795">
        <v>0.05</v>
      </c>
      <c r="J56" s="796" t="e">
        <f t="shared" si="9"/>
        <v>#VALUE!</v>
      </c>
      <c r="K56" s="796" t="e">
        <f t="shared" si="10"/>
        <v>#VALUE!</v>
      </c>
      <c r="L56" s="796">
        <v>0</v>
      </c>
      <c r="M56" s="796" t="e">
        <f t="shared" si="11"/>
        <v>#VALUE!</v>
      </c>
      <c r="N56" s="796" t="e">
        <f t="shared" si="11"/>
        <v>#VALUE!</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t="e">
        <f t="shared" si="7"/>
        <v>#VALUE!</v>
      </c>
      <c r="E57" s="700"/>
      <c r="F57" s="697"/>
      <c r="G57" s="698" t="str">
        <f t="shared" si="12"/>
        <v>——</v>
      </c>
      <c r="H57" s="699" t="str">
        <f t="shared" si="8"/>
        <v>——</v>
      </c>
      <c r="I57" s="795">
        <v>0.08</v>
      </c>
      <c r="J57" s="796" t="e">
        <f t="shared" si="9"/>
        <v>#VALUE!</v>
      </c>
      <c r="K57" s="796" t="e">
        <f t="shared" si="10"/>
        <v>#VALUE!</v>
      </c>
      <c r="L57" s="796">
        <v>0</v>
      </c>
      <c r="M57" s="796" t="e">
        <f t="shared" si="11"/>
        <v>#VALUE!</v>
      </c>
      <c r="N57" s="796" t="e">
        <f t="shared" si="11"/>
        <v>#VALUE!</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t="e">
        <f t="shared" si="7"/>
        <v>#VALUE!</v>
      </c>
      <c r="E58" s="708"/>
      <c r="F58" s="697"/>
      <c r="G58" s="698" t="str">
        <f t="shared" si="12"/>
        <v>——</v>
      </c>
      <c r="H58" s="699" t="str">
        <f t="shared" si="8"/>
        <v>——</v>
      </c>
      <c r="I58" s="797">
        <v>0.05</v>
      </c>
      <c r="J58" s="796" t="e">
        <f t="shared" si="9"/>
        <v>#VALUE!</v>
      </c>
      <c r="K58" s="796" t="e">
        <f t="shared" si="10"/>
        <v>#VALUE!</v>
      </c>
      <c r="L58" s="796">
        <v>0</v>
      </c>
      <c r="M58" s="796" t="e">
        <f t="shared" si="11"/>
        <v>#VALUE!</v>
      </c>
      <c r="N58" s="796" t="e">
        <f t="shared" si="11"/>
        <v>#VALUE!</v>
      </c>
      <c r="AA58" s="674"/>
      <c r="AB58" s="674"/>
      <c r="AC58" s="674"/>
      <c r="AD58" s="674"/>
      <c r="AE58" s="674"/>
      <c r="AF58" s="674"/>
      <c r="AG58" s="674"/>
      <c r="AH58" s="674"/>
      <c r="AI58" s="674"/>
      <c r="AJ58" s="674"/>
      <c r="AK58" s="674"/>
    </row>
    <row r="59" spans="1:37" s="503" customFormat="1" ht="15">
      <c r="A59" s="683" t="s">
        <v>1895</v>
      </c>
      <c r="B59" s="684">
        <f>1+E61</f>
        <v>1.0504</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f t="shared" ref="D61:D69" si="13">SUMIF($J$60:$N$60,C61,J61:N61)</f>
        <v>1.35E-2</v>
      </c>
      <c r="E61" s="696">
        <f>ROUND(SUM(D61:D69),4)</f>
        <v>5.04E-2</v>
      </c>
      <c r="F61" s="697">
        <f>IF(E2="办公",SUMIF(L1:L12,G2,N1:N12),"——")</f>
        <v>0.108</v>
      </c>
      <c r="G61" s="698">
        <f>H61</f>
        <v>1.35E-2</v>
      </c>
      <c r="H61" s="699">
        <f t="shared" ref="H61:H69" si="14">IFERROR(ROUNDDOWN($F$61*I61/2,4),"——")</f>
        <v>1.35E-2</v>
      </c>
      <c r="I61" s="795">
        <v>0.25</v>
      </c>
      <c r="J61" s="796">
        <f t="shared" ref="J61:J69" si="15">K61+$G61</f>
        <v>2.7E-2</v>
      </c>
      <c r="K61" s="796">
        <f t="shared" ref="K61:K69" si="16">$L61+$G61</f>
        <v>1.35E-2</v>
      </c>
      <c r="L61" s="796">
        <v>0</v>
      </c>
      <c r="M61" s="796">
        <f t="shared" ref="M61:N69" si="17">L61-$G61</f>
        <v>-1.35E-2</v>
      </c>
      <c r="N61" s="796">
        <f t="shared" si="17"/>
        <v>-2.7E-2</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1407</v>
      </c>
      <c r="D62" s="695">
        <f t="shared" si="13"/>
        <v>1.4E-2</v>
      </c>
      <c r="E62" s="700"/>
      <c r="F62" s="697"/>
      <c r="G62" s="698">
        <f t="shared" ref="G62:G69" si="18">H62</f>
        <v>1.4E-2</v>
      </c>
      <c r="H62" s="699">
        <f t="shared" si="14"/>
        <v>1.4E-2</v>
      </c>
      <c r="I62" s="795">
        <v>0.26</v>
      </c>
      <c r="J62" s="796">
        <f t="shared" si="15"/>
        <v>2.8000000000000001E-2</v>
      </c>
      <c r="K62" s="796">
        <f t="shared" si="16"/>
        <v>1.4E-2</v>
      </c>
      <c r="L62" s="796">
        <v>0</v>
      </c>
      <c r="M62" s="796">
        <f t="shared" si="17"/>
        <v>-1.4E-2</v>
      </c>
      <c r="N62" s="796">
        <f t="shared" si="17"/>
        <v>-2.8000000000000001E-2</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f t="shared" si="13"/>
        <v>5.8999999999999999E-3</v>
      </c>
      <c r="E63" s="700"/>
      <c r="F63" s="697"/>
      <c r="G63" s="698">
        <f t="shared" si="18"/>
        <v>5.8999999999999999E-3</v>
      </c>
      <c r="H63" s="699">
        <f t="shared" si="14"/>
        <v>5.8999999999999999E-3</v>
      </c>
      <c r="I63" s="795">
        <v>0.11</v>
      </c>
      <c r="J63" s="796">
        <f t="shared" si="15"/>
        <v>1.18E-2</v>
      </c>
      <c r="K63" s="796">
        <f t="shared" si="16"/>
        <v>5.8999999999999999E-3</v>
      </c>
      <c r="L63" s="796">
        <v>0</v>
      </c>
      <c r="M63" s="796">
        <f t="shared" si="17"/>
        <v>-5.8999999999999999E-3</v>
      </c>
      <c r="N63" s="796">
        <f t="shared" si="17"/>
        <v>-1.18E-2</v>
      </c>
      <c r="AA63" s="674"/>
      <c r="AB63" s="674"/>
      <c r="AC63" s="674"/>
      <c r="AD63" s="674"/>
      <c r="AE63" s="674"/>
      <c r="AF63" s="674"/>
      <c r="AG63" s="674"/>
      <c r="AH63" s="674"/>
      <c r="AI63" s="674"/>
      <c r="AJ63" s="674"/>
      <c r="AK63" s="674"/>
    </row>
    <row r="64" spans="1:37" s="503" customFormat="1" ht="36.75">
      <c r="A64" s="689" t="s">
        <v>1887</v>
      </c>
      <c r="B64" s="702" t="s">
        <v>1888</v>
      </c>
      <c r="C64" s="568" t="s">
        <v>2765</v>
      </c>
      <c r="D64" s="695">
        <f t="shared" si="13"/>
        <v>0</v>
      </c>
      <c r="E64" s="700"/>
      <c r="F64" s="697"/>
      <c r="G64" s="698">
        <f t="shared" si="18"/>
        <v>2.7000000000000001E-3</v>
      </c>
      <c r="H64" s="699">
        <f t="shared" si="14"/>
        <v>2.7000000000000001E-3</v>
      </c>
      <c r="I64" s="795">
        <v>0.05</v>
      </c>
      <c r="J64" s="796">
        <f t="shared" si="15"/>
        <v>5.4000000000000003E-3</v>
      </c>
      <c r="K64" s="796">
        <f t="shared" si="16"/>
        <v>2.7000000000000001E-3</v>
      </c>
      <c r="L64" s="796">
        <v>0</v>
      </c>
      <c r="M64" s="796">
        <f t="shared" si="17"/>
        <v>-2.7000000000000001E-3</v>
      </c>
      <c r="N64" s="796">
        <f t="shared" si="17"/>
        <v>-5.4000000000000003E-3</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2766</v>
      </c>
      <c r="D65" s="695">
        <f t="shared" si="13"/>
        <v>-2.7000000000000001E-3</v>
      </c>
      <c r="E65" s="700"/>
      <c r="F65" s="697"/>
      <c r="G65" s="698">
        <f t="shared" si="18"/>
        <v>2.7000000000000001E-3</v>
      </c>
      <c r="H65" s="699">
        <f t="shared" si="14"/>
        <v>2.7000000000000001E-3</v>
      </c>
      <c r="I65" s="795">
        <v>0.05</v>
      </c>
      <c r="J65" s="796">
        <f t="shared" si="15"/>
        <v>5.4000000000000003E-3</v>
      </c>
      <c r="K65" s="796">
        <f t="shared" si="16"/>
        <v>2.7000000000000001E-3</v>
      </c>
      <c r="L65" s="796">
        <v>0</v>
      </c>
      <c r="M65" s="796">
        <f t="shared" si="17"/>
        <v>-2.7000000000000001E-3</v>
      </c>
      <c r="N65" s="796">
        <f t="shared" si="17"/>
        <v>-5.4000000000000003E-3</v>
      </c>
      <c r="AA65" s="674"/>
      <c r="AB65" s="674"/>
      <c r="AC65" s="674"/>
      <c r="AD65" s="674"/>
      <c r="AE65" s="674"/>
      <c r="AF65" s="674"/>
      <c r="AG65" s="674"/>
      <c r="AH65" s="674"/>
      <c r="AI65" s="674"/>
      <c r="AJ65" s="674"/>
      <c r="AK65" s="674"/>
    </row>
    <row r="66" spans="1:37" s="503" customFormat="1" ht="24">
      <c r="A66" s="689" t="s">
        <v>1890</v>
      </c>
      <c r="B66" s="703" t="s">
        <v>1891</v>
      </c>
      <c r="C66" s="568" t="s">
        <v>1407</v>
      </c>
      <c r="D66" s="695">
        <f t="shared" si="13"/>
        <v>3.2000000000000002E-3</v>
      </c>
      <c r="E66" s="700"/>
      <c r="F66" s="697"/>
      <c r="G66" s="698">
        <f t="shared" si="18"/>
        <v>3.2000000000000002E-3</v>
      </c>
      <c r="H66" s="699">
        <f t="shared" si="14"/>
        <v>3.2000000000000002E-3</v>
      </c>
      <c r="I66" s="795">
        <v>0.06</v>
      </c>
      <c r="J66" s="796">
        <f t="shared" si="15"/>
        <v>6.4000000000000003E-3</v>
      </c>
      <c r="K66" s="796">
        <f t="shared" si="16"/>
        <v>3.2000000000000002E-3</v>
      </c>
      <c r="L66" s="796">
        <v>0</v>
      </c>
      <c r="M66" s="796">
        <f t="shared" si="17"/>
        <v>-3.2000000000000002E-3</v>
      </c>
      <c r="N66" s="796">
        <f t="shared" si="17"/>
        <v>-6.4000000000000003E-3</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f t="shared" si="13"/>
        <v>3.2000000000000002E-3</v>
      </c>
      <c r="E67" s="700"/>
      <c r="F67" s="697"/>
      <c r="G67" s="698">
        <f t="shared" si="18"/>
        <v>3.2000000000000002E-3</v>
      </c>
      <c r="H67" s="699">
        <f t="shared" si="14"/>
        <v>3.2000000000000002E-3</v>
      </c>
      <c r="I67" s="795">
        <v>0.06</v>
      </c>
      <c r="J67" s="796">
        <f t="shared" si="15"/>
        <v>6.4000000000000003E-3</v>
      </c>
      <c r="K67" s="796">
        <f t="shared" si="16"/>
        <v>3.2000000000000002E-3</v>
      </c>
      <c r="L67" s="796">
        <v>0</v>
      </c>
      <c r="M67" s="796">
        <f t="shared" si="17"/>
        <v>-3.2000000000000002E-3</v>
      </c>
      <c r="N67" s="796">
        <f t="shared" si="17"/>
        <v>-6.4000000000000003E-3</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f t="shared" si="13"/>
        <v>9.5999999999999992E-3</v>
      </c>
      <c r="E68" s="700"/>
      <c r="F68" s="697"/>
      <c r="G68" s="698">
        <f t="shared" si="18"/>
        <v>4.7999999999999996E-3</v>
      </c>
      <c r="H68" s="699">
        <f t="shared" si="14"/>
        <v>4.7999999999999996E-3</v>
      </c>
      <c r="I68" s="795">
        <v>0.09</v>
      </c>
      <c r="J68" s="796">
        <f t="shared" si="15"/>
        <v>9.5999999999999992E-3</v>
      </c>
      <c r="K68" s="796">
        <f t="shared" si="16"/>
        <v>4.7999999999999996E-3</v>
      </c>
      <c r="L68" s="796">
        <v>0</v>
      </c>
      <c r="M68" s="796">
        <f t="shared" si="17"/>
        <v>-4.7999999999999996E-3</v>
      </c>
      <c r="N68" s="796">
        <f t="shared" si="17"/>
        <v>-9.5999999999999992E-3</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f t="shared" si="13"/>
        <v>3.7000000000000002E-3</v>
      </c>
      <c r="E69" s="708"/>
      <c r="F69" s="697"/>
      <c r="G69" s="698">
        <f t="shared" si="18"/>
        <v>3.7000000000000002E-3</v>
      </c>
      <c r="H69" s="699">
        <f t="shared" si="14"/>
        <v>3.7000000000000002E-3</v>
      </c>
      <c r="I69" s="797">
        <v>7.0000000000000007E-2</v>
      </c>
      <c r="J69" s="796">
        <f t="shared" si="15"/>
        <v>7.4000000000000003E-3</v>
      </c>
      <c r="K69" s="796">
        <f t="shared" si="16"/>
        <v>3.7000000000000002E-3</v>
      </c>
      <c r="L69" s="796">
        <v>0</v>
      </c>
      <c r="M69" s="796">
        <f t="shared" si="17"/>
        <v>-3.7000000000000002E-3</v>
      </c>
      <c r="N69" s="796">
        <f t="shared" si="17"/>
        <v>-7.4000000000000003E-3</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2" t="s">
        <v>1907</v>
      </c>
      <c r="B103" s="3462"/>
      <c r="C103" s="3462"/>
      <c r="D103" s="3462"/>
      <c r="E103" s="3462"/>
      <c r="F103" s="3462"/>
      <c r="G103" s="3462"/>
      <c r="H103" s="3462"/>
      <c r="I103" s="3462"/>
      <c r="J103" s="3462"/>
      <c r="K103" s="851"/>
      <c r="L103" s="851"/>
      <c r="M103" s="851"/>
      <c r="N103" s="851"/>
    </row>
    <row r="104" spans="1:14">
      <c r="A104" s="3468" t="s">
        <v>1908</v>
      </c>
      <c r="B104" s="3468" t="s">
        <v>1909</v>
      </c>
      <c r="C104" s="853" t="s">
        <v>1910</v>
      </c>
      <c r="D104" s="854"/>
      <c r="E104" s="854"/>
      <c r="F104" s="854"/>
      <c r="G104" s="854"/>
      <c r="H104" s="854"/>
      <c r="I104" s="854"/>
      <c r="J104" s="873"/>
      <c r="K104" s="874"/>
      <c r="L104" s="874"/>
      <c r="M104" s="874"/>
      <c r="N104" s="874"/>
    </row>
    <row r="105" spans="1:14">
      <c r="A105" s="3468"/>
      <c r="B105" s="3468"/>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69"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0"/>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0"/>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0"/>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0"/>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0"/>
      <c r="B111" s="852" t="s">
        <v>1778</v>
      </c>
      <c r="C111" s="855">
        <f>$I$3</f>
        <v>1</v>
      </c>
      <c r="D111" s="855">
        <f t="shared" ref="D111:N111" si="34">$I$3</f>
        <v>1</v>
      </c>
      <c r="E111" s="855">
        <f t="shared" si="34"/>
        <v>1</v>
      </c>
      <c r="F111" s="855">
        <f t="shared" si="34"/>
        <v>1</v>
      </c>
      <c r="G111" s="855">
        <f t="shared" si="34"/>
        <v>1</v>
      </c>
      <c r="H111" s="855">
        <f t="shared" si="34"/>
        <v>1</v>
      </c>
      <c r="I111" s="855">
        <f t="shared" si="34"/>
        <v>1</v>
      </c>
      <c r="J111" s="855">
        <f t="shared" si="34"/>
        <v>1</v>
      </c>
      <c r="K111" s="855">
        <f t="shared" si="34"/>
        <v>1</v>
      </c>
      <c r="L111" s="855">
        <f t="shared" si="34"/>
        <v>1</v>
      </c>
      <c r="M111" s="855">
        <f t="shared" si="34"/>
        <v>1</v>
      </c>
      <c r="N111" s="855">
        <f t="shared" si="34"/>
        <v>1</v>
      </c>
    </row>
    <row r="112" spans="1:14">
      <c r="A112" s="3471"/>
      <c r="B112" s="852">
        <v>6</v>
      </c>
      <c r="C112" s="840">
        <f>(-0.5556*(C111^2)-0.2719*C111+8944)*(10^(-4))</f>
        <v>0.89431725000000006</v>
      </c>
      <c r="D112" s="840">
        <f>(-0.5556*(D111^2)-0.2719*D111+8944)*(10^(-4))</f>
        <v>0.89431725000000006</v>
      </c>
      <c r="E112" s="840">
        <f>(-0.7912*(E111^2)-11.3794*E111+8482)*(10^(-4))</f>
        <v>0.84698294000000007</v>
      </c>
      <c r="F112" s="840">
        <f t="shared" ref="F112:I112" si="35">(-0.7912*(F111^2)-11.3794*F111+8482)*(10^(-4))</f>
        <v>0.84698294000000007</v>
      </c>
      <c r="G112" s="840">
        <f t="shared" si="35"/>
        <v>0.84698294000000007</v>
      </c>
      <c r="H112" s="840">
        <f t="shared" si="35"/>
        <v>0.84698294000000007</v>
      </c>
      <c r="I112" s="840">
        <f t="shared" si="35"/>
        <v>0.84698294000000007</v>
      </c>
      <c r="J112" s="840">
        <f>(-0.989*(J111^2)-63.78*J111+7771)*(10^(-4))</f>
        <v>0.77062310000000001</v>
      </c>
      <c r="K112" s="840">
        <f t="shared" ref="K112:N112" si="36">(-0.989*(K111^2)-63.78*K111+7771)*(10^(-4))</f>
        <v>0.77062310000000001</v>
      </c>
      <c r="L112" s="840">
        <f t="shared" si="36"/>
        <v>0.77062310000000001</v>
      </c>
      <c r="M112" s="840">
        <f t="shared" si="36"/>
        <v>0.77062310000000001</v>
      </c>
      <c r="N112" s="840">
        <f t="shared" si="36"/>
        <v>0.77062310000000001</v>
      </c>
    </row>
    <row r="113" spans="1:14">
      <c r="A113" s="3463" t="s">
        <v>1912</v>
      </c>
      <c r="B113" s="3463"/>
      <c r="C113" s="3463"/>
      <c r="D113" s="3463"/>
      <c r="E113" s="3463"/>
      <c r="F113" s="3463"/>
      <c r="G113" s="3463"/>
      <c r="H113" s="3463"/>
      <c r="I113" s="3463"/>
      <c r="J113" s="3463"/>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2.5</v>
      </c>
      <c r="C116" s="860" t="s">
        <v>1914</v>
      </c>
      <c r="D116" s="861">
        <f>SUMPRODUCT((A118:A122=F116)*(B117:M117=H116)*B118:M122)</f>
        <v>0.90600000000000003</v>
      </c>
      <c r="E116" s="513" t="s">
        <v>1738</v>
      </c>
      <c r="F116" s="862" t="str">
        <f>E2</f>
        <v>办公</v>
      </c>
      <c r="G116" s="513" t="s">
        <v>1739</v>
      </c>
      <c r="H116" s="862" t="str">
        <f>G2</f>
        <v>六级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0.96930000000000005</v>
      </c>
      <c r="C118" s="840">
        <f>B118</f>
        <v>0.96930000000000005</v>
      </c>
      <c r="D118" s="840">
        <f>ROUND(0.949-0.014*B116,4)</f>
        <v>0.91400000000000003</v>
      </c>
      <c r="E118" s="840">
        <f>D118</f>
        <v>0.91400000000000003</v>
      </c>
      <c r="F118" s="840">
        <f>E118</f>
        <v>0.91400000000000003</v>
      </c>
      <c r="G118" s="840">
        <f>F118</f>
        <v>0.91400000000000003</v>
      </c>
      <c r="H118" s="840">
        <f>G118</f>
        <v>0.91400000000000003</v>
      </c>
      <c r="I118" s="840">
        <f>ROUND(0.8486-0.018*B116,4)</f>
        <v>0.80359999999999998</v>
      </c>
      <c r="J118" s="840">
        <f t="shared" ref="J118:M122" si="37">I118</f>
        <v>0.80359999999999998</v>
      </c>
      <c r="K118" s="840">
        <f t="shared" si="37"/>
        <v>0.80359999999999998</v>
      </c>
      <c r="L118" s="840">
        <f t="shared" si="37"/>
        <v>0.80359999999999998</v>
      </c>
      <c r="M118" s="878">
        <f t="shared" si="37"/>
        <v>0.80359999999999998</v>
      </c>
      <c r="N118" s="857"/>
    </row>
    <row r="119" spans="1:14">
      <c r="A119" s="773" t="s">
        <v>1846</v>
      </c>
      <c r="B119" s="840">
        <f>ROUND(0.993-0.0112*B116,4)</f>
        <v>0.96499999999999997</v>
      </c>
      <c r="C119" s="840">
        <f>B119</f>
        <v>0.96499999999999997</v>
      </c>
      <c r="D119" s="840">
        <f>ROUND(0.9415-0.0142*B116,4)</f>
        <v>0.90600000000000003</v>
      </c>
      <c r="E119" s="840">
        <f t="shared" ref="E119:H120" si="38">D119</f>
        <v>0.90600000000000003</v>
      </c>
      <c r="F119" s="840">
        <f t="shared" si="38"/>
        <v>0.90600000000000003</v>
      </c>
      <c r="G119" s="840">
        <f t="shared" si="38"/>
        <v>0.90600000000000003</v>
      </c>
      <c r="H119" s="840">
        <f t="shared" si="38"/>
        <v>0.90600000000000003</v>
      </c>
      <c r="I119" s="840">
        <f>ROUND(0.838-0.0182*B116,4)</f>
        <v>0.79249999999999998</v>
      </c>
      <c r="J119" s="840">
        <f t="shared" si="37"/>
        <v>0.79249999999999998</v>
      </c>
      <c r="K119" s="840">
        <f t="shared" si="37"/>
        <v>0.79249999999999998</v>
      </c>
      <c r="L119" s="840">
        <f t="shared" si="37"/>
        <v>0.79249999999999998</v>
      </c>
      <c r="M119" s="878">
        <f t="shared" si="37"/>
        <v>0.79249999999999998</v>
      </c>
      <c r="N119" s="857"/>
    </row>
    <row r="120" spans="1:14">
      <c r="A120" s="773" t="s">
        <v>1847</v>
      </c>
      <c r="B120" s="840">
        <f>ROUND(0.9448-0.0115*B116,4)</f>
        <v>0.91610000000000003</v>
      </c>
      <c r="C120" s="840">
        <f>B120</f>
        <v>0.91610000000000003</v>
      </c>
      <c r="D120" s="840">
        <f>ROUND(0.937-0.0145*B116,4)</f>
        <v>0.90080000000000005</v>
      </c>
      <c r="E120" s="840">
        <f t="shared" si="38"/>
        <v>0.90080000000000005</v>
      </c>
      <c r="F120" s="840">
        <f t="shared" si="38"/>
        <v>0.90080000000000005</v>
      </c>
      <c r="G120" s="840">
        <f t="shared" si="38"/>
        <v>0.90080000000000005</v>
      </c>
      <c r="H120" s="840">
        <f t="shared" si="38"/>
        <v>0.90080000000000005</v>
      </c>
      <c r="I120" s="840">
        <f>ROUND(0.7965-0.0185*B116,4)</f>
        <v>0.75029999999999997</v>
      </c>
      <c r="J120" s="840">
        <f t="shared" si="37"/>
        <v>0.75029999999999997</v>
      </c>
      <c r="K120" s="840">
        <f t="shared" si="37"/>
        <v>0.75029999999999997</v>
      </c>
      <c r="L120" s="840">
        <f t="shared" si="37"/>
        <v>0.75029999999999997</v>
      </c>
      <c r="M120" s="878">
        <f t="shared" si="37"/>
        <v>0.75029999999999997</v>
      </c>
      <c r="N120" s="857"/>
    </row>
    <row r="121" spans="1:14">
      <c r="A121" s="867" t="s">
        <v>1848</v>
      </c>
      <c r="B121" s="868">
        <f>ROUND(0.7836-0.012*B116,4)</f>
        <v>0.75360000000000005</v>
      </c>
      <c r="C121" s="868">
        <f>B121</f>
        <v>0.75360000000000005</v>
      </c>
      <c r="D121" s="868">
        <f>ROUND(0.753-0.015*B116,4)</f>
        <v>0.71550000000000002</v>
      </c>
      <c r="E121" s="868">
        <f>D121</f>
        <v>0.71550000000000002</v>
      </c>
      <c r="F121" s="868">
        <f>E121</f>
        <v>0.71550000000000002</v>
      </c>
      <c r="G121" s="868">
        <f>ROUND(0.6612-0.018*B116,4)</f>
        <v>0.61619999999999997</v>
      </c>
      <c r="H121" s="868">
        <f>G121</f>
        <v>0.61619999999999997</v>
      </c>
      <c r="I121" s="868">
        <f>ROUND(0.5905-0.019*B116,4)</f>
        <v>0.54300000000000004</v>
      </c>
      <c r="J121" s="868">
        <f t="shared" si="37"/>
        <v>0.54300000000000004</v>
      </c>
      <c r="K121" s="868">
        <f t="shared" si="37"/>
        <v>0.54300000000000004</v>
      </c>
      <c r="L121" s="868">
        <f t="shared" si="37"/>
        <v>0.54300000000000004</v>
      </c>
      <c r="M121" s="879">
        <f t="shared" si="37"/>
        <v>0.54300000000000004</v>
      </c>
      <c r="N121" s="857"/>
    </row>
    <row r="122" spans="1:14">
      <c r="A122" s="869" t="s">
        <v>231</v>
      </c>
      <c r="B122" s="840">
        <f>ROUND(0.9404-0.0106*B116,4)</f>
        <v>0.91390000000000005</v>
      </c>
      <c r="C122" s="840">
        <f>B122</f>
        <v>0.91390000000000005</v>
      </c>
      <c r="D122" s="840">
        <f>ROUND(0.8955-0.0135*B116,4)</f>
        <v>0.86180000000000001</v>
      </c>
      <c r="E122" s="840">
        <f t="shared" ref="E122:H122" si="39">D122</f>
        <v>0.86180000000000001</v>
      </c>
      <c r="F122" s="840">
        <f t="shared" si="39"/>
        <v>0.86180000000000001</v>
      </c>
      <c r="G122" s="840">
        <f t="shared" si="39"/>
        <v>0.86180000000000001</v>
      </c>
      <c r="H122" s="840">
        <f t="shared" si="39"/>
        <v>0.86180000000000001</v>
      </c>
      <c r="I122" s="840">
        <f>ROUND(0.7632-0.0166*B116,4)</f>
        <v>0.72170000000000001</v>
      </c>
      <c r="J122" s="840">
        <f t="shared" si="37"/>
        <v>0.72170000000000001</v>
      </c>
      <c r="K122" s="840">
        <f t="shared" si="37"/>
        <v>0.72170000000000001</v>
      </c>
      <c r="L122" s="840">
        <f t="shared" si="37"/>
        <v>0.72170000000000001</v>
      </c>
      <c r="M122" s="878">
        <f t="shared" si="37"/>
        <v>0.72170000000000001</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7" t="s">
        <v>229</v>
      </c>
      <c r="B20" s="3483" t="s">
        <v>1934</v>
      </c>
      <c r="C20" s="462" t="s">
        <v>244</v>
      </c>
      <c r="D20" s="462"/>
      <c r="E20" s="463">
        <v>1</v>
      </c>
      <c r="F20" s="464" t="s">
        <v>1935</v>
      </c>
      <c r="G20" s="464"/>
    </row>
    <row r="21" spans="1:13" ht="19.5" customHeight="1">
      <c r="A21" s="3478"/>
      <c r="B21" s="3473"/>
      <c r="C21" s="465" t="s">
        <v>259</v>
      </c>
      <c r="D21" s="465"/>
      <c r="E21" s="466">
        <v>1</v>
      </c>
      <c r="F21" s="464" t="s">
        <v>1936</v>
      </c>
      <c r="G21" s="464"/>
    </row>
    <row r="22" spans="1:13" ht="19.5" customHeight="1">
      <c r="A22" s="3478"/>
      <c r="B22" s="3473"/>
      <c r="C22" s="465" t="s">
        <v>270</v>
      </c>
      <c r="D22" s="465"/>
      <c r="E22" s="466">
        <v>0.9</v>
      </c>
      <c r="F22" s="464" t="s">
        <v>1937</v>
      </c>
      <c r="G22" s="464"/>
    </row>
    <row r="23" spans="1:13" ht="19.5" customHeight="1">
      <c r="A23" s="3478"/>
      <c r="B23" s="3473"/>
      <c r="C23" s="465" t="s">
        <v>281</v>
      </c>
      <c r="D23" s="465"/>
      <c r="E23" s="466">
        <v>0.9</v>
      </c>
      <c r="F23" s="464" t="s">
        <v>1938</v>
      </c>
      <c r="G23" s="464"/>
    </row>
    <row r="24" spans="1:13" ht="19.5" customHeight="1">
      <c r="A24" s="3478"/>
      <c r="B24" s="3473"/>
      <c r="C24" s="465" t="s">
        <v>290</v>
      </c>
      <c r="D24" s="465"/>
      <c r="E24" s="466">
        <v>0.8</v>
      </c>
      <c r="F24" s="464" t="s">
        <v>1939</v>
      </c>
      <c r="G24" s="464"/>
    </row>
    <row r="25" spans="1:13" ht="19.5" customHeight="1">
      <c r="A25" s="3478"/>
      <c r="B25" s="3473"/>
      <c r="C25" s="465" t="s">
        <v>298</v>
      </c>
      <c r="D25" s="465"/>
      <c r="E25" s="466">
        <v>0.8</v>
      </c>
      <c r="F25" s="464"/>
      <c r="G25" s="464"/>
    </row>
    <row r="26" spans="1:13" ht="19.5" customHeight="1">
      <c r="A26" s="3478"/>
      <c r="B26" s="3473"/>
      <c r="C26" s="465" t="s">
        <v>306</v>
      </c>
      <c r="D26" s="465"/>
      <c r="E26" s="466">
        <v>0.43</v>
      </c>
      <c r="F26" s="464"/>
      <c r="G26" s="464"/>
    </row>
    <row r="27" spans="1:13" ht="19.5" customHeight="1">
      <c r="A27" s="3479"/>
      <c r="B27" s="3484"/>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0" t="s">
        <v>231</v>
      </c>
      <c r="B29" s="3485" t="s">
        <v>231</v>
      </c>
      <c r="C29" s="474" t="s">
        <v>246</v>
      </c>
      <c r="D29" s="475"/>
      <c r="E29" s="463">
        <v>1</v>
      </c>
      <c r="F29" s="464" t="s">
        <v>1942</v>
      </c>
      <c r="G29" s="464"/>
    </row>
    <row r="30" spans="1:13" ht="19.5" customHeight="1">
      <c r="A30" s="3481"/>
      <c r="B30" s="3476"/>
      <c r="C30" s="476" t="s">
        <v>260</v>
      </c>
      <c r="D30" s="477"/>
      <c r="E30" s="466">
        <v>1</v>
      </c>
      <c r="F30" s="464" t="s">
        <v>1943</v>
      </c>
      <c r="G30" s="464"/>
    </row>
    <row r="31" spans="1:13" ht="19.5" customHeight="1">
      <c r="A31" s="3481"/>
      <c r="B31" s="3476"/>
      <c r="C31" s="476" t="s">
        <v>271</v>
      </c>
      <c r="D31" s="477"/>
      <c r="E31" s="466">
        <v>0.8</v>
      </c>
      <c r="F31" s="464" t="s">
        <v>1944</v>
      </c>
      <c r="G31" s="464"/>
    </row>
    <row r="32" spans="1:13" ht="19.5" customHeight="1">
      <c r="A32" s="3481"/>
      <c r="B32" s="3476"/>
      <c r="C32" s="476" t="s">
        <v>282</v>
      </c>
      <c r="D32" s="477"/>
      <c r="E32" s="466">
        <v>0.8</v>
      </c>
      <c r="F32" s="464" t="s">
        <v>1945</v>
      </c>
      <c r="G32" s="464"/>
    </row>
    <row r="33" spans="1:7" ht="19.5" customHeight="1">
      <c r="A33" s="3481"/>
      <c r="B33" s="3476"/>
      <c r="C33" s="476" t="s">
        <v>291</v>
      </c>
      <c r="D33" s="477"/>
      <c r="E33" s="466">
        <v>0.8</v>
      </c>
      <c r="F33" s="464" t="s">
        <v>1946</v>
      </c>
      <c r="G33" s="464"/>
    </row>
    <row r="34" spans="1:7" ht="19.5" customHeight="1">
      <c r="A34" s="3481"/>
      <c r="B34" s="3476"/>
      <c r="C34" s="476" t="s">
        <v>299</v>
      </c>
      <c r="D34" s="477"/>
      <c r="E34" s="466">
        <v>0.7</v>
      </c>
      <c r="F34" s="464" t="s">
        <v>1947</v>
      </c>
      <c r="G34" s="464"/>
    </row>
    <row r="35" spans="1:7" ht="19.5" customHeight="1">
      <c r="A35" s="3481"/>
      <c r="B35" s="3476"/>
      <c r="C35" s="476" t="s">
        <v>307</v>
      </c>
      <c r="D35" s="477"/>
      <c r="E35" s="466">
        <v>0.8</v>
      </c>
      <c r="F35" s="464" t="s">
        <v>1948</v>
      </c>
      <c r="G35" s="464"/>
    </row>
    <row r="36" spans="1:7" ht="19.5" customHeight="1">
      <c r="A36" s="3481"/>
      <c r="B36" s="3476"/>
      <c r="C36" s="476" t="s">
        <v>314</v>
      </c>
      <c r="D36" s="477"/>
      <c r="E36" s="466">
        <v>0.6</v>
      </c>
      <c r="F36" s="464" t="s">
        <v>1949</v>
      </c>
      <c r="G36" s="464"/>
    </row>
    <row r="37" spans="1:7" ht="19.5" customHeight="1">
      <c r="A37" s="3481"/>
      <c r="B37" s="3476"/>
      <c r="C37" s="476" t="s">
        <v>320</v>
      </c>
      <c r="D37" s="477"/>
      <c r="E37" s="466">
        <v>0.2</v>
      </c>
      <c r="F37" s="464" t="s">
        <v>1950</v>
      </c>
      <c r="G37" s="464"/>
    </row>
    <row r="38" spans="1:7" ht="19.5" customHeight="1">
      <c r="A38" s="3481"/>
      <c r="B38" s="3476"/>
      <c r="C38" s="476" t="s">
        <v>326</v>
      </c>
      <c r="D38" s="477"/>
      <c r="E38" s="466">
        <v>0.2</v>
      </c>
      <c r="F38" s="464" t="s">
        <v>1951</v>
      </c>
      <c r="G38" s="464"/>
    </row>
    <row r="39" spans="1:7" ht="19.5" customHeight="1">
      <c r="A39" s="3481"/>
      <c r="B39" s="3474" t="s">
        <v>1952</v>
      </c>
      <c r="C39" s="476" t="s">
        <v>332</v>
      </c>
      <c r="D39" s="477"/>
      <c r="E39" s="466">
        <v>0.6</v>
      </c>
      <c r="F39" s="464" t="s">
        <v>1953</v>
      </c>
      <c r="G39" s="464"/>
    </row>
    <row r="40" spans="1:7" ht="19.5" customHeight="1">
      <c r="A40" s="3481"/>
      <c r="B40" s="3476"/>
      <c r="C40" s="476" t="s">
        <v>338</v>
      </c>
      <c r="D40" s="477"/>
      <c r="E40" s="466">
        <v>0.6</v>
      </c>
      <c r="F40" s="464" t="s">
        <v>1954</v>
      </c>
      <c r="G40" s="464"/>
    </row>
    <row r="41" spans="1:7" ht="19.5" customHeight="1">
      <c r="A41" s="3482"/>
      <c r="B41" s="3486"/>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7" t="s">
        <v>233</v>
      </c>
      <c r="B43" s="3485" t="s">
        <v>1957</v>
      </c>
      <c r="C43" s="474" t="s">
        <v>248</v>
      </c>
      <c r="D43" s="475"/>
      <c r="E43" s="463">
        <v>1</v>
      </c>
      <c r="F43" s="464" t="s">
        <v>1958</v>
      </c>
      <c r="G43" s="464"/>
    </row>
    <row r="44" spans="1:7" ht="19.5" customHeight="1">
      <c r="A44" s="3478"/>
      <c r="B44" s="3476"/>
      <c r="C44" s="476" t="s">
        <v>261</v>
      </c>
      <c r="D44" s="477"/>
      <c r="E44" s="466">
        <v>1</v>
      </c>
      <c r="F44" s="464" t="s">
        <v>1959</v>
      </c>
      <c r="G44" s="464"/>
    </row>
    <row r="45" spans="1:7" ht="19.5" customHeight="1">
      <c r="A45" s="3478"/>
      <c r="B45" s="3475"/>
      <c r="C45" s="476" t="s">
        <v>272</v>
      </c>
      <c r="D45" s="477"/>
      <c r="E45" s="466">
        <v>1.5</v>
      </c>
      <c r="F45" s="464" t="s">
        <v>1960</v>
      </c>
      <c r="G45" s="464"/>
    </row>
    <row r="46" spans="1:7" ht="19.5" customHeight="1">
      <c r="A46" s="3478"/>
      <c r="B46" s="465" t="s">
        <v>231</v>
      </c>
      <c r="C46" s="476" t="s">
        <v>283</v>
      </c>
      <c r="D46" s="477"/>
      <c r="E46" s="466">
        <v>2</v>
      </c>
      <c r="F46" s="464" t="s">
        <v>1961</v>
      </c>
      <c r="G46" s="464"/>
    </row>
    <row r="47" spans="1:7" ht="19.5" customHeight="1">
      <c r="A47" s="3478"/>
      <c r="B47" s="3474" t="s">
        <v>1962</v>
      </c>
      <c r="C47" s="476" t="s">
        <v>292</v>
      </c>
      <c r="D47" s="477"/>
      <c r="E47" s="466">
        <v>1</v>
      </c>
      <c r="F47" s="464" t="s">
        <v>1963</v>
      </c>
      <c r="G47" s="464"/>
    </row>
    <row r="48" spans="1:7" ht="19.5" customHeight="1">
      <c r="A48" s="3478"/>
      <c r="B48" s="3476"/>
      <c r="C48" s="476" t="s">
        <v>300</v>
      </c>
      <c r="D48" s="477"/>
      <c r="E48" s="466">
        <v>1</v>
      </c>
      <c r="F48" s="464" t="s">
        <v>1964</v>
      </c>
      <c r="G48" s="464"/>
    </row>
    <row r="49" spans="1:7" ht="19.5" customHeight="1">
      <c r="A49" s="3478"/>
      <c r="B49" s="3476"/>
      <c r="C49" s="476" t="s">
        <v>308</v>
      </c>
      <c r="D49" s="477"/>
      <c r="E49" s="466">
        <v>1</v>
      </c>
      <c r="F49" s="464" t="s">
        <v>1965</v>
      </c>
      <c r="G49" s="464"/>
    </row>
    <row r="50" spans="1:7" ht="19.5" customHeight="1">
      <c r="A50" s="3478"/>
      <c r="B50" s="3476"/>
      <c r="C50" s="476" t="s">
        <v>315</v>
      </c>
      <c r="D50" s="477"/>
      <c r="E50" s="466">
        <v>1</v>
      </c>
      <c r="F50" s="464" t="s">
        <v>1966</v>
      </c>
      <c r="G50" s="464"/>
    </row>
    <row r="51" spans="1:7" ht="19.5" customHeight="1">
      <c r="A51" s="3478"/>
      <c r="B51" s="3476"/>
      <c r="C51" s="476" t="s">
        <v>321</v>
      </c>
      <c r="D51" s="477"/>
      <c r="E51" s="466">
        <v>1</v>
      </c>
      <c r="F51" s="464" t="s">
        <v>1967</v>
      </c>
      <c r="G51" s="464"/>
    </row>
    <row r="52" spans="1:7" ht="19.5" customHeight="1">
      <c r="A52" s="3478"/>
      <c r="B52" s="3476"/>
      <c r="C52" s="476" t="s">
        <v>327</v>
      </c>
      <c r="D52" s="477"/>
      <c r="E52" s="466">
        <v>1</v>
      </c>
      <c r="F52" s="464" t="s">
        <v>1968</v>
      </c>
      <c r="G52" s="464"/>
    </row>
    <row r="53" spans="1:7" ht="19.5" customHeight="1">
      <c r="A53" s="3479"/>
      <c r="B53" s="3486"/>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74" t="s">
        <v>1980</v>
      </c>
      <c r="C75" s="454" t="s">
        <v>1981</v>
      </c>
      <c r="D75" s="454" t="s">
        <v>1982</v>
      </c>
      <c r="E75" s="465">
        <v>0.2</v>
      </c>
      <c r="F75" s="465">
        <v>25</v>
      </c>
    </row>
    <row r="76" spans="1:7" ht="24">
      <c r="A76" s="465">
        <v>2</v>
      </c>
      <c r="B76" s="3476"/>
      <c r="C76" s="454" t="s">
        <v>1983</v>
      </c>
      <c r="D76" s="454" t="s">
        <v>1984</v>
      </c>
      <c r="E76" s="465">
        <v>0.2</v>
      </c>
      <c r="F76" s="465">
        <v>25</v>
      </c>
    </row>
    <row r="77" spans="1:7" ht="24">
      <c r="A77" s="465">
        <v>3</v>
      </c>
      <c r="B77" s="3476"/>
      <c r="C77" s="454" t="s">
        <v>1985</v>
      </c>
      <c r="D77" s="454" t="s">
        <v>1986</v>
      </c>
      <c r="E77" s="465">
        <v>0.2</v>
      </c>
      <c r="F77" s="465">
        <v>25</v>
      </c>
    </row>
    <row r="78" spans="1:7" ht="13.5">
      <c r="A78" s="465">
        <v>4</v>
      </c>
      <c r="B78" s="3476"/>
      <c r="C78" s="454" t="s">
        <v>1987</v>
      </c>
      <c r="D78" s="454" t="s">
        <v>1988</v>
      </c>
      <c r="E78" s="465">
        <v>0.15</v>
      </c>
      <c r="F78" s="465">
        <v>20</v>
      </c>
    </row>
    <row r="79" spans="1:7" ht="24">
      <c r="A79" s="465">
        <v>5</v>
      </c>
      <c r="B79" s="3476"/>
      <c r="C79" s="454" t="s">
        <v>1989</v>
      </c>
      <c r="D79" s="454" t="s">
        <v>1990</v>
      </c>
      <c r="E79" s="465">
        <v>0.15</v>
      </c>
      <c r="F79" s="465">
        <v>20</v>
      </c>
    </row>
    <row r="80" spans="1:7" ht="24">
      <c r="A80" s="465">
        <v>6</v>
      </c>
      <c r="B80" s="3476"/>
      <c r="C80" s="454" t="s">
        <v>1991</v>
      </c>
      <c r="D80" s="454" t="s">
        <v>1992</v>
      </c>
      <c r="E80" s="465">
        <v>0.15</v>
      </c>
      <c r="F80" s="465">
        <v>20</v>
      </c>
    </row>
    <row r="81" spans="1:6" ht="24">
      <c r="A81" s="465">
        <v>7</v>
      </c>
      <c r="B81" s="3476"/>
      <c r="C81" s="454" t="s">
        <v>1993</v>
      </c>
      <c r="D81" s="454" t="s">
        <v>1994</v>
      </c>
      <c r="E81" s="465">
        <v>0.15</v>
      </c>
      <c r="F81" s="465">
        <v>20</v>
      </c>
    </row>
    <row r="82" spans="1:6" ht="24">
      <c r="A82" s="465">
        <v>8</v>
      </c>
      <c r="B82" s="3476"/>
      <c r="C82" s="454" t="s">
        <v>1995</v>
      </c>
      <c r="D82" s="454" t="s">
        <v>1996</v>
      </c>
      <c r="E82" s="465">
        <v>0.1</v>
      </c>
      <c r="F82" s="465">
        <v>15</v>
      </c>
    </row>
    <row r="83" spans="1:6" ht="24">
      <c r="A83" s="465">
        <v>9</v>
      </c>
      <c r="B83" s="3476"/>
      <c r="C83" s="454" t="s">
        <v>1997</v>
      </c>
      <c r="D83" s="454" t="s">
        <v>1998</v>
      </c>
      <c r="E83" s="465">
        <v>0.1</v>
      </c>
      <c r="F83" s="465">
        <v>15</v>
      </c>
    </row>
    <row r="84" spans="1:6" ht="24">
      <c r="A84" s="465">
        <v>10</v>
      </c>
      <c r="B84" s="3476"/>
      <c r="C84" s="454" t="s">
        <v>1999</v>
      </c>
      <c r="D84" s="454" t="s">
        <v>2000</v>
      </c>
      <c r="E84" s="465">
        <v>0.1</v>
      </c>
      <c r="F84" s="465">
        <v>15</v>
      </c>
    </row>
    <row r="85" spans="1:6" ht="24">
      <c r="A85" s="465">
        <v>11</v>
      </c>
      <c r="B85" s="3476"/>
      <c r="C85" s="454" t="s">
        <v>2001</v>
      </c>
      <c r="D85" s="454" t="s">
        <v>2002</v>
      </c>
      <c r="E85" s="465">
        <v>0.1</v>
      </c>
      <c r="F85" s="465">
        <v>15</v>
      </c>
    </row>
    <row r="86" spans="1:6" ht="24">
      <c r="A86" s="465">
        <v>12</v>
      </c>
      <c r="B86" s="3476"/>
      <c r="C86" s="454" t="s">
        <v>2003</v>
      </c>
      <c r="D86" s="454" t="s">
        <v>2004</v>
      </c>
      <c r="E86" s="465">
        <v>0.1</v>
      </c>
      <c r="F86" s="465">
        <v>15</v>
      </c>
    </row>
    <row r="87" spans="1:6" ht="13.5">
      <c r="A87" s="465">
        <v>13</v>
      </c>
      <c r="B87" s="3476"/>
      <c r="C87" s="454" t="s">
        <v>2005</v>
      </c>
      <c r="D87" s="454" t="s">
        <v>2006</v>
      </c>
      <c r="E87" s="465">
        <v>0.1</v>
      </c>
      <c r="F87" s="465">
        <v>15</v>
      </c>
    </row>
    <row r="88" spans="1:6" ht="13.5">
      <c r="A88" s="465">
        <v>14</v>
      </c>
      <c r="B88" s="3476"/>
      <c r="C88" s="454" t="s">
        <v>2007</v>
      </c>
      <c r="D88" s="454" t="s">
        <v>2008</v>
      </c>
      <c r="E88" s="465">
        <v>0.1</v>
      </c>
      <c r="F88" s="465">
        <v>15</v>
      </c>
    </row>
    <row r="89" spans="1:6" ht="13.5">
      <c r="A89" s="465">
        <v>15</v>
      </c>
      <c r="B89" s="3476"/>
      <c r="C89" s="454" t="s">
        <v>2009</v>
      </c>
      <c r="D89" s="454" t="s">
        <v>2010</v>
      </c>
      <c r="E89" s="465">
        <v>0.1</v>
      </c>
      <c r="F89" s="465">
        <v>15</v>
      </c>
    </row>
    <row r="90" spans="1:6" ht="24">
      <c r="A90" s="465">
        <v>16</v>
      </c>
      <c r="B90" s="3476"/>
      <c r="C90" s="454" t="s">
        <v>2011</v>
      </c>
      <c r="D90" s="454" t="s">
        <v>2012</v>
      </c>
      <c r="E90" s="465">
        <v>0.1</v>
      </c>
      <c r="F90" s="465">
        <v>15</v>
      </c>
    </row>
    <row r="91" spans="1:6" ht="24">
      <c r="A91" s="465">
        <v>17</v>
      </c>
      <c r="B91" s="3475"/>
      <c r="C91" s="454" t="s">
        <v>2013</v>
      </c>
      <c r="D91" s="454" t="s">
        <v>2014</v>
      </c>
      <c r="E91" s="465">
        <v>0.1</v>
      </c>
      <c r="F91" s="465">
        <v>15</v>
      </c>
    </row>
    <row r="92" spans="1:6" ht="13.5">
      <c r="A92" s="465">
        <v>18</v>
      </c>
      <c r="B92" s="3474" t="s">
        <v>2015</v>
      </c>
      <c r="C92" s="454" t="s">
        <v>2016</v>
      </c>
      <c r="D92" s="454" t="s">
        <v>2017</v>
      </c>
      <c r="E92" s="465">
        <v>0.2</v>
      </c>
      <c r="F92" s="465">
        <v>25</v>
      </c>
    </row>
    <row r="93" spans="1:6" ht="24">
      <c r="A93" s="465">
        <v>19</v>
      </c>
      <c r="B93" s="3476"/>
      <c r="C93" s="454" t="s">
        <v>2018</v>
      </c>
      <c r="D93" s="454" t="s">
        <v>2019</v>
      </c>
      <c r="E93" s="465">
        <v>0.2</v>
      </c>
      <c r="F93" s="465">
        <v>25</v>
      </c>
    </row>
    <row r="94" spans="1:6" ht="13.5">
      <c r="A94" s="465">
        <v>20</v>
      </c>
      <c r="B94" s="3476"/>
      <c r="C94" s="454" t="s">
        <v>2020</v>
      </c>
      <c r="D94" s="454" t="s">
        <v>2021</v>
      </c>
      <c r="E94" s="465">
        <v>0.15</v>
      </c>
      <c r="F94" s="465">
        <v>20</v>
      </c>
    </row>
    <row r="95" spans="1:6" ht="13.5">
      <c r="A95" s="465">
        <v>21</v>
      </c>
      <c r="B95" s="3476"/>
      <c r="C95" s="454" t="s">
        <v>2022</v>
      </c>
      <c r="D95" s="454" t="s">
        <v>2023</v>
      </c>
      <c r="E95" s="465">
        <v>0.15</v>
      </c>
      <c r="F95" s="465">
        <v>20</v>
      </c>
    </row>
    <row r="96" spans="1:6" ht="13.5">
      <c r="A96" s="465">
        <v>22</v>
      </c>
      <c r="B96" s="3476"/>
      <c r="C96" s="454" t="s">
        <v>2024</v>
      </c>
      <c r="D96" s="454" t="s">
        <v>2025</v>
      </c>
      <c r="E96" s="465">
        <v>0.15</v>
      </c>
      <c r="F96" s="465">
        <v>20</v>
      </c>
    </row>
    <row r="97" spans="1:6" ht="36">
      <c r="A97" s="465">
        <v>23</v>
      </c>
      <c r="B97" s="3476"/>
      <c r="C97" s="454" t="s">
        <v>2026</v>
      </c>
      <c r="D97" s="454" t="s">
        <v>2027</v>
      </c>
      <c r="E97" s="465">
        <v>0.15</v>
      </c>
      <c r="F97" s="465">
        <v>20</v>
      </c>
    </row>
    <row r="98" spans="1:6" ht="13.5">
      <c r="A98" s="465">
        <v>24</v>
      </c>
      <c r="B98" s="3476"/>
      <c r="C98" s="454" t="s">
        <v>2028</v>
      </c>
      <c r="D98" s="454" t="s">
        <v>2029</v>
      </c>
      <c r="E98" s="465">
        <v>0.1</v>
      </c>
      <c r="F98" s="465">
        <v>15</v>
      </c>
    </row>
    <row r="99" spans="1:6" ht="13.5">
      <c r="A99" s="465">
        <v>25</v>
      </c>
      <c r="B99" s="3476"/>
      <c r="C99" s="454" t="s">
        <v>2030</v>
      </c>
      <c r="D99" s="454" t="s">
        <v>2031</v>
      </c>
      <c r="E99" s="465">
        <v>0.1</v>
      </c>
      <c r="F99" s="465">
        <v>15</v>
      </c>
    </row>
    <row r="100" spans="1:6" ht="24">
      <c r="A100" s="465">
        <v>26</v>
      </c>
      <c r="B100" s="3476"/>
      <c r="C100" s="454" t="s">
        <v>2032</v>
      </c>
      <c r="D100" s="454" t="s">
        <v>2033</v>
      </c>
      <c r="E100" s="465">
        <v>0.1</v>
      </c>
      <c r="F100" s="465">
        <v>15</v>
      </c>
    </row>
    <row r="101" spans="1:6" ht="24">
      <c r="A101" s="465">
        <v>27</v>
      </c>
      <c r="B101" s="3476"/>
      <c r="C101" s="454" t="s">
        <v>2034</v>
      </c>
      <c r="D101" s="454" t="s">
        <v>2035</v>
      </c>
      <c r="E101" s="465">
        <v>0.1</v>
      </c>
      <c r="F101" s="465">
        <v>15</v>
      </c>
    </row>
    <row r="102" spans="1:6" ht="13.5">
      <c r="A102" s="465">
        <v>28</v>
      </c>
      <c r="B102" s="3476"/>
      <c r="C102" s="454" t="s">
        <v>2036</v>
      </c>
      <c r="D102" s="454" t="s">
        <v>2037</v>
      </c>
      <c r="E102" s="465">
        <v>0.1</v>
      </c>
      <c r="F102" s="465">
        <v>15</v>
      </c>
    </row>
    <row r="103" spans="1:6" ht="13.5">
      <c r="A103" s="465">
        <v>29</v>
      </c>
      <c r="B103" s="3476"/>
      <c r="C103" s="454" t="s">
        <v>2038</v>
      </c>
      <c r="D103" s="454" t="s">
        <v>2039</v>
      </c>
      <c r="E103" s="465">
        <v>0.1</v>
      </c>
      <c r="F103" s="465">
        <v>15</v>
      </c>
    </row>
    <row r="104" spans="1:6" ht="13.5">
      <c r="A104" s="465">
        <v>30</v>
      </c>
      <c r="B104" s="3476"/>
      <c r="C104" s="454" t="s">
        <v>2040</v>
      </c>
      <c r="D104" s="454" t="s">
        <v>2041</v>
      </c>
      <c r="E104" s="465">
        <v>0.1</v>
      </c>
      <c r="F104" s="465">
        <v>15</v>
      </c>
    </row>
    <row r="105" spans="1:6" ht="24">
      <c r="A105" s="465">
        <v>31</v>
      </c>
      <c r="B105" s="3476"/>
      <c r="C105" s="454" t="s">
        <v>2042</v>
      </c>
      <c r="D105" s="454" t="s">
        <v>2043</v>
      </c>
      <c r="E105" s="465">
        <v>0.1</v>
      </c>
      <c r="F105" s="465">
        <v>15</v>
      </c>
    </row>
    <row r="106" spans="1:6" ht="24">
      <c r="A106" s="465">
        <v>32</v>
      </c>
      <c r="B106" s="3476"/>
      <c r="C106" s="454" t="s">
        <v>2044</v>
      </c>
      <c r="D106" s="454" t="s">
        <v>2045</v>
      </c>
      <c r="E106" s="465">
        <v>0.1</v>
      </c>
      <c r="F106" s="465">
        <v>15</v>
      </c>
    </row>
    <row r="107" spans="1:6" ht="24">
      <c r="A107" s="465">
        <v>33</v>
      </c>
      <c r="B107" s="3476"/>
      <c r="C107" s="454" t="s">
        <v>2046</v>
      </c>
      <c r="D107" s="454" t="s">
        <v>2047</v>
      </c>
      <c r="E107" s="465">
        <v>0.1</v>
      </c>
      <c r="F107" s="465">
        <v>15</v>
      </c>
    </row>
    <row r="108" spans="1:6" ht="24">
      <c r="A108" s="465">
        <v>34</v>
      </c>
      <c r="B108" s="3475"/>
      <c r="C108" s="454" t="s">
        <v>2048</v>
      </c>
      <c r="D108" s="454" t="s">
        <v>2049</v>
      </c>
      <c r="E108" s="465">
        <v>0.1</v>
      </c>
      <c r="F108" s="465">
        <v>15</v>
      </c>
    </row>
    <row r="109" spans="1:6" ht="24">
      <c r="A109" s="465">
        <v>35</v>
      </c>
      <c r="B109" s="3474" t="s">
        <v>2050</v>
      </c>
      <c r="C109" s="465" t="s">
        <v>2051</v>
      </c>
      <c r="D109" s="454" t="s">
        <v>2052</v>
      </c>
      <c r="E109" s="465">
        <v>0.15</v>
      </c>
      <c r="F109" s="465">
        <v>20</v>
      </c>
    </row>
    <row r="110" spans="1:6" ht="13.5">
      <c r="A110" s="465">
        <v>36</v>
      </c>
      <c r="B110" s="3476"/>
      <c r="C110" s="465" t="s">
        <v>2053</v>
      </c>
      <c r="D110" s="454" t="s">
        <v>2054</v>
      </c>
      <c r="E110" s="465">
        <v>0.15</v>
      </c>
      <c r="F110" s="465">
        <v>20</v>
      </c>
    </row>
    <row r="111" spans="1:6" ht="13.5">
      <c r="A111" s="465">
        <v>37</v>
      </c>
      <c r="B111" s="3476"/>
      <c r="C111" s="465" t="s">
        <v>2055</v>
      </c>
      <c r="D111" s="454" t="s">
        <v>2056</v>
      </c>
      <c r="E111" s="465">
        <v>0.15</v>
      </c>
      <c r="F111" s="465">
        <v>20</v>
      </c>
    </row>
    <row r="112" spans="1:6" ht="13.5">
      <c r="A112" s="465">
        <v>38</v>
      </c>
      <c r="B112" s="3476"/>
      <c r="C112" s="465" t="s">
        <v>2057</v>
      </c>
      <c r="D112" s="454" t="s">
        <v>2058</v>
      </c>
      <c r="E112" s="465">
        <v>0.1</v>
      </c>
      <c r="F112" s="465">
        <v>15</v>
      </c>
    </row>
    <row r="113" spans="1:6" ht="24">
      <c r="A113" s="465">
        <v>39</v>
      </c>
      <c r="B113" s="3476"/>
      <c r="C113" s="465" t="s">
        <v>2059</v>
      </c>
      <c r="D113" s="454" t="s">
        <v>2060</v>
      </c>
      <c r="E113" s="465">
        <v>0.1</v>
      </c>
      <c r="F113" s="465">
        <v>15</v>
      </c>
    </row>
    <row r="114" spans="1:6" ht="24">
      <c r="A114" s="465">
        <v>40</v>
      </c>
      <c r="B114" s="3475"/>
      <c r="C114" s="465" t="s">
        <v>2061</v>
      </c>
      <c r="D114" s="454" t="s">
        <v>2062</v>
      </c>
      <c r="E114" s="465">
        <v>0.1</v>
      </c>
      <c r="F114" s="465">
        <v>15</v>
      </c>
    </row>
    <row r="115" spans="1:6" ht="13.5">
      <c r="A115" s="465">
        <v>41</v>
      </c>
      <c r="B115" s="3473" t="s">
        <v>2063</v>
      </c>
      <c r="C115" s="465" t="s">
        <v>2064</v>
      </c>
      <c r="D115" s="454" t="s">
        <v>2065</v>
      </c>
      <c r="E115" s="465">
        <v>0.1</v>
      </c>
      <c r="F115" s="465">
        <v>15</v>
      </c>
    </row>
    <row r="116" spans="1:6" ht="13.5">
      <c r="A116" s="465">
        <v>42</v>
      </c>
      <c r="B116" s="3473"/>
      <c r="C116" s="465" t="s">
        <v>2066</v>
      </c>
      <c r="D116" s="454" t="s">
        <v>2067</v>
      </c>
      <c r="E116" s="465">
        <v>0.1</v>
      </c>
      <c r="F116" s="465">
        <v>15</v>
      </c>
    </row>
    <row r="117" spans="1:6" ht="24">
      <c r="A117" s="465">
        <v>43</v>
      </c>
      <c r="B117" s="3473"/>
      <c r="C117" s="465" t="s">
        <v>2068</v>
      </c>
      <c r="D117" s="454" t="s">
        <v>2069</v>
      </c>
      <c r="E117" s="465">
        <v>0.1</v>
      </c>
      <c r="F117" s="465">
        <v>15</v>
      </c>
    </row>
    <row r="118" spans="1:6" ht="13.5">
      <c r="A118" s="465">
        <v>44</v>
      </c>
      <c r="B118" s="3474" t="s">
        <v>2070</v>
      </c>
      <c r="C118" s="465" t="s">
        <v>2071</v>
      </c>
      <c r="D118" s="454" t="s">
        <v>2072</v>
      </c>
      <c r="E118" s="465">
        <v>0.1</v>
      </c>
      <c r="F118" s="465">
        <v>15</v>
      </c>
    </row>
    <row r="119" spans="1:6" ht="24">
      <c r="A119" s="465">
        <v>45</v>
      </c>
      <c r="B119" s="3475"/>
      <c r="C119" s="454" t="s">
        <v>2073</v>
      </c>
      <c r="D119" s="454" t="s">
        <v>2074</v>
      </c>
      <c r="E119" s="465">
        <v>0.1</v>
      </c>
      <c r="F119" s="465">
        <v>15</v>
      </c>
    </row>
    <row r="120" spans="1:6" ht="24">
      <c r="A120" s="465">
        <v>46</v>
      </c>
      <c r="B120" s="3474" t="s">
        <v>2075</v>
      </c>
      <c r="C120" s="465" t="s">
        <v>2076</v>
      </c>
      <c r="D120" s="454" t="s">
        <v>2077</v>
      </c>
      <c r="E120" s="465">
        <v>0.1</v>
      </c>
      <c r="F120" s="465">
        <v>15</v>
      </c>
    </row>
    <row r="121" spans="1:6" ht="24">
      <c r="A121" s="465">
        <v>47</v>
      </c>
      <c r="B121" s="3475"/>
      <c r="C121" s="465" t="s">
        <v>2078</v>
      </c>
      <c r="D121" s="454" t="s">
        <v>2079</v>
      </c>
      <c r="E121" s="465">
        <v>0.1</v>
      </c>
      <c r="F121" s="465">
        <v>15</v>
      </c>
    </row>
    <row r="122" spans="1:6" ht="13.5">
      <c r="A122" s="465">
        <v>48</v>
      </c>
      <c r="B122" s="3474" t="s">
        <v>2080</v>
      </c>
      <c r="C122" s="465" t="s">
        <v>2081</v>
      </c>
      <c r="D122" s="454" t="s">
        <v>2082</v>
      </c>
      <c r="E122" s="465">
        <v>0.1</v>
      </c>
      <c r="F122" s="465">
        <v>15</v>
      </c>
    </row>
    <row r="123" spans="1:6" ht="13.5">
      <c r="A123" s="465">
        <v>49</v>
      </c>
      <c r="B123" s="3475"/>
      <c r="C123" s="465" t="s">
        <v>2083</v>
      </c>
      <c r="D123" s="454" t="s">
        <v>2084</v>
      </c>
      <c r="E123" s="465">
        <v>0.1</v>
      </c>
      <c r="F123" s="465">
        <v>15</v>
      </c>
    </row>
    <row r="124" spans="1:6" ht="24">
      <c r="A124" s="465">
        <v>50</v>
      </c>
      <c r="B124" s="3473" t="s">
        <v>2085</v>
      </c>
      <c r="C124" s="465" t="s">
        <v>2086</v>
      </c>
      <c r="D124" s="454" t="s">
        <v>2087</v>
      </c>
      <c r="E124" s="465">
        <v>0.1</v>
      </c>
      <c r="F124" s="465">
        <v>15</v>
      </c>
    </row>
    <row r="125" spans="1:6" ht="24">
      <c r="A125" s="465">
        <v>51</v>
      </c>
      <c r="B125" s="3473"/>
      <c r="C125" s="465" t="s">
        <v>2088</v>
      </c>
      <c r="D125" s="454" t="s">
        <v>2089</v>
      </c>
      <c r="E125" s="465">
        <v>0.1</v>
      </c>
      <c r="F125" s="465">
        <v>15</v>
      </c>
    </row>
    <row r="126" spans="1:6" ht="24">
      <c r="A126" s="465">
        <v>52</v>
      </c>
      <c r="B126" s="3473" t="s">
        <v>2090</v>
      </c>
      <c r="C126" s="465" t="s">
        <v>2091</v>
      </c>
      <c r="D126" s="454" t="s">
        <v>2092</v>
      </c>
      <c r="E126" s="465">
        <v>0.1</v>
      </c>
      <c r="F126" s="465">
        <v>15</v>
      </c>
    </row>
    <row r="127" spans="1:6" ht="24">
      <c r="A127" s="465">
        <v>53</v>
      </c>
      <c r="B127" s="3473"/>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73" t="s">
        <v>2098</v>
      </c>
      <c r="C129" s="465" t="s">
        <v>2099</v>
      </c>
      <c r="D129" s="454" t="s">
        <v>2100</v>
      </c>
      <c r="E129" s="465">
        <v>0.1</v>
      </c>
      <c r="F129" s="465">
        <v>15</v>
      </c>
    </row>
    <row r="130" spans="1:6" ht="13.5">
      <c r="A130" s="465">
        <v>56</v>
      </c>
      <c r="B130" s="3473"/>
      <c r="C130" s="465" t="s">
        <v>2101</v>
      </c>
      <c r="D130" s="454" t="s">
        <v>2102</v>
      </c>
      <c r="E130" s="465">
        <v>0.1</v>
      </c>
      <c r="F130" s="465">
        <v>15</v>
      </c>
    </row>
    <row r="131" spans="1:6" ht="24">
      <c r="A131" s="465">
        <v>57</v>
      </c>
      <c r="B131" s="3473"/>
      <c r="C131" s="465" t="s">
        <v>2103</v>
      </c>
      <c r="D131" s="454" t="s">
        <v>2104</v>
      </c>
      <c r="E131" s="465">
        <v>0.1</v>
      </c>
      <c r="F131" s="465">
        <v>15</v>
      </c>
    </row>
    <row r="132" spans="1:6" ht="24">
      <c r="A132" s="465">
        <v>58</v>
      </c>
      <c r="B132" s="3473" t="s">
        <v>2105</v>
      </c>
      <c r="C132" s="465" t="s">
        <v>2106</v>
      </c>
      <c r="D132" s="454" t="s">
        <v>2107</v>
      </c>
      <c r="E132" s="465">
        <v>0.1</v>
      </c>
      <c r="F132" s="465">
        <v>15</v>
      </c>
    </row>
    <row r="133" spans="1:6" ht="13.5">
      <c r="A133" s="465">
        <v>59</v>
      </c>
      <c r="B133" s="3473"/>
      <c r="C133" s="465" t="s">
        <v>2108</v>
      </c>
      <c r="D133" s="454" t="s">
        <v>2109</v>
      </c>
      <c r="E133" s="465">
        <v>0.1</v>
      </c>
      <c r="F133" s="465">
        <v>15</v>
      </c>
    </row>
    <row r="134" spans="1:6" ht="13.5">
      <c r="A134" s="465">
        <v>60</v>
      </c>
      <c r="B134" s="3474" t="s">
        <v>2110</v>
      </c>
      <c r="C134" s="465" t="s">
        <v>2111</v>
      </c>
      <c r="D134" s="454" t="s">
        <v>2112</v>
      </c>
      <c r="E134" s="465">
        <v>0.1</v>
      </c>
      <c r="F134" s="465">
        <v>15</v>
      </c>
    </row>
    <row r="135" spans="1:6" ht="13.5">
      <c r="A135" s="465">
        <v>61</v>
      </c>
      <c r="B135" s="3475"/>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73" t="s">
        <v>2118</v>
      </c>
      <c r="C137" s="465" t="s">
        <v>2119</v>
      </c>
      <c r="D137" s="454" t="s">
        <v>2120</v>
      </c>
      <c r="E137" s="465">
        <v>0.1</v>
      </c>
      <c r="F137" s="465">
        <v>15</v>
      </c>
    </row>
    <row r="138" spans="1:6" ht="13.5">
      <c r="A138" s="465">
        <v>64</v>
      </c>
      <c r="B138" s="3473"/>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27670</v>
      </c>
      <c r="C2" s="345" t="s">
        <v>1470</v>
      </c>
      <c r="D2" s="342"/>
      <c r="E2" s="342"/>
      <c r="F2" s="342"/>
      <c r="G2" s="342"/>
    </row>
    <row r="3" spans="1:7" s="331" customFormat="1" ht="18" customHeight="1">
      <c r="A3" s="346" t="s">
        <v>2140</v>
      </c>
      <c r="B3" s="347">
        <f ca="1">ROUND(B2*10000/'数据-汇总表'!E3,0)</f>
        <v>832456</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7</v>
      </c>
      <c r="D10" s="369">
        <f>'数据-汇总表'!E6</f>
        <v>332.39</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7</v>
      </c>
      <c r="D19" s="354">
        <f>'数据-汇总表'!E3</f>
        <v>332.39</v>
      </c>
      <c r="E19" s="353">
        <f>'数据-取费表'!B31</f>
        <v>200</v>
      </c>
      <c r="F19" s="375"/>
      <c r="G19" s="365" t="s">
        <v>2162</v>
      </c>
    </row>
    <row r="20" spans="1:7" s="333" customFormat="1" ht="13.5" customHeight="1">
      <c r="A20" s="374" t="s">
        <v>1787</v>
      </c>
      <c r="B20" s="352" t="s">
        <v>2163</v>
      </c>
      <c r="C20" s="376">
        <f>ROUND((C5+C19)*F20,0)</f>
        <v>619</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967</v>
      </c>
      <c r="D22" s="379">
        <f ca="1">C26</f>
        <v>5.0000000000000001E-4</v>
      </c>
      <c r="E22" s="380" t="s">
        <v>2166</v>
      </c>
      <c r="F22" s="383">
        <f ca="1">'数据-取费表'!B40</f>
        <v>3.0599999999999999E-2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953</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14</v>
      </c>
      <c r="D25" s="386"/>
      <c r="E25" s="389"/>
      <c r="F25" s="387"/>
      <c r="G25" s="390" t="s">
        <v>2174</v>
      </c>
    </row>
    <row r="26" spans="1:7" s="333" customFormat="1">
      <c r="A26" s="384" t="s">
        <v>1082</v>
      </c>
      <c r="B26" s="357" t="s">
        <v>2175</v>
      </c>
      <c r="C26" s="386">
        <f ca="1">ROUND(IF('数据-取费表'!B22&lt;=1,F21*F22*'数据-取费表'!B23/2,F21*(POWER((1+F22),'数据-取费表'!B23/2)-1)),4)</f>
        <v>5.0000000000000001E-4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27501</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168</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150</v>
      </c>
      <c r="D34" s="359"/>
      <c r="E34" s="362"/>
      <c r="F34" s="405">
        <f>IF('数据-取费表'!B24=0,1,'数据-取费表'!N16)</f>
        <v>1</v>
      </c>
      <c r="G34" s="361" t="s">
        <v>2189</v>
      </c>
    </row>
    <row r="35" spans="1:7" ht="13.5" customHeight="1">
      <c r="A35" s="384" t="s">
        <v>1040</v>
      </c>
      <c r="B35" s="357" t="s">
        <v>2190</v>
      </c>
      <c r="C35" s="362">
        <f>ROUND(C34*F35,0)</f>
        <v>8</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7</v>
      </c>
      <c r="D37" s="359">
        <f>'数据-汇总表'!E3</f>
        <v>332.39</v>
      </c>
      <c r="E37" s="397">
        <f>'数据-取费表'!B35</f>
        <v>200</v>
      </c>
      <c r="F37" s="406"/>
      <c r="G37" s="408" t="s">
        <v>2195</v>
      </c>
    </row>
    <row r="38" spans="1:7" ht="13.5" customHeight="1">
      <c r="A38" s="384" t="s">
        <v>1104</v>
      </c>
      <c r="B38" s="357" t="s">
        <v>2153</v>
      </c>
      <c r="C38" s="362">
        <f>ROUND(C34*F38,0)</f>
        <v>3</v>
      </c>
      <c r="D38" s="362"/>
      <c r="E38" s="362"/>
      <c r="F38" s="406">
        <f>'数据-取费表'!B36</f>
        <v>0.02</v>
      </c>
      <c r="G38" s="361" t="s">
        <v>2191</v>
      </c>
    </row>
    <row r="39" spans="1:7" s="333" customFormat="1" ht="13.5" customHeight="1">
      <c r="A39" s="374" t="s">
        <v>1751</v>
      </c>
      <c r="B39" s="352" t="s">
        <v>2163</v>
      </c>
      <c r="C39" s="376">
        <f>ROUND(C33*F20,0)</f>
        <v>5</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4</v>
      </c>
      <c r="D41" s="379">
        <f ca="1">C44</f>
        <v>5.0000000000000001E-4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4</v>
      </c>
      <c r="D42" s="386"/>
      <c r="E42" s="386"/>
      <c r="F42" s="387"/>
      <c r="G42" s="3350" t="s">
        <v>2199</v>
      </c>
    </row>
    <row r="43" spans="1:7" ht="13.5" customHeight="1">
      <c r="A43" s="384" t="s">
        <v>1040</v>
      </c>
      <c r="B43" s="357" t="s">
        <v>2171</v>
      </c>
      <c r="C43" s="386">
        <f ca="1">ROUND(IF('数据-取费表'!B22&lt;=1,C39*F22*'数据-取费表'!B21/2,C39*(POWER((1+F22),'数据-取费表'!B21/2)-1)),0)</f>
        <v>0</v>
      </c>
      <c r="D43" s="386"/>
      <c r="E43" s="386"/>
      <c r="F43" s="387"/>
      <c r="G43" s="3351"/>
    </row>
    <row r="44" spans="1:7" ht="13.5" customHeight="1">
      <c r="A44" s="384" t="s">
        <v>1042</v>
      </c>
      <c r="B44" s="357" t="s">
        <v>2173</v>
      </c>
      <c r="C44" s="386">
        <f ca="1">ROUND(IF('数据-取费表'!B22&lt;=1,C40*F22*'数据-取费表'!B21/2,C40*(POWER((1+F22),'数据-取费表'!B21/2)-1)),4)</f>
        <v>5.0000000000000001E-4</v>
      </c>
      <c r="D44" s="386"/>
      <c r="E44" s="386"/>
      <c r="F44" s="387"/>
      <c r="G44" s="3352"/>
    </row>
    <row r="45" spans="1:7" s="333" customFormat="1" ht="13.5" customHeight="1">
      <c r="A45" s="374" t="s">
        <v>1801</v>
      </c>
      <c r="B45" s="392" t="s">
        <v>2176</v>
      </c>
      <c r="C45" s="393">
        <f>C46</f>
        <v>26</v>
      </c>
      <c r="D45" s="379">
        <f>C47</f>
        <v>3.0000000000000001E-3</v>
      </c>
      <c r="E45" s="380" t="s">
        <v>2197</v>
      </c>
      <c r="F45" s="394"/>
      <c r="G45" s="395" t="s">
        <v>2200</v>
      </c>
    </row>
    <row r="46" spans="1:7" s="333" customFormat="1" ht="13.5" customHeight="1">
      <c r="A46" s="384" t="s">
        <v>1038</v>
      </c>
      <c r="B46" s="396" t="s">
        <v>2201</v>
      </c>
      <c r="C46" s="397">
        <f>ROUND((C33+C39)*F27,0)</f>
        <v>26</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220</v>
      </c>
      <c r="D49" s="376"/>
      <c r="E49" s="376"/>
      <c r="F49" s="411"/>
      <c r="G49" s="381" t="s">
        <v>2206</v>
      </c>
    </row>
    <row r="50" spans="1:7" s="335" customFormat="1" ht="24">
      <c r="A50" s="374" t="s">
        <v>2207</v>
      </c>
      <c r="B50" s="352" t="s">
        <v>2208</v>
      </c>
      <c r="C50" s="376"/>
      <c r="D50" s="376"/>
      <c r="E50" s="376"/>
      <c r="F50" s="411">
        <f>IF('数据-取费表'!B24=0,'数据-取费表'!N16,1)</f>
        <v>0.77</v>
      </c>
      <c r="G50" s="395" t="s">
        <v>2209</v>
      </c>
    </row>
    <row r="51" spans="1:7" ht="16.5" customHeight="1">
      <c r="A51" s="374" t="s">
        <v>2210</v>
      </c>
      <c r="B51" s="352" t="s">
        <v>2211</v>
      </c>
      <c r="C51" s="376">
        <f ca="1">ROUND(C49*F50,0)</f>
        <v>169</v>
      </c>
      <c r="D51" s="376"/>
      <c r="E51" s="376"/>
      <c r="F51" s="411"/>
      <c r="G51" s="381" t="s">
        <v>2212</v>
      </c>
    </row>
    <row r="52" spans="1:7" s="332" customFormat="1" ht="15.75">
      <c r="A52" s="412" t="s">
        <v>2213</v>
      </c>
      <c r="B52" s="413"/>
      <c r="C52" s="414">
        <f ca="1">C31+C51</f>
        <v>27670</v>
      </c>
      <c r="D52" s="413"/>
      <c r="E52" s="413"/>
      <c r="F52" s="413"/>
      <c r="G52" s="415"/>
    </row>
    <row r="55" spans="1:7" ht="15">
      <c r="B55" s="416" t="s">
        <v>2214</v>
      </c>
      <c r="C55" s="417"/>
    </row>
    <row r="56" spans="1:7">
      <c r="B56" s="418" t="s">
        <v>2215</v>
      </c>
      <c r="C56" s="419">
        <f ca="1">ROUND(C51/C52,3)</f>
        <v>6.0000000000000001E-3</v>
      </c>
    </row>
    <row r="57" spans="1:7">
      <c r="B57" s="418" t="s">
        <v>2216</v>
      </c>
      <c r="C57" s="420">
        <f ca="1">1-C56</f>
        <v>0.99399999999999999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75">
      <c r="A4" s="3118"/>
      <c r="B4" s="3178" t="s">
        <v>95</v>
      </c>
      <c r="C4" s="3178"/>
      <c r="D4" s="3178"/>
      <c r="E4" s="3118"/>
    </row>
    <row r="5" spans="1:5" ht="15.75">
      <c r="B5" s="3170" t="s">
        <v>96</v>
      </c>
      <c r="C5" s="3119" t="s">
        <v>97</v>
      </c>
      <c r="D5" s="3120">
        <f ca="1">结果表!H101</f>
        <v>640</v>
      </c>
    </row>
    <row r="6" spans="1:5" ht="15.75">
      <c r="B6" s="3170"/>
      <c r="C6" s="3119" t="s">
        <v>98</v>
      </c>
      <c r="D6" s="3120" t="str">
        <f ca="1">NUMBERSTRING(INT(D5*10000),2)&amp;"元整"</f>
        <v>陆佰肆拾万元整</v>
      </c>
    </row>
    <row r="7" spans="1:5" ht="15.75">
      <c r="B7" s="3171"/>
      <c r="C7" s="3121" t="s">
        <v>99</v>
      </c>
      <c r="D7" s="3122">
        <f ca="1">结果表!H102</f>
        <v>19251</v>
      </c>
    </row>
    <row r="8" spans="1:5" ht="15.75">
      <c r="B8" s="3172" t="str">
        <f>结果表!E103</f>
        <v>2.估价师知悉的法定优先受偿款</v>
      </c>
      <c r="C8" s="3123" t="s">
        <v>100</v>
      </c>
      <c r="D8" s="3122">
        <f>结果表!H103</f>
        <v>0</v>
      </c>
    </row>
    <row r="9" spans="1:5" ht="15.75">
      <c r="B9" s="3174"/>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69" t="str">
        <f>结果表!E107</f>
        <v>3.房地产抵押价值</v>
      </c>
      <c r="C13" s="3127" t="s">
        <v>97</v>
      </c>
      <c r="D13" s="3128">
        <f ca="1">结果表!H107</f>
        <v>640</v>
      </c>
    </row>
    <row r="14" spans="1:5" ht="15.75">
      <c r="B14" s="3170"/>
      <c r="C14" s="3119" t="s">
        <v>98</v>
      </c>
      <c r="D14" s="3120" t="str">
        <f ca="1">NUMBERSTRING(INT(D13*10000),2)&amp;"元整"</f>
        <v>陆佰肆拾万元整</v>
      </c>
    </row>
    <row r="15" spans="1:5" ht="15">
      <c r="B15" s="3171"/>
      <c r="C15" s="3121" t="s">
        <v>99</v>
      </c>
      <c r="D15" s="3129">
        <f ca="1">结果表!H108</f>
        <v>19251</v>
      </c>
    </row>
    <row r="16" spans="1:5" ht="15">
      <c r="B16" s="3172" t="str">
        <f>结果表!E109</f>
        <v>——</v>
      </c>
      <c r="C16" s="3127" t="s">
        <v>97</v>
      </c>
      <c r="D16" s="3130" t="str">
        <f>结果表!H109</f>
        <v>——</v>
      </c>
    </row>
    <row r="17" spans="1:5" ht="15.75">
      <c r="B17" s="3173"/>
      <c r="C17" s="3119" t="s">
        <v>98</v>
      </c>
      <c r="D17" s="3120" t="e">
        <f>NUMBERSTRING(INT(D16*10000),2)&amp;"元整"</f>
        <v>#VALUE!</v>
      </c>
    </row>
    <row r="18" spans="1:5" ht="15">
      <c r="B18" s="3174"/>
      <c r="C18" s="3121" t="s">
        <v>99</v>
      </c>
      <c r="D18" s="3129" t="str">
        <f>结果表!H110</f>
        <v>——</v>
      </c>
    </row>
    <row r="19" spans="1:5" ht="15.75">
      <c r="B19" s="3169" t="str">
        <f>结果表!E111</f>
        <v>——</v>
      </c>
      <c r="C19" s="3127" t="s">
        <v>97</v>
      </c>
      <c r="D19" s="3122" t="str">
        <f>结果表!H111</f>
        <v>——</v>
      </c>
    </row>
    <row r="20" spans="1:5" ht="15.75">
      <c r="B20" s="3170"/>
      <c r="C20" s="3119" t="s">
        <v>98</v>
      </c>
      <c r="D20" s="3120" t="e">
        <f>NUMBERSTRING(INT(D19*10000),2)&amp;"元整"</f>
        <v>#VALUE!</v>
      </c>
    </row>
    <row r="21" spans="1:5" ht="15">
      <c r="B21" s="3175"/>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7" t="s">
        <v>2217</v>
      </c>
      <c r="B1" s="3487"/>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8" t="s">
        <v>2600</v>
      </c>
      <c r="B1" s="3488"/>
      <c r="C1" s="3488"/>
      <c r="D1" s="3488"/>
      <c r="E1" s="3488"/>
      <c r="F1" s="3489"/>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45945</v>
      </c>
      <c r="B1" s="226" t="s">
        <v>2605</v>
      </c>
      <c r="C1" s="227"/>
      <c r="D1" s="227"/>
      <c r="E1" s="227"/>
      <c r="F1" s="227"/>
      <c r="G1" s="227"/>
      <c r="H1" s="227"/>
      <c r="I1" s="227"/>
      <c r="J1" s="245"/>
      <c r="K1" s="227" t="s">
        <v>2606</v>
      </c>
      <c r="L1" s="227"/>
      <c r="M1" s="227"/>
      <c r="N1" s="227"/>
      <c r="O1" s="227"/>
      <c r="P1" s="227"/>
      <c r="Q1" s="245"/>
      <c r="R1" s="3490" t="s">
        <v>2607</v>
      </c>
      <c r="S1" s="3491"/>
      <c r="T1" s="3491"/>
      <c r="U1" s="3491"/>
      <c r="V1" s="3491"/>
      <c r="W1" s="3491"/>
      <c r="X1" s="245"/>
      <c r="Y1" s="3490" t="s">
        <v>2608</v>
      </c>
      <c r="Z1" s="3491"/>
      <c r="AA1" s="3491"/>
      <c r="AB1" s="3491"/>
      <c r="AC1" s="3491"/>
      <c r="AD1" s="3491"/>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0" t="s">
        <v>2607</v>
      </c>
      <c r="S29" s="3491"/>
      <c r="T29" s="3491"/>
      <c r="U29" s="3491"/>
      <c r="V29" s="3491"/>
      <c r="W29" s="3491"/>
      <c r="X29" s="245"/>
      <c r="Y29" s="3490" t="s">
        <v>2608</v>
      </c>
      <c r="Z29" s="3491"/>
      <c r="AA29" s="3491"/>
      <c r="AB29" s="3491"/>
      <c r="AC29" s="3491"/>
      <c r="AD29" s="3491"/>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0" t="s">
        <v>2634</v>
      </c>
      <c r="C1" s="3500"/>
      <c r="D1" s="3500"/>
      <c r="E1" s="3500"/>
      <c r="F1" s="3500"/>
      <c r="G1" s="3491" t="s">
        <v>2635</v>
      </c>
      <c r="H1" s="3491"/>
      <c r="I1" s="3491"/>
      <c r="J1" s="3491"/>
      <c r="K1" s="3491"/>
      <c r="L1" s="3491"/>
      <c r="N1" s="3491" t="s">
        <v>2606</v>
      </c>
      <c r="O1" s="3491"/>
      <c r="P1" s="3491"/>
      <c r="Q1" s="3491"/>
      <c r="S1" s="3491" t="s">
        <v>2636</v>
      </c>
      <c r="T1" s="3491"/>
      <c r="U1" s="3491"/>
      <c r="V1" s="3491"/>
      <c r="X1" s="3490" t="s">
        <v>2607</v>
      </c>
      <c r="Y1" s="3491"/>
      <c r="Z1" s="3491"/>
      <c r="AA1" s="3491"/>
      <c r="AB1" s="3491"/>
      <c r="AD1" s="3490" t="s">
        <v>2608</v>
      </c>
      <c r="AE1" s="3491"/>
      <c r="AF1" s="3491"/>
      <c r="AG1" s="3491"/>
      <c r="AH1" s="3491"/>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49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3"/>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49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3"/>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4"/>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3"/>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4"/>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2">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3"/>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4"/>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495">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6"/>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496"/>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497"/>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2">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4"/>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2">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3">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4">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2">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3">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3">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4">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2">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3">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4">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4">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2">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3">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3">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4">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2">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3">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3">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4">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2">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3">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3">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4">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2">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3">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3">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4">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2">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3">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3">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4">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2">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3">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3">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4">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1" t="s">
        <v>2725</v>
      </c>
      <c r="B1" s="3501"/>
      <c r="C1" s="3501"/>
      <c r="D1" s="3501"/>
      <c r="E1" s="3501"/>
      <c r="F1" s="3501"/>
      <c r="G1" s="350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3"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4"/>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45945</v>
      </c>
      <c r="D1" s="6" t="s">
        <v>2733</v>
      </c>
      <c r="E1" s="8">
        <f>'数据-取费表'!B22</f>
        <v>1.5</v>
      </c>
      <c r="F1" s="6" t="s">
        <v>2734</v>
      </c>
      <c r="G1" s="9">
        <f ca="1">IF(OR(C1&lt;C27,E1&lt;=1),INDIRECT("d"&amp;$K$1)/100,ROUND((D5+(E1-C5)*(D7-D5)/(C7-C5))/100,4))</f>
        <v>3.0599999999999999E-2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 sqref="F1"/>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6" t="str">
        <f>IF(项目基本情况!B9="房地产市场价值","估价结果一览表","结果表-2")</f>
        <v>结果表-2</v>
      </c>
      <c r="B1" s="3186"/>
      <c r="C1" s="3186"/>
      <c r="D1" s="3186"/>
      <c r="E1" s="3186"/>
      <c r="F1" s="3186"/>
      <c r="G1" s="3186"/>
      <c r="H1" s="3186"/>
      <c r="I1" s="3186"/>
    </row>
    <row r="2" spans="1:9" ht="30" customHeight="1">
      <c r="A2" s="3187" t="s">
        <v>107</v>
      </c>
      <c r="B2" s="3187" t="s">
        <v>108</v>
      </c>
      <c r="C2" s="3187" t="s">
        <v>109</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2"/>
      <c r="B3" s="3182"/>
      <c r="C3" s="3182"/>
      <c r="D3" s="3113" t="s">
        <v>110</v>
      </c>
      <c r="E3" s="3113" t="s">
        <v>111</v>
      </c>
      <c r="F3" s="3113" t="s">
        <v>110</v>
      </c>
      <c r="G3" s="3113" t="s">
        <v>111</v>
      </c>
      <c r="H3" s="3113" t="s">
        <v>110</v>
      </c>
      <c r="I3" s="3113" t="s">
        <v>111</v>
      </c>
    </row>
    <row r="4" spans="1:9" ht="15">
      <c r="A4" s="3114" t="str">
        <f>项目基本情况!S2</f>
        <v>北京市房地产</v>
      </c>
      <c r="B4" s="3113">
        <f>项目基本情况!C17</f>
        <v>332.39</v>
      </c>
      <c r="C4" s="3113">
        <f>项目基本情况!C18</f>
        <v>0</v>
      </c>
      <c r="D4" s="3113" t="e">
        <f ca="1">结果表!D118</f>
        <v>#REF!</v>
      </c>
      <c r="E4" s="3113" t="e">
        <f ca="1">结果表!E118</f>
        <v>#REF!</v>
      </c>
      <c r="F4" s="3113" t="e">
        <f ca="1">结果表!F118</f>
        <v>#REF!</v>
      </c>
      <c r="G4" s="3113" t="e">
        <f ca="1">结果表!G118</f>
        <v>#REF!</v>
      </c>
      <c r="H4" s="3113">
        <f ca="1">结果表!H118</f>
        <v>640</v>
      </c>
      <c r="I4" s="3113">
        <f ca="1">结果表!I118</f>
        <v>19251</v>
      </c>
    </row>
    <row r="5" spans="1:9" ht="30" customHeight="1">
      <c r="A5" s="3182" t="s">
        <v>112</v>
      </c>
      <c r="B5" s="3182"/>
      <c r="C5" s="3182"/>
      <c r="D5" s="3182" t="e">
        <f ca="1">结果表!D119</f>
        <v>#REF!</v>
      </c>
      <c r="E5" s="3182"/>
      <c r="F5" s="3182" t="e">
        <f ca="1">结果表!F119</f>
        <v>#REF!</v>
      </c>
      <c r="G5" s="3182"/>
      <c r="H5" s="3182" t="str">
        <f ca="1">结果表!H119</f>
        <v>陆佰肆拾万元整</v>
      </c>
      <c r="I5" s="3182"/>
    </row>
    <row r="6" spans="1:9" ht="15.75">
      <c r="A6" s="3179" t="str">
        <f>结果表!A120</f>
        <v>估价师知悉的法定优先受偿款</v>
      </c>
      <c r="B6" s="3179"/>
      <c r="C6" s="3179"/>
      <c r="D6" s="3179">
        <f>结果表!D120</f>
        <v>0</v>
      </c>
      <c r="E6" s="3179"/>
      <c r="F6" s="3179"/>
      <c r="G6" s="3179"/>
      <c r="H6" s="3179"/>
      <c r="I6" s="3179"/>
    </row>
    <row r="7" spans="1:9" ht="15">
      <c r="A7" s="3182" t="s">
        <v>112</v>
      </c>
      <c r="B7" s="3182"/>
      <c r="C7" s="3182"/>
      <c r="D7" s="3183" t="str">
        <f>结果表!D121</f>
        <v>零元整</v>
      </c>
      <c r="E7" s="3184"/>
      <c r="F7" s="3184"/>
      <c r="G7" s="3184"/>
      <c r="H7" s="3184"/>
      <c r="I7" s="3185"/>
    </row>
    <row r="8" spans="1:9" ht="15.75">
      <c r="A8" s="3179" t="str">
        <f>结果表!A122</f>
        <v>房地产抵押价值</v>
      </c>
      <c r="B8" s="3179"/>
      <c r="C8" s="3179"/>
      <c r="D8" s="3179">
        <f ca="1">结果表!D122</f>
        <v>640</v>
      </c>
      <c r="E8" s="3179"/>
      <c r="F8" s="3179"/>
      <c r="G8" s="3179"/>
      <c r="H8" s="3179"/>
      <c r="I8" s="3179"/>
    </row>
    <row r="9" spans="1:9" ht="15">
      <c r="A9" s="3182" t="s">
        <v>112</v>
      </c>
      <c r="B9" s="3182"/>
      <c r="C9" s="3182"/>
      <c r="D9" s="3182" t="str">
        <f ca="1">结果表!D123</f>
        <v>陆佰肆拾万元整</v>
      </c>
      <c r="E9" s="3182"/>
      <c r="F9" s="3182"/>
      <c r="G9" s="3182"/>
      <c r="H9" s="3182"/>
      <c r="I9" s="3182"/>
    </row>
    <row r="10" spans="1:9" ht="15.75">
      <c r="A10" s="3179" t="str">
        <f>结果表!A124</f>
        <v/>
      </c>
      <c r="B10" s="3179"/>
      <c r="C10" s="3179"/>
      <c r="D10" s="3179" t="str">
        <f>结果表!D124</f>
        <v>——</v>
      </c>
      <c r="E10" s="3179"/>
      <c r="F10" s="3179"/>
      <c r="G10" s="3179"/>
      <c r="H10" s="3179"/>
      <c r="I10" s="3179"/>
    </row>
    <row r="11" spans="1:9" ht="15">
      <c r="A11" s="3182" t="s">
        <v>112</v>
      </c>
      <c r="B11" s="3182"/>
      <c r="C11" s="3182"/>
      <c r="D11" s="3182" t="e">
        <f>结果表!D125</f>
        <v>#VALUE!</v>
      </c>
      <c r="E11" s="3182"/>
      <c r="F11" s="3182"/>
      <c r="G11" s="3182"/>
      <c r="H11" s="3182"/>
      <c r="I11" s="3182"/>
    </row>
    <row r="12" spans="1:9" ht="15.75">
      <c r="A12" s="3179" t="str">
        <f>结果表!A126</f>
        <v/>
      </c>
      <c r="B12" s="3179"/>
      <c r="C12" s="3179"/>
      <c r="D12" s="3179" t="str">
        <f>结果表!D126</f>
        <v>——</v>
      </c>
      <c r="E12" s="3179"/>
      <c r="F12" s="3179"/>
      <c r="G12" s="3179"/>
      <c r="H12" s="3179"/>
      <c r="I12" s="3179"/>
    </row>
    <row r="13" spans="1:9" ht="15">
      <c r="A13" s="3180" t="s">
        <v>112</v>
      </c>
      <c r="B13" s="3180"/>
      <c r="C13" s="3180"/>
      <c r="D13" s="3180" t="e">
        <f>结果表!D127</f>
        <v>#VALUE!</v>
      </c>
      <c r="E13" s="3180"/>
      <c r="F13" s="3180"/>
      <c r="G13" s="3180"/>
      <c r="H13" s="3180"/>
      <c r="I13" s="3180"/>
    </row>
    <row r="14" spans="1:9">
      <c r="A14" s="3181" t="s">
        <v>113</v>
      </c>
      <c r="B14" s="3181"/>
      <c r="C14" s="3181"/>
      <c r="D14" s="3181"/>
      <c r="E14" s="3181"/>
      <c r="F14" s="3181"/>
      <c r="G14" s="3181"/>
      <c r="H14" s="3181"/>
      <c r="I14" s="3181"/>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4" t="s">
        <v>114</v>
      </c>
      <c r="B1" s="3194"/>
      <c r="C1" s="3194"/>
      <c r="D1" s="3194"/>
    </row>
    <row r="2" spans="1:4" ht="18">
      <c r="A2" s="3195" t="s">
        <v>115</v>
      </c>
      <c r="B2" s="3195"/>
      <c r="C2" s="3195"/>
      <c r="D2" s="3195"/>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5" t="s">
        <v>121</v>
      </c>
      <c r="B6" s="3195"/>
      <c r="C6" s="3195"/>
      <c r="D6" s="3195"/>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6"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9" t="str">
        <f>IF(项目基本情况!B8="抵押","4.本次评估估价师所知悉的法定优先受偿款情况说明如下：","——")</f>
        <v>4.本次评估估价师所知悉的法定优先受偿款情况说明如下：</v>
      </c>
      <c r="B14" s="3192"/>
      <c r="C14" s="3192"/>
      <c r="D14" s="3192"/>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3" t="s">
        <v>127</v>
      </c>
      <c r="B16" s="3193"/>
      <c r="C16" s="3193"/>
      <c r="D16" s="3193"/>
    </row>
    <row r="17" spans="1:4" ht="144" customHeight="1">
      <c r="A17" s="3193" t="s">
        <v>128</v>
      </c>
      <c r="B17" s="3193"/>
      <c r="C17" s="3193"/>
      <c r="D17" s="3193"/>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129</v>
      </c>
      <c r="B22" s="3191"/>
      <c r="C22" s="3191"/>
      <c r="D22" s="3191"/>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199" t="s">
        <v>146</v>
      </c>
      <c r="B15" s="3204" t="s">
        <v>147</v>
      </c>
      <c r="C15" s="3198"/>
    </row>
    <row r="16" spans="1:7" ht="13.5">
      <c r="A16" s="3200"/>
      <c r="B16" s="3204" t="s">
        <v>148</v>
      </c>
      <c r="C16" s="3198"/>
    </row>
    <row r="17" spans="1:3" ht="13.5">
      <c r="A17" s="3200"/>
      <c r="B17" s="3203" t="s">
        <v>149</v>
      </c>
      <c r="C17" s="3092" t="s">
        <v>146</v>
      </c>
    </row>
    <row r="18" spans="1:3" ht="13.5">
      <c r="A18" s="3200"/>
      <c r="B18" s="3203"/>
      <c r="C18" s="3092" t="s">
        <v>150</v>
      </c>
    </row>
    <row r="19" spans="1:3" ht="13.5">
      <c r="A19" s="3200"/>
      <c r="B19" s="3203"/>
      <c r="C19" s="3092" t="s">
        <v>151</v>
      </c>
    </row>
    <row r="20" spans="1:3" ht="13.5">
      <c r="A20" s="3201"/>
      <c r="B20" s="3197" t="s">
        <v>152</v>
      </c>
      <c r="C20" s="3198"/>
    </row>
    <row r="21" spans="1:3" ht="13.5">
      <c r="A21" s="3093" t="s">
        <v>153</v>
      </c>
      <c r="B21" s="3094"/>
      <c r="C21" s="3095"/>
    </row>
    <row r="22" spans="1:3" ht="13.5">
      <c r="A22" s="3202" t="s">
        <v>154</v>
      </c>
      <c r="B22" s="3197" t="s">
        <v>155</v>
      </c>
      <c r="C22" s="3198"/>
    </row>
    <row r="23" spans="1:3" ht="13.5">
      <c r="A23" s="3202"/>
      <c r="B23" s="3197" t="s">
        <v>156</v>
      </c>
      <c r="C23" s="3198"/>
    </row>
    <row r="24" spans="1:3" ht="13.5">
      <c r="A24" s="3202"/>
      <c r="B24" s="3197" t="s">
        <v>157</v>
      </c>
      <c r="C24" s="3198"/>
    </row>
    <row r="25" spans="1:3" ht="13.5">
      <c r="A25" s="3202"/>
      <c r="B25" s="3203" t="s">
        <v>158</v>
      </c>
      <c r="C25" s="3092" t="s">
        <v>159</v>
      </c>
    </row>
    <row r="26" spans="1:3" ht="13.5">
      <c r="A26" s="3202"/>
      <c r="B26" s="3203"/>
      <c r="C26" s="3092" t="s">
        <v>160</v>
      </c>
    </row>
    <row r="27" spans="1:3" ht="13.5">
      <c r="A27" s="3202"/>
      <c r="B27" s="3203"/>
      <c r="C27" s="3092" t="s">
        <v>161</v>
      </c>
    </row>
    <row r="28" spans="1:3" ht="13.5">
      <c r="A28" s="3202"/>
      <c r="B28" s="3203"/>
      <c r="C28" s="3092" t="s">
        <v>162</v>
      </c>
    </row>
    <row r="29" spans="1:3" ht="13.5">
      <c r="A29" s="3202"/>
      <c r="B29" s="3203"/>
      <c r="C29" s="3092" t="s">
        <v>163</v>
      </c>
    </row>
    <row r="30" spans="1:3" ht="13.5">
      <c r="A30" s="3202"/>
      <c r="B30" s="3203"/>
      <c r="C30" s="3092" t="s">
        <v>164</v>
      </c>
    </row>
    <row r="31" spans="1:3" ht="13.5">
      <c r="A31" s="3202"/>
      <c r="B31" s="3203"/>
      <c r="C31" s="3092" t="s">
        <v>165</v>
      </c>
    </row>
    <row r="32" spans="1:3" ht="13.5">
      <c r="A32" s="3202"/>
      <c r="B32" s="3203"/>
      <c r="C32" s="3092" t="s">
        <v>166</v>
      </c>
    </row>
    <row r="33" spans="1:3" ht="13.5">
      <c r="A33" s="3202"/>
      <c r="B33" s="3203"/>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45945</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5" t="s">
        <v>197</v>
      </c>
      <c r="B17" s="3205"/>
      <c r="C17" s="3205"/>
      <c r="D17" s="3205"/>
      <c r="E17" s="3205"/>
      <c r="F17" s="3205"/>
      <c r="G17" s="3205"/>
      <c r="H17" s="3205"/>
    </row>
    <row r="18" spans="1:8" ht="24" customHeight="1">
      <c r="A18" s="3206" t="s">
        <v>198</v>
      </c>
      <c r="B18" s="3206"/>
      <c r="C18" s="3206"/>
      <c r="D18" s="3062"/>
      <c r="E18" s="3207" t="s">
        <v>199</v>
      </c>
      <c r="F18" s="3206"/>
      <c r="G18" s="3206"/>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2025-10-15T08:09:11Z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