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747"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收益法" sheetId="15" r:id="rId21"/>
    <sheet name="比较法-商业" sheetId="33" state="hidden" r:id="rId22"/>
    <sheet name="成本法 (元)" sheetId="69" state="hidden"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信息" sheetId="80" r:id="rId40"/>
    <sheet name="Sheet1"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1" i="40" l="1"/>
  <c r="G41" i="40"/>
  <c r="E41" i="40"/>
  <c r="D3" i="40" l="1"/>
  <c r="C6" i="69"/>
  <c r="I34" i="40"/>
  <c r="G34" i="40"/>
  <c r="E34" i="40"/>
  <c r="C11" i="40"/>
  <c r="E66" i="40"/>
  <c r="F66" i="40"/>
  <c r="G66" i="40"/>
  <c r="H66" i="40" s="1"/>
  <c r="D66" i="40"/>
  <c r="I7" i="40"/>
  <c r="G7" i="40"/>
  <c r="E7" i="40"/>
  <c r="I5" i="40"/>
  <c r="G5" i="40"/>
  <c r="E5" i="40"/>
  <c r="C34" i="40"/>
  <c r="E109" i="40"/>
  <c r="F109" i="40" s="1"/>
  <c r="D109" i="40"/>
  <c r="U19" i="1" l="1"/>
  <c r="G22" i="4"/>
  <c r="G23" i="4" s="1"/>
  <c r="E104" i="33" l="1"/>
  <c r="F104" i="33"/>
  <c r="G104" i="33"/>
  <c r="D104" i="33"/>
  <c r="J52" i="67" l="1"/>
  <c r="G89" i="33"/>
  <c r="E89" i="33"/>
  <c r="F89" i="33"/>
  <c r="D89" i="33"/>
  <c r="O19" i="1"/>
  <c r="N19" i="1"/>
  <c r="N17" i="1"/>
  <c r="J49" i="67" s="1"/>
  <c r="N18" i="1" l="1"/>
  <c r="N20" i="1" s="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G16" i="3" s="1"/>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s="1"/>
  <c r="H11" i="40"/>
  <c r="AB11" i="40" s="1"/>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J11" i="40"/>
  <c r="AC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K11" i="1"/>
  <c r="M11" i="1" s="1"/>
  <c r="O11" i="1" s="1"/>
  <c r="B9" i="1"/>
  <c r="K7" i="1"/>
  <c r="M7" i="1" s="1"/>
  <c r="O7" i="1" s="1"/>
  <c r="P7" i="1" s="1"/>
  <c r="G1" i="67"/>
  <c r="U32" i="40"/>
  <c r="AB31" i="40"/>
  <c r="S37" i="40"/>
  <c r="W34"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E2" i="69"/>
  <c r="F42" i="67"/>
  <c r="F6" i="73"/>
  <c r="D4" i="73"/>
  <c r="F37" i="67"/>
  <c r="F9" i="67"/>
  <c r="B8" i="76"/>
  <c r="E13" i="76"/>
  <c r="F38" i="67"/>
  <c r="M9" i="67"/>
  <c r="M23" i="67"/>
  <c r="F6" i="67"/>
  <c r="B9" i="76"/>
  <c r="M8" i="67"/>
  <c r="D3" i="73"/>
  <c r="E10" i="76"/>
  <c r="B10" i="76"/>
  <c r="M26" i="67"/>
  <c r="M24" i="67"/>
  <c r="AO13" i="1"/>
  <c r="M22" i="67"/>
  <c r="C76" i="67"/>
  <c r="D6" i="73"/>
  <c r="D5" i="73"/>
  <c r="F7" i="73"/>
  <c r="F3" i="73"/>
  <c r="B13" i="76"/>
  <c r="E9" i="76"/>
  <c r="F8" i="67"/>
  <c r="D7" i="73"/>
  <c r="F13" i="67"/>
  <c r="E7" i="76"/>
  <c r="E2" i="68"/>
  <c r="F5" i="73"/>
  <c r="M6" i="67"/>
  <c r="B7" i="76"/>
  <c r="F36" i="67"/>
  <c r="M28" i="67"/>
  <c r="L47" i="67"/>
  <c r="E11" i="76"/>
  <c r="J15" i="67"/>
  <c r="B11" i="76"/>
  <c r="E8" i="76"/>
  <c r="F40" i="67"/>
  <c r="B12" i="76"/>
  <c r="F16" i="67"/>
  <c r="E12" i="76"/>
  <c r="F26" i="67"/>
  <c r="F4" i="73"/>
  <c r="D23" i="15" l="1"/>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11" i="40"/>
  <c r="S34" i="40"/>
  <c r="S28" i="40"/>
  <c r="AC15" i="40"/>
  <c r="S15" i="40"/>
  <c r="AB15" i="40"/>
  <c r="W28" i="40"/>
  <c r="U11" i="40"/>
  <c r="W11" i="40"/>
  <c r="U9" i="40"/>
  <c r="S9" i="40"/>
  <c r="W9" i="40"/>
  <c r="F54" i="9"/>
  <c r="F32" i="15"/>
  <c r="F60" i="15" s="1"/>
  <c r="F52" i="9"/>
  <c r="F30" i="68"/>
  <c r="F48" i="68" s="1"/>
  <c r="D68" i="9"/>
  <c r="F30" i="69"/>
  <c r="F48" i="69" s="1"/>
  <c r="F31" i="12"/>
  <c r="C31" i="12" s="1"/>
  <c r="F28" i="15"/>
  <c r="F32" i="67"/>
  <c r="F60" i="67" s="1"/>
  <c r="F28" i="67"/>
  <c r="G1" i="69"/>
  <c r="G1" i="68"/>
  <c r="G1" i="15"/>
  <c r="B6" i="1"/>
  <c r="E6" i="1" s="1"/>
  <c r="F28" i="6"/>
  <c r="BA15" i="3"/>
  <c r="AZ15" i="3" s="1"/>
  <c r="AZ18" i="3"/>
  <c r="AZ19" i="3"/>
  <c r="BL5" i="3"/>
  <c r="H5" i="3"/>
  <c r="AZ14" i="3"/>
  <c r="F29" i="6"/>
  <c r="F6" i="1"/>
  <c r="G6" i="1" s="1"/>
  <c r="S33" i="33"/>
  <c r="H69" i="43"/>
  <c r="E19" i="6"/>
  <c r="K6" i="1" s="1"/>
  <c r="E115" i="33"/>
  <c r="F115" i="33" s="1"/>
  <c r="G115" i="33" s="1"/>
  <c r="H115" i="33" s="1"/>
  <c r="I115" i="33" s="1"/>
  <c r="J115" i="33" s="1"/>
  <c r="K115" i="33" s="1"/>
  <c r="L115" i="33" s="1"/>
  <c r="M115" i="33" s="1"/>
  <c r="F27" i="33"/>
  <c r="AA27" i="33" s="1"/>
  <c r="C18" i="9"/>
  <c r="D18" i="9" s="1"/>
  <c r="BA5" i="3"/>
  <c r="G5" i="3"/>
  <c r="B3" i="3" s="1"/>
  <c r="E434" i="3" s="1"/>
  <c r="BB5" i="3"/>
  <c r="E14" i="6" s="1"/>
  <c r="E63" i="39" s="1"/>
  <c r="N54" i="43"/>
  <c r="D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G28" i="6"/>
  <c r="G30" i="6" s="1"/>
  <c r="G31" i="6" s="1"/>
  <c r="D19" i="53"/>
  <c r="B38"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N94" i="46"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270" i="3"/>
  <c r="E91" i="3"/>
  <c r="E301" i="3"/>
  <c r="P11" i="1"/>
  <c r="D9" i="11"/>
  <c r="C9" i="11" s="1"/>
  <c r="D19" i="12"/>
  <c r="C19" i="12" s="1"/>
  <c r="AZ13" i="3"/>
  <c r="AZ5" i="3" s="1"/>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F66" i="67"/>
  <c r="Q71" i="67"/>
  <c r="C27" i="67"/>
  <c r="N59" i="67"/>
  <c r="L59" i="67"/>
  <c r="M59" i="67"/>
  <c r="B13" i="70"/>
  <c r="F68" i="67"/>
  <c r="F64" i="67"/>
  <c r="C36" i="68"/>
  <c r="D9" i="69"/>
  <c r="D9" i="68"/>
  <c r="M8" i="15"/>
  <c r="F38" i="15"/>
  <c r="F6" i="15"/>
  <c r="F16" i="15"/>
  <c r="M24" i="15"/>
  <c r="L47" i="15"/>
  <c r="J15" i="15"/>
  <c r="F42" i="15"/>
  <c r="M6" i="15"/>
  <c r="L48" i="15"/>
  <c r="F43" i="15"/>
  <c r="F13" i="15"/>
  <c r="F8" i="15"/>
  <c r="F26" i="15"/>
  <c r="M28" i="15"/>
  <c r="M9" i="15"/>
  <c r="L48" i="67"/>
  <c r="G1" i="73"/>
  <c r="F7" i="15"/>
  <c r="F40" i="15"/>
  <c r="C76" i="15"/>
  <c r="M29" i="67"/>
  <c r="M29" i="15"/>
  <c r="M23" i="15"/>
  <c r="M26" i="15"/>
  <c r="F37" i="15"/>
  <c r="F43" i="67"/>
  <c r="M22" i="15"/>
  <c r="F36" i="15"/>
  <c r="F9" i="15"/>
  <c r="F7" i="67"/>
  <c r="AB28" i="40" l="1"/>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C6" i="15"/>
  <c r="C32" i="15" s="1"/>
  <c r="F68" i="15"/>
  <c r="F71" i="15"/>
  <c r="F50" i="15"/>
  <c r="M7" i="15"/>
  <c r="J6" i="15" s="1"/>
  <c r="J18" i="15" s="1"/>
  <c r="C27" i="15"/>
  <c r="F65" i="15"/>
  <c r="F51" i="15"/>
  <c r="C49" i="15" s="1"/>
  <c r="AR6" i="3"/>
  <c r="E261" i="3"/>
  <c r="E508" i="3"/>
  <c r="E384" i="3"/>
  <c r="E347" i="3"/>
  <c r="E216" i="3"/>
  <c r="E343" i="3"/>
  <c r="E12" i="6"/>
  <c r="E57" i="40" s="1"/>
  <c r="E124" i="3"/>
  <c r="E503" i="3"/>
  <c r="E380" i="3"/>
  <c r="E337" i="3"/>
  <c r="E175" i="3"/>
  <c r="E586" i="3"/>
  <c r="E183" i="3"/>
  <c r="E538" i="3"/>
  <c r="E555" i="3"/>
  <c r="G26" i="4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H26" i="43"/>
  <c r="E15" i="6"/>
  <c r="E64" i="39" s="1"/>
  <c r="E8" i="6"/>
  <c r="F27" i="6" s="1"/>
  <c r="F31" i="6" s="1"/>
  <c r="E13" i="6"/>
  <c r="E58" i="40" s="1"/>
  <c r="E10" i="6"/>
  <c r="E403" i="3"/>
  <c r="E367" i="3"/>
  <c r="E548" i="3"/>
  <c r="U6" i="3"/>
  <c r="E145" i="3"/>
  <c r="E196" i="3"/>
  <c r="E93" i="3"/>
  <c r="E357" i="3"/>
  <c r="E208" i="3"/>
  <c r="E54" i="3"/>
  <c r="E468" i="3"/>
  <c r="E344" i="3"/>
  <c r="E519" i="3"/>
  <c r="G16" i="1"/>
  <c r="F10" i="39" s="1"/>
  <c r="S10" i="39" s="1"/>
  <c r="M6" i="1"/>
  <c r="O6" i="1" s="1"/>
  <c r="I24" i="43"/>
  <c r="C24" i="43" s="1"/>
  <c r="S36" i="33"/>
  <c r="J57" i="67"/>
  <c r="J55" i="67" s="1"/>
  <c r="J58" i="67" s="1"/>
  <c r="Q50" i="67" s="1"/>
  <c r="L56" i="67"/>
  <c r="L58" i="67"/>
  <c r="Q60" i="67" s="1"/>
  <c r="J53" i="67"/>
  <c r="F1" i="67" s="1"/>
  <c r="I54" i="67"/>
  <c r="J7" i="36"/>
  <c r="H7" i="36"/>
  <c r="W27" i="33"/>
  <c r="H16" i="1"/>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F26" i="43"/>
  <c r="J26" i="43"/>
  <c r="E26" i="43"/>
  <c r="C6" i="67"/>
  <c r="C32" i="67" s="1"/>
  <c r="M7" i="67"/>
  <c r="J6" i="67" s="1"/>
  <c r="J18" i="67" s="1"/>
  <c r="F50" i="67"/>
  <c r="C49" i="67" s="1"/>
  <c r="F71" i="67"/>
  <c r="E471" i="3"/>
  <c r="E537" i="3"/>
  <c r="W6" i="3"/>
  <c r="E288" i="3"/>
  <c r="E438" i="3"/>
  <c r="E474" i="3"/>
  <c r="E529" i="3"/>
  <c r="E532" i="3"/>
  <c r="E313" i="3"/>
  <c r="E224" i="3"/>
  <c r="E157" i="3"/>
  <c r="E306" i="3"/>
  <c r="E352" i="3"/>
  <c r="E136" i="3"/>
  <c r="E461" i="3"/>
  <c r="AP6" i="1"/>
  <c r="C36" i="69" s="1"/>
  <c r="J7" i="37"/>
  <c r="S27" i="33"/>
  <c r="AC36" i="33"/>
  <c r="K16" i="1"/>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N370" i="46"/>
  <c r="AC37" i="33"/>
  <c r="AB36" i="33"/>
  <c r="AB32" i="33"/>
  <c r="S32" i="33"/>
  <c r="AA17" i="33"/>
  <c r="S17" i="33"/>
  <c r="E59" i="40"/>
  <c r="P6" i="1"/>
  <c r="C13" i="12" s="1"/>
  <c r="D18" i="53"/>
  <c r="B35" i="72" s="1"/>
  <c r="C7" i="74"/>
  <c r="E61" i="43"/>
  <c r="B59" i="43" s="1"/>
  <c r="B116" i="43"/>
  <c r="Z7" i="43"/>
  <c r="E30" i="6"/>
  <c r="E56" i="39"/>
  <c r="H7" i="34"/>
  <c r="AB7" i="34" s="1"/>
  <c r="T49" i="34" s="1"/>
  <c r="G49" i="34" s="1"/>
  <c r="E67" i="39"/>
  <c r="F67"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27" i="6"/>
  <c r="K26" i="6" s="1"/>
  <c r="M26" i="6" s="1"/>
  <c r="I26" i="6" s="1"/>
  <c r="S26" i="6" s="1"/>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Q74" i="67"/>
  <c r="AE11" i="1"/>
  <c r="AE9" i="1"/>
  <c r="F27" i="68"/>
  <c r="AE7" i="1"/>
  <c r="AE8" i="1"/>
  <c r="AE12" i="1"/>
  <c r="AE10" i="1"/>
  <c r="C16" i="15"/>
  <c r="C16" i="67"/>
  <c r="Q61" i="15" l="1"/>
  <c r="Q52" i="15"/>
  <c r="Q73" i="15"/>
  <c r="F1" i="15"/>
  <c r="J5" i="15"/>
  <c r="J24" i="15" s="1"/>
  <c r="E51" i="40"/>
  <c r="H10" i="39"/>
  <c r="U10" i="39" s="1"/>
  <c r="J10" i="40"/>
  <c r="AC10" i="40" s="1"/>
  <c r="E16" i="6"/>
  <c r="E60" i="40"/>
  <c r="E56" i="40"/>
  <c r="AA10" i="39"/>
  <c r="E62" i="39"/>
  <c r="E65" i="39" s="1"/>
  <c r="H10" i="40"/>
  <c r="AB10" i="40" s="1"/>
  <c r="J10" i="39"/>
  <c r="W10" i="39" s="1"/>
  <c r="F10" i="40"/>
  <c r="S10" i="40" s="1"/>
  <c r="AC6" i="3"/>
  <c r="D26" i="43"/>
  <c r="C25" i="43" s="1"/>
  <c r="B29" i="1"/>
  <c r="C8" i="68" s="1"/>
  <c r="Q73" i="67"/>
  <c r="Q52" i="67"/>
  <c r="J5" i="67"/>
  <c r="J24" i="67" s="1"/>
  <c r="H6" i="3"/>
  <c r="J58" i="43"/>
  <c r="D58" i="43"/>
  <c r="J56" i="43"/>
  <c r="D56" i="43"/>
  <c r="J52" i="43"/>
  <c r="D52" i="43"/>
  <c r="J53" i="43"/>
  <c r="D53" i="43"/>
  <c r="J55" i="43"/>
  <c r="D55" i="43"/>
  <c r="J51" i="43"/>
  <c r="D51" i="43"/>
  <c r="J50" i="43"/>
  <c r="D50" i="43"/>
  <c r="E69" i="39"/>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AE6" i="1"/>
  <c r="M27" i="67"/>
  <c r="M27" i="15"/>
  <c r="F41" i="15"/>
  <c r="F41" i="67"/>
  <c r="AC10" i="39" l="1"/>
  <c r="E6" i="3"/>
  <c r="E49" i="34"/>
  <c r="E50" i="43"/>
  <c r="B48" i="43" s="1"/>
  <c r="C28" i="43" s="1"/>
  <c r="T10" i="43" s="1"/>
  <c r="V10" i="43" s="1"/>
  <c r="F69" i="67"/>
  <c r="B14" i="74"/>
  <c r="B1" i="74" s="1"/>
  <c r="D116" i="43"/>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42" i="43" l="1"/>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33" i="43"/>
  <c r="C7" i="69"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42" i="43" l="1"/>
  <c r="I42" i="43" s="1"/>
  <c r="G37" i="43"/>
  <c r="I37" i="43" s="1"/>
  <c r="E40" i="43"/>
  <c r="E33" i="43"/>
  <c r="C5" i="69"/>
  <c r="C23" i="69" s="1"/>
  <c r="C34" i="43"/>
  <c r="E34" i="43" s="1"/>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C31" i="43" l="1"/>
  <c r="C30"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F7" i="35"/>
  <c r="F35" i="15"/>
  <c r="M21" i="67"/>
  <c r="B6" i="76"/>
  <c r="M21" i="15"/>
  <c r="F35" i="67"/>
  <c r="B2" i="76" l="1"/>
  <c r="B3" i="76" s="1"/>
  <c r="B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5"/>
  <c r="D2" i="36"/>
  <c r="D2" i="37"/>
  <c r="L51" i="15"/>
  <c r="B3" i="3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AO8" i="1"/>
  <c r="AO12" i="1"/>
  <c r="D19" i="9"/>
  <c r="AO11" i="1"/>
  <c r="AO6" i="1"/>
  <c r="AO10" i="1"/>
  <c r="AO9" i="1"/>
  <c r="D21" i="9" l="1"/>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6" i="74"/>
  <c r="D6" i="74" s="1"/>
  <c r="G118" i="9"/>
  <c r="F118" i="9" s="1"/>
  <c r="F119" i="9" s="1"/>
  <c r="F5" i="52" s="1"/>
  <c r="B53" i="72" s="1"/>
  <c r="B3" i="40" l="1"/>
  <c r="C6" i="68"/>
  <c r="C7" i="68" s="1"/>
  <c r="C5" i="68" s="1"/>
  <c r="G4" i="52"/>
  <c r="B52" i="72" s="1"/>
  <c r="F4" i="52"/>
  <c r="B51" i="72" s="1"/>
  <c r="E118" i="9"/>
  <c r="C23" i="68" l="1"/>
  <c r="C20" i="68"/>
  <c r="E4" i="52"/>
  <c r="B48" i="72" s="1"/>
  <c r="D118" i="9"/>
  <c r="C28" i="68" l="1"/>
  <c r="C27" i="68" s="1"/>
  <c r="C25" i="68"/>
  <c r="C22" i="68" s="1"/>
  <c r="C31" i="68" s="1"/>
  <c r="C52" i="68" s="1"/>
  <c r="D4" i="52"/>
  <c r="B47" i="72" s="1"/>
  <c r="D119" i="9"/>
  <c r="D5" i="52" s="1"/>
  <c r="B49" i="72" s="1"/>
  <c r="B2" i="68" l="1"/>
  <c r="C57" i="68"/>
  <c r="C56" i="68" s="1"/>
  <c r="C19" i="9"/>
  <c r="C21" i="9" l="1"/>
  <c r="C102" i="9"/>
  <c r="G19" i="9"/>
  <c r="G21" i="9" s="1"/>
  <c r="D22" i="9"/>
  <c r="B3" i="68"/>
  <c r="C20" i="9"/>
  <c r="C103" i="9" l="1"/>
  <c r="G20" i="9"/>
  <c r="C32" i="9" s="1"/>
  <c r="D35" i="9" l="1"/>
  <c r="D34" i="9"/>
  <c r="I118" i="9"/>
  <c r="H102" i="9" l="1"/>
  <c r="D7" i="53" s="1"/>
  <c r="B21" i="72" s="1"/>
  <c r="I4" i="52"/>
  <c r="C105" i="9"/>
  <c r="H118" i="9"/>
  <c r="H119" i="9" l="1"/>
  <c r="H5" i="52" s="1"/>
  <c r="C104" i="9"/>
  <c r="D14" i="74"/>
  <c r="H101" i="9"/>
  <c r="H4" i="52"/>
  <c r="M48" i="9" l="1"/>
  <c r="H107" i="9"/>
  <c r="D45" i="9"/>
  <c r="D5" i="53"/>
  <c r="E14" i="74"/>
  <c r="F14" i="74"/>
  <c r="B5" i="74"/>
  <c r="D6" i="53" l="1"/>
  <c r="B22" i="72" s="1"/>
  <c r="B20" i="72"/>
  <c r="C5" i="74"/>
  <c r="D5" i="74"/>
  <c r="C78" i="9"/>
  <c r="C73" i="9" s="1"/>
  <c r="C85" i="9"/>
  <c r="D55" i="9"/>
  <c r="M53" i="9" s="1"/>
  <c r="D53" i="9"/>
  <c r="D52" i="9"/>
  <c r="C72" i="9"/>
  <c r="C64" i="9"/>
  <c r="C63" i="9" s="1"/>
  <c r="C67" i="9" s="1"/>
  <c r="C93" i="9"/>
  <c r="C86" i="9" s="1"/>
  <c r="D122" i="9"/>
  <c r="H108" i="9"/>
  <c r="M49" i="9"/>
  <c r="D13" i="53"/>
  <c r="D123" i="9" l="1"/>
  <c r="D9" i="52" s="1"/>
  <c r="D8" i="52"/>
  <c r="B30" i="72"/>
  <c r="D14" i="53"/>
  <c r="B32" i="72" s="1"/>
  <c r="L68" i="9"/>
  <c r="M68" i="9" s="1"/>
  <c r="L65" i="9"/>
  <c r="M65" i="9" s="1"/>
  <c r="L67" i="9"/>
  <c r="M67" i="9" s="1"/>
  <c r="L64" i="9"/>
  <c r="M64" i="9" s="1"/>
  <c r="L63" i="9"/>
  <c r="M63" i="9" s="1"/>
  <c r="L66" i="9"/>
  <c r="M66" i="9" s="1"/>
  <c r="C68" i="9"/>
  <c r="D54" i="9" s="1"/>
  <c r="D59" i="9"/>
  <c r="M55" i="9" s="1"/>
  <c r="C6" i="74"/>
  <c r="D15" i="53"/>
  <c r="B31" i="72" s="1"/>
  <c r="C79" i="9"/>
  <c r="C95" i="9"/>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<sst xmlns="http://schemas.openxmlformats.org/spreadsheetml/2006/main" count="8559" uniqueCount="3653">
  <si>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</si>
  <si>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</si>
  <si>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</si>
  <si>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</si>
  <si>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</si>
  <si>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</si>
  <si>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</si>
  <si>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</si>
  <si>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</si>
  <si>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</si>
  <si>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</si>
  <si>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</si>
  <si>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</si>
  <si>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</si>
  <si>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</si>
  <si>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</si>
  <si>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</si>
  <si>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</si>
  <si>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</si>
  <si>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</si>
  <si>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</si>
  <si>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</si>
  <si>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</si>
  <si>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</si>
  <si>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</si>
  <si>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</si>
  <si>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</si>
  <si>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</si>
  <si>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</si>
  <si>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</si>
  <si>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</si>
  <si>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</si>
  <si>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</si>
  <si>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</si>
  <si>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</si>
  <si>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</si>
  <si>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</si>
  <si>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</si>
  <si>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</si>
  <si>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</si>
  <si>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</si>
  <si>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</si>
  <si>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</si>
  <si>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</si>
  <si>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</si>
  <si>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</si>
  <si>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</si>
  <si>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</si>
  <si>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</si>
  <si>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</si>
  <si>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</si>
  <si>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</si>
  <si>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</si>
  <si>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</si>
  <si>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</si>
  <si>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</si>
  <si>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</si>
  <si>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</si>
  <si>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</si>
  <si>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</si>
  <si>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</si>
  <si>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</si>
  <si>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</si>
  <si>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</si>
  <si>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</si>
  <si>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</si>
  <si>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</si>
  <si>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</si>
  <si>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</si>
  <si>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</si>
  <si>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</si>
  <si>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</si>
  <si>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</si>
  <si>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</si>
  <si>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</si>
  <si>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</si>
  <si>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</si>
  <si>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</si>
  <si>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</si>
  <si>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</si>
  <si>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</si>
  <si>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</si>
  <si>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</si>
  <si>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</si>
  <si>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</si>
  <si>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</si>
  <si>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</si>
  <si>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</si>
  <si>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</si>
  <si>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</si>
  <si>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</si>
  <si>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</si>
  <si>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</si>
  <si>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</si>
  <si>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</si>
  <si>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</si>
  <si>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</si>
  <si>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</si>
  <si>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</si>
  <si>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</si>
  <si>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</si>
  <si>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</si>
  <si>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</si>
  <si>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</si>
  <si>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</si>
  <si>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</si>
  <si>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</si>
  <si>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</si>
  <si>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</si>
  <si>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</si>
  <si>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</si>
  <si>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</si>
  <si>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</si>
  <si>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</si>
  <si>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</si>
  <si>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</si>
  <si>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</si>
  <si>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</si>
  <si>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</si>
  <si>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</si>
  <si>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</si>
  <si>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</si>
  <si>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</si>
  <si>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</si>
  <si>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</si>
  <si>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</si>
  <si>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</si>
  <si>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</si>
  <si>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</si>
  <si>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</si>
  <si>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</si>
  <si>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</si>
  <si>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</si>
  <si>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</si>
  <si>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</si>
  <si>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</si>
  <si>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</si>
  <si>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</si>
  <si>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</si>
  <si>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</si>
  <si>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</si>
  <si>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</si>
  <si>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</si>
  <si>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</si>
  <si>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</si>
  <si>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</si>
  <si>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</si>
  <si>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</si>
  <si>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</si>
  <si>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</si>
  <si>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</si>
  <si>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</si>
  <si>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</si>
  <si>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</si>
  <si>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</si>
  <si>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</si>
  <si>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</si>
  <si>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</si>
  <si>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</si>
  <si>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</si>
  <si>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</si>
  <si>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</si>
  <si>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</si>
  <si>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</si>
  <si>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</si>
  <si>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</si>
  <si>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</si>
  <si>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</si>
  <si>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</si>
  <si>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</si>
  <si>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</si>
  <si>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</si>
  <si>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</si>
  <si>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</si>
  <si>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</si>
  <si>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</si>
  <si>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</si>
  <si>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</si>
  <si>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</si>
  <si>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</si>
  <si>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</si>
  <si>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</si>
  <si>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</si>
  <si>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</si>
  <si>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</si>
  <si>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</si>
  <si>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</si>
  <si>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</si>
  <si>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</si>
  <si>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</si>
  <si>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</si>
  <si>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</si>
  <si>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</si>
  <si>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</si>
  <si>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</si>
  <si>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</si>
  <si>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</si>
  <si>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</si>
  <si>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</si>
  <si>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</si>
  <si>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</si>
  <si>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</si>
  <si>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</si>
  <si>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</si>
  <si>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</si>
  <si>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</si>
  <si>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</si>
  <si>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</si>
  <si>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</si>
  <si>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</si>
  <si>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</si>
  <si>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</si>
  <si>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</si>
  <si>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</si>
  <si>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</si>
  <si>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</si>
  <si>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</si>
  <si>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</si>
  <si>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</si>
  <si>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</si>
  <si>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</si>
  <si>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</si>
  <si>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</si>
  <si>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</si>
  <si>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</si>
  <si>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</si>
  <si>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</si>
  <si>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</si>
  <si>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</si>
  <si>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</si>
  <si>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</si>
  <si>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</si>
  <si>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</si>
  <si>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</si>
  <si>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</si>
  <si>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</si>
  <si>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</si>
  <si>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</si>
  <si>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</si>
  <si>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</si>
  <si>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</si>
  <si>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</si>
  <si>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</si>
  <si>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</si>
  <si>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</si>
  <si>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</si>
  <si>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</si>
  <si>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</si>
  <si>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</si>
  <si>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</si>
  <si>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</si>
  <si>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</si>
  <si>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</si>
  <si>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</si>
  <si>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</si>
  <si>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</si>
  <si>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</si>
  <si>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</si>
  <si>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</si>
  <si>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</si>
  <si>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</si>
  <si>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</si>
  <si>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</si>
  <si>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</si>
  <si>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</si>
  <si>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</si>
  <si>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</si>
  <si>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</si>
  <si>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</si>
  <si>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</si>
  <si>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</si>
  <si>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</si>
  <si>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</si>
  <si>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</si>
  <si>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</si>
  <si>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</si>
  <si>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</si>
  <si>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</si>
  <si>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</si>
  <si>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</si>
  <si>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</si>
  <si>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</si>
  <si>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</si>
  <si>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</si>
  <si>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</si>
  <si>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</si>
  <si>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</si>
  <si>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</si>
  <si>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</si>
  <si>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</si>
  <si>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</si>
  <si>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</si>
  <si>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</si>
  <si>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</si>
  <si>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</si>
  <si>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</si>
  <si>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</si>
  <si>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</si>
  <si>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</si>
  <si>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</si>
  <si>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</si>
  <si>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</si>
  <si>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</si>
  <si>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</si>
  <si>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</si>
  <si>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</si>
  <si>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</si>
  <si>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</si>
  <si>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</si>
  <si>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</si>
  <si>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</si>
  <si>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</si>
  <si>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</si>
  <si>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</si>
  <si>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</si>
  <si>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</si>
  <si>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</si>
  <si>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</si>
  <si>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</si>
  <si>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</si>
  <si>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</si>
  <si>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</si>
  <si>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</si>
  <si>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</si>
  <si>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</si>
  <si>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</si>
  <si>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</si>
  <si>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</si>
  <si>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</si>
  <si>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</si>
  <si>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</si>
  <si>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</si>
  <si>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</si>
  <si>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</si>
  <si>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</si>
  <si>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</si>
  <si>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</si>
  <si>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</si>
  <si>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</si>
  <si>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</si>
  <si>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</si>
  <si>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</si>
  <si>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</si>
  <si>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</si>
  <si>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</si>
  <si>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</si>
  <si>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</si>
  <si>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</si>
  <si>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</si>
  <si>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</si>
  <si>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</si>
  <si>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</si>
  <si>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</si>
  <si>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</si>
  <si>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</si>
  <si>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</si>
  <si>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</si>
  <si>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</si>
  <si>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</si>
  <si>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</si>
  <si>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</si>
  <si>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</si>
  <si>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</si>
  <si>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</si>
  <si>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</si>
  <si>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</si>
  <si>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</si>
  <si>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</si>
  <si>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</si>
  <si>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</si>
  <si>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</si>
  <si>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</si>
  <si>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</si>
  <si>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</si>
  <si>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</si>
  <si>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</si>
  <si>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</si>
  <si>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</si>
  <si>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</si>
  <si>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</si>
  <si>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</si>
  <si>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</si>
  <si>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</si>
  <si>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</si>
  <si>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</si>
  <si>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</si>
  <si>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</si>
  <si>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</si>
  <si>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</si>
  <si>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</si>
  <si>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</si>
  <si>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</si>
  <si>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</si>
  <si>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</si>
  <si>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</si>
  <si>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</si>
  <si>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</si>
  <si>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</si>
  <si>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</si>
  <si>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</si>
  <si>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</si>
  <si>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</si>
  <si>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</si>
  <si>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</si>
  <si>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</si>
  <si>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</si>
  <si>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</si>
  <si>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</si>
  <si>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</si>
  <si>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</si>
  <si>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</si>
  <si>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</si>
  <si>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</si>
  <si>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</si>
  <si>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</si>
  <si>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</si>
  <si>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</si>
  <si>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</si>
  <si>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</si>
  <si>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</si>
  <si>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</si>
  <si>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</si>
  <si>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</si>
  <si>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</si>
  <si>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</si>
  <si>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</si>
  <si>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</si>
  <si>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</si>
  <si>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</si>
  <si>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</si>
  <si>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</si>
  <si>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</si>
  <si>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</si>
  <si>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</si>
  <si>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</si>
  <si>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</si>
  <si>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</si>
  <si>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</si>
  <si>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</si>
  <si>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</si>
  <si>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</si>
  <si>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</si>
  <si>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</si>
  <si>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</si>
  <si>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</si>
  <si>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</si>
  <si>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</si>
  <si>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</si>
  <si>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</si>
  <si>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</si>
  <si>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</si>
  <si>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</si>
  <si>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</si>
  <si>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</si>
  <si>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</si>
  <si>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</si>
  <si>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</si>
  <si>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</si>
  <si>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</si>
  <si>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</si>
  <si>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</si>
  <si>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</si>
  <si>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</si>
  <si>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</si>
  <si>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</si>
  <si>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</si>
  <si>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</si>
  <si>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</si>
  <si>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</si>
  <si>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</si>
  <si>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</si>
  <si>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</si>
  <si>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</si>
  <si>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</si>
  <si>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</si>
  <si>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</si>
  <si>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</si>
  <si>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</si>
  <si>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</si>
  <si>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</si>
  <si>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</si>
  <si>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</si>
  <si>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</si>
  <si>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</si>
  <si>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</si>
  <si>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</si>
  <si>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</si>
  <si>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</si>
  <si>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</si>
  <si>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</si>
  <si>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</si>
  <si>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</si>
  <si>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</si>
  <si>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</si>
  <si>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</si>
  <si>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</si>
  <si>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</si>
  <si>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</si>
  <si>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</si>
  <si>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</si>
  <si>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</si>
  <si>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</si>
  <si>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</si>
  <si>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</si>
  <si>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</si>
  <si>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</si>
  <si>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</si>
  <si>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</si>
  <si>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</si>
  <si>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</si>
  <si>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</si>
  <si>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</si>
  <si>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</si>
  <si>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</si>
  <si>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</si>
  <si>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</si>
  <si>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</si>
  <si>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</si>
  <si>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</si>
  <si>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</si>
  <si>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</si>
  <si>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</si>
  <si>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</si>
  <si>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</si>
  <si>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</si>
  <si>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</si>
  <si>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</si>
  <si>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</si>
  <si>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</si>
  <si>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</si>
  <si>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</si>
  <si>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</si>
  <si>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</si>
  <si>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</si>
  <si>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</si>
  <si>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</si>
  <si>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</si>
  <si>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</si>
  <si>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</si>
  <si>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</si>
  <si>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</si>
  <si>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</si>
  <si>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</si>
  <si>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</si>
  <si>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</si>
  <si>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</si>
  <si>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</si>
  <si>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</si>
  <si>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</si>
  <si>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</si>
  <si>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</si>
  <si>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</si>
  <si>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</si>
  <si>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</si>
  <si>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</si>
  <si>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</si>
  <si>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</si>
  <si>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</si>
  <si>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</si>
  <si>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</si>
  <si>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</si>
  <si>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</si>
  <si>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</si>
  <si>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</si>
  <si>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</si>
  <si>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</si>
  <si>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</si>
  <si>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</si>
  <si>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</si>
  <si>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</si>
  <si>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</si>
  <si>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</si>
  <si>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</si>
  <si>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</si>
  <si>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</si>
  <si>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</si>
  <si>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</si>
  <si>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</si>
  <si>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</si>
  <si>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</si>
  <si>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</si>
  <si>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</si>
  <si>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</si>
  <si>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</si>
  <si>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</si>
  <si>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</si>
  <si>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</si>
  <si>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</si>
  <si>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</si>
  <si>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</si>
  <si>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</si>
  <si>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</si>
  <si>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</si>
  <si>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</si>
  <si>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</si>
  <si>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</si>
  <si>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</si>
  <si>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</si>
  <si>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</si>
  <si>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</si>
  <si>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</si>
  <si>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</si>
  <si>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</si>
  <si>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</si>
  <si>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</si>
  <si>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</si>
  <si>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</si>
  <si>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</si>
  <si>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</si>
  <si>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</si>
  <si>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</si>
  <si>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</si>
  <si>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</si>
  <si>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</si>
  <si>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</si>
  <si>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</si>
  <si>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</si>
  <si>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</si>
  <si>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</si>
  <si>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</si>
  <si>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</si>
  <si>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</si>
  <si>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</si>
  <si>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</si>
  <si>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</si>
  <si>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</si>
  <si>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</si>
  <si>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</si>
  <si>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</si>
  <si>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</si>
  <si>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</si>
  <si>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</si>
  <si>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</si>
  <si>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</si>
  <si>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</si>
  <si>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</si>
  <si>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</si>
  <si>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</si>
  <si>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</si>
  <si>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</si>
  <si>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</si>
  <si>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</si>
  <si>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</si>
  <si>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</si>
  <si>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</si>
  <si>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</si>
  <si>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</si>
  <si>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</si>
  <si>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</si>
  <si>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</si>
  <si>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</si>
  <si>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</si>
  <si>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</si>
  <si>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</si>
  <si>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</si>
  <si>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</si>
  <si>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</si>
  <si>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</si>
  <si>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</si>
  <si>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</si>
  <si>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</si>
  <si>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</si>
  <si>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</si>
  <si>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</si>
  <si>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</si>
  <si>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</si>
  <si>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</si>
  <si>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</si>
  <si>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</si>
  <si>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</si>
  <si>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</si>
  <si>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</si>
  <si>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</si>
  <si>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</si>
  <si>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</si>
  <si>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</si>
  <si>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</si>
  <si>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</si>
  <si>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</si>
  <si>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</si>
  <si>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</si>
  <si>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</si>
  <si>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</si>
  <si>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</si>
  <si>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</si>
  <si>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</si>
  <si>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</si>
  <si>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</si>
  <si>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</si>
  <si>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</si>
  <si>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</si>
  <si>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</si>
  <si>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</si>
  <si>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</si>
  <si>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</si>
  <si>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</si>
  <si>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</si>
  <si>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</si>
  <si>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</si>
  <si>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</si>
  <si>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</si>
  <si>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</si>
  <si>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</si>
  <si>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</si>
  <si>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</si>
  <si>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</si>
  <si>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</si>
  <si>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</si>
  <si>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</si>
  <si>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</si>
  <si>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</si>
  <si>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</si>
  <si>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</si>
  <si>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</si>
  <si>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</si>
  <si>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</si>
  <si>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</si>
  <si>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</si>
  <si>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</si>
  <si>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</si>
  <si>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</si>
  <si>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</si>
  <si>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</si>
  <si>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</si>
  <si>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</si>
  <si>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</si>
  <si>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</si>
  <si>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</si>
  <si>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</si>
  <si>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</si>
  <si>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</si>
  <si>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</si>
  <si>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</si>
  <si>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</si>
  <si>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</si>
  <si>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</si>
  <si>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</si>
  <si>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</si>
  <si>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</si>
  <si>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</si>
  <si>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</si>
  <si>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</si>
  <si>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</si>
  <si>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</si>
  <si>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</si>
  <si>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</si>
  <si>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</si>
  <si>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</si>
  <si>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</si>
  <si>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</si>
  <si>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</si>
  <si>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</si>
  <si>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</si>
  <si>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</si>
  <si>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</si>
  <si>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</si>
  <si>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</si>
  <si>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</si>
  <si>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</si>
  <si>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</si>
  <si>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</si>
  <si>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</si>
  <si>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</si>
  <si>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</si>
  <si>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</si>
  <si>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</si>
  <si>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</si>
  <si>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</si>
  <si>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</si>
  <si>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</si>
  <si>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</si>
  <si>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</si>
  <si>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</si>
  <si>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</si>
  <si>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</si>
  <si>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</si>
  <si>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</si>
  <si>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</si>
  <si>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</si>
  <si>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</si>
  <si>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</si>
  <si>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</si>
  <si>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</si>
  <si>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</si>
  <si>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</si>
  <si>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</si>
  <si>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</si>
  <si>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</si>
  <si>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</si>
  <si>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</si>
  <si>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</si>
  <si>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</si>
  <si>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</si>
  <si>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</si>
  <si>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</si>
  <si>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</si>
  <si>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</si>
  <si>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</si>
  <si>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</si>
  <si>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</si>
  <si>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</si>
  <si>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</si>
  <si>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</si>
  <si>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</si>
  <si>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</si>
  <si>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</si>
  <si>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</si>
  <si>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</si>
  <si>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</si>
  <si>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</si>
  <si>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</si>
  <si>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</si>
  <si>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</si>
  <si>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</si>
  <si>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</si>
  <si>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</si>
  <si>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</si>
  <si>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</si>
  <si>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</si>
  <si>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</si>
  <si>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</si>
  <si>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</si>
  <si>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</si>
  <si>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</si>
  <si>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</si>
  <si>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</si>
  <si>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</si>
  <si>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</si>
  <si>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</si>
  <si>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</si>
  <si>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</si>
  <si>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</si>
  <si>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</si>
  <si>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</si>
  <si>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</si>
  <si>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</si>
  <si>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</si>
  <si>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</si>
  <si>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</si>
  <si>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</si>
  <si>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</si>
  <si>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</si>
  <si>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</si>
  <si>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</si>
  <si>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</si>
  <si>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</si>
  <si>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</si>
  <si>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</si>
  <si>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</si>
  <si>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</si>
  <si>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</si>
  <si>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</si>
  <si>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</si>
  <si>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</si>
  <si>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</si>
  <si>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</si>
  <si>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</si>
  <si>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</si>
  <si>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</si>
  <si>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</si>
  <si>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</si>
  <si>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</si>
  <si>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</si>
  <si>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</si>
  <si>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</si>
  <si>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</si>
  <si>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</si>
  <si>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</si>
  <si>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</si>
  <si>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</si>
  <si>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</si>
  <si>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</si>
  <si>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</si>
  <si>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</si>
  <si>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</si>
  <si>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</si>
  <si>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</si>
  <si>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</si>
  <si>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</si>
  <si>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</si>
  <si>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</si>
  <si>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</si>
  <si>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</si>
  <si>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</si>
  <si>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</si>
  <si>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</si>
  <si>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</si>
  <si>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</si>
  <si>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</si>
  <si>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</si>
  <si>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</si>
  <si>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</si>
  <si>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</si>
  <si>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</si>
  <si>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</si>
  <si>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</si>
  <si>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</si>
  <si>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</si>
  <si>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</si>
  <si>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</si>
  <si>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</si>
  <si>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</si>
  <si>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</si>
  <si>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</si>
  <si>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</si>
  <si>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</si>
  <si>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</si>
  <si>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</si>
  <si>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</si>
  <si>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</si>
  <si>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</si>
  <si>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</si>
  <si>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</si>
  <si>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</si>
  <si>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</si>
  <si>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</si>
  <si>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</si>
  <si>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</si>
  <si>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</si>
  <si>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</si>
  <si>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</si>
  <si>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</si>
  <si>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</si>
  <si>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</si>
  <si>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</si>
  <si>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</si>
  <si>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</si>
  <si>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</si>
  <si>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</si>
  <si>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</si>
  <si>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</si>
  <si>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</si>
  <si>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</si>
  <si>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</si>
  <si>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</si>
  <si>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</si>
  <si>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</si>
  <si>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</si>
  <si>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</si>
  <si>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</si>
  <si>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</si>
  <si>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</si>
  <si>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</si>
  <si>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</si>
  <si>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</si>
  <si>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</si>
  <si>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</si>
  <si>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</si>
  <si>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</si>
  <si>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</si>
  <si>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</si>
  <si>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</si>
  <si>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</si>
  <si>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</si>
  <si>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</si>
  <si>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</si>
  <si>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</si>
  <si>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</si>
  <si>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</si>
  <si>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</si>
  <si>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</si>
  <si>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</si>
  <si>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</si>
  <si>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</si>
  <si>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</si>
  <si>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</si>
  <si>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</si>
  <si>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</si>
  <si>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</si>
  <si>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</si>
  <si>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</si>
  <si>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</si>
  <si>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</si>
  <si>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</si>
  <si>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</si>
  <si>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</si>
  <si>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</si>
  <si>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</si>
  <si>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</si>
  <si>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</si>
  <si>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</si>
  <si>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</si>
  <si>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</si>
  <si>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</si>
  <si>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</si>
  <si>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</si>
  <si>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</si>
  <si>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</si>
  <si>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</si>
  <si>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</si>
  <si>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</si>
  <si>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</si>
  <si>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</si>
  <si>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</si>
  <si>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</si>
  <si>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</si>
  <si>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</si>
  <si>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</si>
  <si>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</si>
  <si>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</si>
  <si>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</si>
  <si>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</si>
  <si>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</si>
  <si>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</si>
  <si>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</si>
  <si>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</si>
  <si>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</si>
  <si>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</si>
  <si>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</si>
  <si>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</si>
  <si>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</si>
  <si>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</si>
  <si>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</si>
  <si>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</si>
  <si>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</si>
  <si>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</si>
  <si>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</si>
  <si>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</si>
  <si>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</si>
  <si>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</si>
  <si>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</si>
  <si>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</si>
  <si>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</si>
  <si>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</si>
  <si>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</si>
  <si>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</si>
  <si>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</si>
  <si>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</si>
  <si>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</si>
  <si>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</si>
  <si>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</si>
  <si>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</si>
  <si>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</si>
  <si>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</si>
  <si>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</si>
  <si>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</si>
  <si>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</si>
  <si>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</si>
  <si>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</si>
  <si>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</si>
  <si>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</si>
  <si>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</si>
  <si>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</si>
  <si>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</si>
  <si>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</si>
  <si>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</si>
  <si>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</si>
  <si>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</si>
  <si>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</si>
  <si>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</si>
  <si>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</si>
  <si>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</si>
  <si>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</si>
  <si>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</si>
  <si>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</si>
  <si>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</si>
  <si>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</si>
  <si>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</si>
  <si>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</si>
  <si>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</si>
  <si>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</si>
  <si>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</si>
  <si>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</si>
  <si>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</si>
  <si>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</si>
  <si>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</si>
  <si>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</si>
  <si>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</si>
  <si>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</si>
  <si>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</si>
  <si>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</si>
  <si>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</si>
  <si>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</si>
  <si>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</si>
  <si>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</si>
  <si>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</si>
  <si>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</si>
  <si>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</si>
  <si>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</si>
  <si>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</si>
  <si>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</si>
  <si>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</si>
  <si>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</si>
  <si>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</si>
  <si>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</si>
  <si>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</si>
  <si>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</si>
  <si>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</si>
  <si>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</si>
  <si>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</si>
  <si>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</si>
  <si>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</si>
  <si>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</si>
  <si>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</si>
  <si>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</si>
  <si>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</si>
  <si>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</si>
  <si>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</si>
  <si>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</si>
  <si>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</si>
  <si>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</si>
  <si>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</si>
  <si>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</si>
  <si>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</si>
  <si>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</si>
  <si>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</si>
  <si>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</si>
  <si>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</si>
  <si>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</si>
  <si>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</si>
  <si>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</si>
  <si>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</si>
  <si>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</si>
  <si>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</si>
  <si>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</si>
  <si>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</si>
  <si>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</si>
  <si>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</si>
  <si>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</si>
  <si>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</si>
  <si>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</si>
  <si>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</si>
  <si>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</si>
  <si>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</si>
  <si>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</si>
  <si>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</si>
  <si>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</si>
  <si>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</si>
  <si>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</si>
  <si>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</si>
  <si>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</si>
  <si>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</si>
  <si>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</si>
  <si>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</si>
  <si>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</si>
  <si>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</si>
  <si>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</si>
  <si>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</si>
  <si>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</si>
  <si>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</si>
  <si>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</si>
  <si>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</si>
  <si>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</si>
  <si>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</si>
  <si>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</si>
  <si>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</si>
  <si>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</si>
  <si>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</si>
  <si>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</si>
  <si>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</si>
  <si>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</si>
  <si>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</si>
  <si>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</si>
  <si>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</si>
  <si>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</si>
  <si>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</si>
  <si>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</si>
  <si>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</si>
  <si>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</si>
  <si>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</si>
  <si>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</si>
  <si>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</si>
  <si>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</si>
  <si>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</si>
  <si>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</si>
  <si>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</si>
  <si>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</si>
  <si>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</si>
  <si>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</si>
  <si>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</si>
  <si>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</si>
  <si>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</si>
  <si>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</si>
  <si>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</si>
  <si>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</si>
  <si>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</si>
  <si>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</si>
  <si>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</si>
  <si>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</si>
  <si>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</si>
  <si>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</si>
  <si>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</si>
  <si>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</si>
  <si>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</si>
  <si>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</si>
  <si>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</si>
  <si>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</si>
  <si>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</si>
  <si>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</si>
  <si>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</si>
  <si>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</si>
  <si>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</si>
  <si>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</si>
  <si>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</si>
  <si>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</si>
  <si>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</si>
  <si>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</si>
  <si>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</si>
  <si>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</si>
  <si>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</si>
  <si>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</si>
  <si>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</si>
  <si>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</si>
  <si>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</si>
  <si>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</si>
  <si>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</si>
  <si>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</si>
  <si>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</si>
  <si>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</si>
  <si>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</si>
  <si>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</si>
  <si>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</si>
  <si>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</si>
  <si>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</si>
  <si>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</si>
  <si>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</si>
  <si>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</si>
  <si>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</si>
  <si>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</si>
  <si>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</si>
  <si>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</si>
  <si>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</si>
  <si>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</si>
  <si>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</si>
  <si>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</si>
  <si>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</si>
  <si>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</si>
  <si>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</si>
  <si>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</si>
  <si>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</si>
  <si>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</si>
  <si>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</si>
  <si>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</si>
  <si>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</si>
  <si>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</si>
  <si>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</si>
  <si>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</si>
  <si>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</si>
  <si>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</si>
  <si>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</si>
  <si>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</si>
  <si>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</si>
  <si>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</si>
  <si>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</si>
  <si>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</si>
  <si>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</si>
  <si>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</si>
  <si>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</si>
  <si>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</si>
  <si>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</si>
  <si>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</si>
  <si>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</si>
  <si>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</si>
  <si>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</si>
  <si>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</si>
  <si>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</si>
  <si>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</si>
  <si>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</si>
  <si>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</si>
  <si>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</si>
  <si>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</si>
  <si>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</si>
  <si>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</si>
  <si>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</si>
  <si>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</si>
  <si>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</si>
  <si>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</si>
  <si>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</si>
  <si>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</si>
  <si>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</si>
  <si>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</si>
  <si>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</si>
  <si>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</si>
  <si>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</si>
  <si>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</si>
  <si>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</si>
  <si>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</si>
  <si>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</si>
  <si>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</si>
  <si>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</si>
  <si>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</si>
  <si>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</si>
  <si>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</si>
  <si>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</si>
  <si>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</si>
  <si>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</si>
  <si>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</si>
  <si>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</si>
  <si>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</si>
  <si>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</si>
  <si>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</si>
  <si>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</si>
  <si>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</si>
  <si>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</si>
  <si>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</si>
  <si>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</si>
  <si>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</si>
  <si>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</si>
  <si>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</si>
  <si>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</si>
  <si>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</si>
  <si>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</si>
  <si>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</si>
  <si>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</si>
  <si>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</si>
  <si>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</si>
  <si>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</si>
  <si>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</si>
  <si>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</si>
  <si>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</si>
  <si>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</si>
  <si>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</si>
  <si>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</si>
  <si>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</si>
  <si>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</si>
  <si>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</si>
  <si>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</si>
  <si>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</si>
  <si>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</si>
  <si>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</si>
  <si>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</si>
  <si>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</si>
  <si>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</si>
  <si>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</si>
  <si>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</si>
  <si>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</si>
  <si>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</si>
  <si>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</si>
  <si>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</si>
  <si>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</si>
  <si>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</si>
  <si>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</si>
  <si>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</si>
  <si>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</si>
  <si>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</si>
  <si>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</si>
  <si>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</si>
  <si>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</si>
  <si>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</si>
  <si>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</si>
  <si>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</si>
  <si>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</si>
  <si>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</si>
  <si>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</si>
  <si>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</si>
  <si>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</si>
  <si>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</si>
  <si>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</si>
  <si>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</si>
  <si>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</si>
  <si>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</si>
  <si>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</si>
  <si>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</si>
  <si>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</si>
  <si>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</si>
  <si>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</si>
  <si>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</si>
  <si>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</si>
  <si>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</si>
  <si>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</si>
  <si>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</si>
  <si>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</si>
  <si>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</si>
  <si>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</si>
  <si>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</si>
  <si>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</si>
  <si>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</si>
  <si>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</si>
  <si>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</si>
  <si>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</si>
  <si>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</si>
  <si>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</si>
  <si>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</si>
  <si>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</si>
  <si>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</si>
  <si>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</si>
  <si>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</si>
  <si>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</si>
  <si>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</si>
  <si>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</si>
  <si>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</si>
  <si>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</si>
  <si>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</si>
  <si>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</si>
  <si>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</si>
  <si>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</si>
  <si>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</si>
  <si>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</si>
  <si>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</si>
  <si>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</si>
  <si>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</si>
  <si>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</si>
  <si>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</si>
  <si>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</si>
  <si>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</si>
  <si>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</si>
  <si>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</si>
  <si>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</si>
  <si>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</si>
  <si>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</si>
  <si>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</si>
  <si>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</si>
  <si>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</si>
  <si>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</si>
  <si>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</si>
  <si>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</si>
  <si>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</si>
  <si>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</si>
  <si>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</si>
  <si>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</si>
  <si>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</si>
  <si>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</si>
  <si>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</si>
  <si>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</si>
  <si>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</si>
  <si>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</si>
  <si>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</si>
  <si>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</si>
  <si>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</si>
  <si>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</si>
  <si>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</si>
  <si>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</si>
  <si>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</si>
  <si>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</si>
  <si>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</si>
  <si>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</si>
  <si>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</si>
  <si>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</si>
  <si>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</si>
  <si>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</si>
  <si>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</si>
  <si>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</si>
  <si>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</si>
  <si>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</si>
  <si>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</si>
  <si>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</si>
  <si>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</si>
  <si>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</si>
  <si>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</si>
  <si>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</si>
  <si>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</si>
  <si>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</si>
  <si>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</si>
  <si>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</si>
  <si>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</si>
  <si>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</si>
  <si>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</si>
  <si>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</si>
  <si>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</si>
  <si>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</si>
  <si>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</si>
  <si>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</si>
  <si>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</si>
  <si>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</si>
  <si>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</si>
  <si>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</si>
  <si>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</si>
  <si>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</si>
  <si>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</si>
  <si>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</si>
  <si>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</si>
  <si>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</si>
  <si>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</si>
  <si>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</si>
  <si>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</si>
  <si>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</si>
  <si>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</si>
  <si>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</si>
  <si>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</si>
  <si>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</si>
  <si>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</si>
  <si>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</si>
  <si>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</si>
  <si>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</si>
  <si>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</si>
  <si>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</si>
  <si>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</si>
  <si>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</si>
  <si>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</si>
  <si>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</si>
  <si>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</si>
  <si>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</si>
  <si>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</si>
  <si>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</si>
  <si>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</si>
  <si>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</si>
  <si>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</si>
  <si>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</si>
  <si>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</si>
  <si>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</si>
  <si>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</si>
  <si>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</si>
  <si>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</si>
  <si>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</si>
  <si>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</si>
  <si>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</si>
  <si>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</si>
  <si>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</si>
  <si>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</si>
  <si>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</si>
  <si>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</si>
  <si>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</si>
  <si>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</si>
  <si>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</si>
  <si>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</si>
  <si>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</si>
  <si>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</si>
  <si>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</si>
  <si>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</si>
  <si>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</si>
  <si>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</si>
  <si>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</si>
  <si>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</si>
  <si>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</si>
  <si>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</si>
  <si>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</si>
  <si>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</si>
  <si>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</si>
  <si>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</si>
  <si>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</si>
  <si>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</si>
  <si>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</si>
  <si>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</si>
  <si>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</si>
  <si>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</si>
  <si>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</si>
  <si>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</si>
  <si>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</si>
  <si>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</si>
  <si>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</si>
  <si>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</si>
  <si>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</si>
  <si>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</si>
  <si>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</si>
  <si>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</si>
  <si>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</si>
  <si>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</si>
  <si>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</si>
  <si>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</si>
  <si>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</si>
  <si>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</si>
  <si>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</si>
  <si>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</si>
  <si>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</si>
  <si>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</si>
  <si>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</si>
  <si>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</si>
  <si>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</si>
  <si>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</si>
  <si>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</si>
  <si>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</si>
  <si>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</si>
  <si>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</si>
  <si>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</si>
  <si>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</si>
  <si>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</si>
  <si>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</si>
  <si>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</si>
  <si>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</si>
  <si>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</si>
  <si>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</si>
  <si>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</si>
  <si>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</si>
  <si>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</si>
  <si>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</si>
  <si>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</si>
  <si>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</si>
  <si>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</si>
  <si>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</si>
  <si>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</si>
  <si>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</si>
  <si>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</si>
  <si>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</si>
  <si>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</si>
  <si>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</si>
  <si>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</si>
  <si>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</si>
  <si>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</si>
  <si>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</si>
  <si>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</si>
  <si>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</si>
  <si>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</si>
  <si>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</si>
  <si>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</si>
  <si>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</si>
  <si>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</si>
  <si>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</si>
  <si>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</si>
  <si>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</si>
  <si>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</si>
  <si>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</si>
  <si>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</si>
  <si>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</si>
  <si>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</si>
  <si>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</si>
  <si>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</si>
  <si>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</si>
  <si>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</si>
  <si>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</si>
  <si>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</si>
  <si>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</si>
  <si>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</si>
  <si>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</si>
  <si>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</si>
  <si>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</si>
  <si>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</si>
  <si>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</si>
  <si>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</si>
  <si>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</si>
  <si>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</si>
  <si>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</si>
  <si>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</si>
  <si>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</si>
  <si>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</si>
  <si>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</si>
  <si>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</si>
  <si>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</si>
  <si>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</si>
  <si>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</si>
  <si>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</si>
  <si>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</si>
  <si>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</si>
  <si>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</si>
  <si>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</si>
  <si>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</si>
  <si>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</si>
  <si>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</si>
  <si>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</si>
  <si>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</si>
  <si>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</si>
  <si>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</si>
  <si>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</si>
  <si>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</si>
  <si>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</si>
  <si>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</si>
  <si>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</si>
  <si>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</si>
  <si>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</si>
  <si>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</si>
  <si>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</si>
  <si>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</si>
  <si>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</si>
  <si>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</si>
  <si>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</si>
  <si>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</si>
  <si>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</si>
  <si>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</si>
  <si>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</si>
  <si>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</si>
  <si>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</si>
  <si>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</si>
  <si>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</si>
  <si>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</si>
  <si>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</si>
  <si>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</si>
  <si>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</si>
  <si>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</si>
  <si>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</si>
  <si>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</si>
  <si>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</si>
  <si>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</si>
  <si>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</si>
  <si>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</si>
  <si>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</si>
  <si>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</si>
  <si>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</si>
  <si>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</si>
  <si>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</si>
  <si>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</si>
  <si>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</si>
  <si>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</si>
  <si>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</si>
  <si>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</si>
  <si>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</si>
  <si>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</si>
  <si>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</si>
  <si>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</si>
  <si>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</si>
  <si>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</si>
  <si>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</si>
  <si>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</si>
  <si>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</si>
  <si>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</si>
  <si>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</si>
  <si>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</si>
  <si>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</si>
  <si>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</si>
  <si>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</si>
  <si>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</si>
  <si>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</si>
  <si>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</si>
  <si>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</si>
  <si>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</si>
  <si>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</si>
  <si>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</si>
  <si>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</si>
  <si>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</si>
  <si>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</si>
  <si>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</si>
  <si>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</si>
  <si>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</si>
  <si>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</si>
  <si>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</si>
  <si>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</si>
  <si>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</si>
  <si>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</si>
  <si>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</si>
  <si>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</si>
  <si>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</si>
  <si>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</si>
  <si>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</si>
  <si>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</si>
  <si>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</si>
  <si>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</si>
  <si>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</si>
  <si>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</si>
  <si>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</si>
  <si>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</si>
  <si>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</si>
  <si>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</si>
  <si>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</si>
  <si>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</si>
  <si>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</si>
  <si>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</si>
  <si>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</si>
  <si>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</si>
  <si>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</si>
  <si>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</si>
  <si>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</si>
  <si>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</si>
  <si>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</si>
  <si>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</si>
  <si>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</si>
  <si>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</si>
  <si>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</si>
  <si>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</si>
  <si>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</si>
  <si>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</si>
  <si>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</si>
  <si>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</si>
  <si>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</si>
  <si>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</si>
  <si>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</si>
  <si>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</si>
  <si>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</si>
  <si>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</si>
  <si>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</si>
  <si>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</si>
  <si>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</si>
  <si>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</si>
  <si>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</si>
  <si>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</si>
  <si>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</si>
  <si>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</si>
  <si>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</si>
  <si>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</si>
  <si>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</si>
  <si>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</si>
  <si>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</si>
  <si>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</si>
  <si>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</si>
  <si>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</si>
  <si>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</si>
  <si>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</si>
  <si>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</si>
  <si>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</si>
  <si>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</si>
  <si>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</si>
  <si>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</si>
  <si>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</si>
  <si>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</si>
  <si>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</si>
  <si>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</si>
  <si>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</si>
  <si>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</si>
  <si>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</si>
  <si>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</si>
  <si>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</si>
  <si>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</si>
  <si>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</si>
  <si>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</si>
  <si>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</si>
  <si>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</si>
  <si>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</si>
  <si>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</si>
  <si>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</si>
  <si>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</si>
  <si>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</si>
  <si>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</si>
  <si>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</si>
  <si>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</si>
  <si>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</si>
  <si>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</si>
  <si>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</si>
  <si>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</si>
  <si>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</si>
  <si>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</si>
  <si>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</si>
  <si>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</si>
  <si>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</si>
  <si>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</si>
  <si>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</si>
  <si>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</si>
  <si>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</si>
  <si>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</si>
  <si>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</si>
  <si>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</si>
  <si>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</si>
  <si>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</si>
  <si>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</si>
  <si>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</si>
  <si>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</si>
  <si>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</si>
  <si>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</si>
  <si>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</si>
  <si>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</si>
  <si>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</si>
  <si>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</si>
  <si>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</si>
  <si>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</si>
  <si>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</si>
  <si>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</si>
  <si>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</si>
  <si>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</si>
  <si>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</si>
  <si>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</si>
  <si>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</si>
  <si>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</si>
  <si>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</si>
  <si>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</si>
  <si>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</si>
  <si>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</si>
  <si>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</si>
  <si>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</si>
  <si>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</si>
  <si>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</si>
  <si>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</si>
  <si>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</si>
  <si>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</si>
  <si>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</si>
  <si>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</si>
  <si>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</si>
  <si>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</si>
  <si>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</si>
  <si>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</si>
  <si>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</si>
  <si>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</si>
  <si>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</si>
  <si>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</si>
  <si>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</si>
  <si>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</si>
  <si>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</si>
  <si>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</si>
  <si>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</si>
  <si>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</si>
  <si>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</si>
  <si>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</si>
  <si>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</si>
  <si>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</si>
  <si>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</si>
  <si>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</si>
  <si>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</si>
  <si>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</si>
  <si>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</si>
  <si>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</si>
  <si>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</si>
  <si>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</si>
  <si>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</si>
  <si>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</si>
  <si>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</si>
  <si>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</si>
  <si>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</si>
  <si>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</si>
  <si>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</si>
  <si>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</si>
  <si>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</si>
  <si>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</si>
  <si>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</si>
  <si>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</si>
  <si>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</si>
  <si>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</si>
  <si>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</si>
  <si>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</si>
  <si>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</si>
  <si>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</si>
  <si>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</si>
  <si>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</si>
  <si>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</si>
  <si>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</si>
  <si>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</si>
  <si>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</si>
  <si>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</si>
  <si>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</si>
  <si>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</si>
  <si>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</si>
  <si>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</si>
  <si>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</si>
  <si>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</si>
  <si>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</si>
  <si>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</si>
  <si>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</si>
  <si>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</si>
  <si>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</si>
  <si>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</si>
  <si>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</si>
  <si>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</si>
  <si>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</si>
  <si>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</si>
  <si>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</si>
  <si>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</si>
  <si>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</si>
  <si>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</si>
  <si>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</si>
  <si>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</si>
  <si>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</si>
  <si>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</si>
  <si>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</si>
  <si>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</si>
  <si>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</si>
  <si>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</si>
  <si>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</si>
  <si>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</si>
  <si>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</si>
  <si>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</si>
  <si>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</si>
  <si>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</si>
  <si>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</si>
  <si>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</si>
  <si>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</si>
  <si>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</si>
  <si>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</si>
  <si>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</si>
  <si>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</si>
  <si>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</si>
  <si>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</si>
  <si>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</si>
  <si>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</si>
  <si>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</si>
  <si>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</si>
  <si>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</si>
  <si>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</si>
  <si>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</si>
  <si>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</si>
  <si>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</si>
  <si>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</si>
  <si>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</si>
  <si>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</si>
  <si>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</si>
  <si>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</si>
  <si>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</si>
  <si>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</si>
  <si>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</si>
  <si>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</si>
  <si>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</si>
  <si>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</si>
  <si>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</si>
  <si>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</si>
  <si>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</si>
  <si>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</si>
  <si>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</si>
  <si>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</si>
  <si>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</si>
  <si>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</si>
  <si>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</si>
  <si>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</si>
  <si>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</si>
  <si>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</si>
  <si>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</si>
  <si>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</si>
  <si>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</si>
  <si>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</si>
  <si>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</si>
  <si>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</si>
  <si>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</si>
  <si>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</si>
  <si>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</si>
  <si>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</si>
  <si>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</si>
  <si>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</si>
  <si>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</si>
  <si>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</si>
  <si>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</si>
  <si>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</si>
  <si>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</si>
  <si>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</si>
  <si>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</si>
  <si>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</si>
  <si>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</si>
  <si>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</si>
  <si>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</si>
  <si>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</si>
  <si>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</si>
  <si>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</si>
  <si>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</si>
  <si>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</si>
  <si>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</si>
  <si>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</si>
  <si>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</si>
  <si>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</si>
  <si>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</si>
  <si>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</si>
  <si>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</si>
  <si>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</si>
  <si>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</si>
  <si>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</si>
  <si>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</si>
  <si>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</si>
  <si>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</si>
  <si>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</si>
  <si>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</si>
  <si>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</si>
  <si>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</si>
  <si>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</si>
  <si>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</si>
  <si>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</si>
  <si>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</si>
  <si>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</si>
  <si>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</si>
  <si>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</si>
  <si>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</si>
  <si>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</si>
  <si>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</si>
  <si>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</si>
  <si>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</si>
  <si>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</si>
  <si>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</si>
  <si>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</si>
  <si>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</si>
  <si>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</si>
  <si>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</si>
  <si>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</si>
  <si>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</si>
  <si>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</si>
  <si>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</si>
  <si>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</si>
  <si>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</si>
  <si>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</si>
  <si>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</si>
  <si>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</si>
  <si>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</si>
  <si>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</si>
  <si>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</si>
  <si>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</si>
  <si>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</si>
  <si>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</si>
  <si>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</si>
  <si>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</si>
  <si>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</si>
  <si>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</si>
  <si>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</si>
  <si>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</si>
  <si>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</si>
  <si>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</si>
  <si>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</si>
  <si>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</si>
  <si>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</si>
  <si>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</si>
  <si>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</si>
  <si>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</si>
  <si>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</si>
  <si>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</si>
  <si>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</si>
  <si>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</si>
  <si>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</si>
  <si>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</si>
  <si>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</si>
  <si>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</si>
  <si>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</si>
  <si>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</si>
  <si>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</si>
  <si>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</si>
  <si>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</si>
  <si>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</si>
  <si>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</si>
  <si>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</si>
  <si>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</si>
  <si>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</si>
  <si>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</si>
  <si>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</si>
  <si>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</si>
  <si>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</si>
  <si>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</si>
  <si>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</si>
  <si>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</si>
  <si>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</si>
  <si>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</si>
  <si>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</si>
  <si>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</si>
  <si>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</si>
  <si>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</si>
  <si>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</si>
  <si>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</si>
  <si>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</si>
  <si>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</si>
  <si>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</si>
  <si>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</si>
  <si>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</si>
  <si>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</si>
  <si>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</si>
  <si>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</si>
  <si>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</si>
  <si>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</si>
  <si>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</si>
  <si>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</si>
  <si>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</si>
  <si>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</si>
  <si>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</si>
  <si>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</si>
  <si>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</si>
  <si>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</si>
  <si>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</si>
  <si>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</si>
  <si>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</si>
  <si>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</si>
  <si>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</si>
  <si>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</si>
  <si>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</si>
  <si>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</si>
  <si>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</si>
  <si>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</si>
  <si>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</si>
  <si>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</si>
  <si>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</si>
  <si>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</si>
  <si>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</si>
  <si>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</si>
  <si>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</si>
  <si>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</si>
  <si>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</si>
  <si>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</si>
  <si>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</si>
  <si>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</si>
  <si>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</si>
  <si>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</si>
  <si>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</si>
  <si>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</si>
  <si>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</si>
  <si>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</si>
  <si>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</si>
  <si>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</si>
  <si>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</si>
  <si>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</si>
  <si>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</si>
  <si>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</si>
  <si>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</si>
  <si>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</si>
  <si>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</si>
  <si>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</si>
  <si>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</si>
  <si>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</si>
  <si>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</si>
  <si>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</si>
  <si>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</si>
  <si>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</si>
  <si>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</si>
  <si>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</si>
  <si>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</si>
  <si>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</si>
  <si>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</si>
  <si>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</si>
  <si>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</si>
  <si>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</si>
  <si>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</si>
  <si>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</si>
  <si>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</si>
  <si>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</si>
  <si>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</si>
  <si>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</si>
  <si>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</si>
  <si>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</si>
  <si>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</si>
  <si>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</si>
  <si>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</si>
  <si>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</si>
  <si>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</si>
  <si>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</si>
  <si>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</si>
  <si>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</si>
  <si>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</si>
  <si>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</si>
  <si>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</si>
  <si>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</si>
  <si>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</si>
  <si>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</si>
  <si>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</si>
  <si>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</si>
  <si>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</si>
  <si>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</si>
  <si>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</si>
  <si>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</si>
  <si>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</si>
  <si>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</si>
  <si>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</si>
  <si>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</si>
  <si>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</si>
  <si>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</si>
  <si>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</si>
  <si>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</si>
  <si>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</si>
  <si>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</si>
  <si>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</si>
  <si>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</si>
  <si>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</si>
  <si>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</si>
  <si>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</si>
  <si>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</si>
  <si>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</si>
  <si>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</si>
  <si>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</si>
  <si>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</si>
  <si>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</si>
  <si>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</si>
  <si>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</si>
  <si>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</si>
  <si>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</si>
  <si>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</si>
  <si>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</si>
  <si>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</si>
  <si>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</si>
  <si>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</si>
  <si>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</si>
  <si>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</si>
  <si>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</si>
  <si>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</si>
  <si>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</si>
  <si>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</si>
  <si>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</si>
  <si>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</si>
  <si>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</si>
  <si>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</si>
  <si>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</si>
  <si>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</si>
  <si>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</si>
  <si>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</si>
  <si>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</si>
  <si>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</si>
  <si>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</si>
  <si>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</si>
  <si>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</si>
  <si>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</si>
  <si>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</si>
  <si>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</si>
  <si>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</si>
  <si>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</si>
  <si>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</si>
  <si>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</si>
  <si>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</si>
  <si>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</si>
  <si>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</si>
  <si>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</si>
  <si>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</si>
  <si>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</si>
  <si>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</si>
  <si>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</si>
  <si>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</si>
  <si>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</si>
  <si>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</si>
  <si>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</si>
  <si>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</si>
  <si>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</si>
  <si>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</si>
  <si>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</si>
  <si>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</si>
  <si>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</si>
  <si>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</si>
  <si>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</si>
  <si>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</si>
  <si>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</si>
  <si>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</si>
  <si>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</si>
  <si>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</si>
  <si>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</si>
  <si>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</si>
  <si>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</si>
  <si>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</si>
  <si>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</si>
  <si>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</si>
  <si>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</si>
  <si>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</si>
  <si>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</si>
  <si>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</si>
  <si>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</si>
  <si>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</si>
  <si>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</si>
  <si>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</si>
  <si>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</si>
  <si>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</si>
  <si>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</si>
  <si>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</si>
  <si>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</si>
  <si>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</si>
  <si>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</si>
  <si>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</si>
  <si>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</si>
  <si>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</si>
  <si>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</si>
  <si>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</si>
  <si>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</si>
  <si>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</si>
  <si>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</si>
  <si>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</si>
  <si>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</si>
  <si>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</si>
  <si>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</si>
  <si>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</si>
  <si>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</si>
  <si>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</si>
  <si>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</si>
  <si>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</si>
  <si>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</si>
  <si>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</si>
  <si>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</si>
  <si>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</si>
  <si>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</si>
  <si>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</si>
  <si>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</si>
  <si>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</si>
  <si>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</si>
  <si>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</si>
  <si>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</si>
  <si>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</si>
  <si>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</si>
  <si>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</si>
  <si>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</si>
  <si>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</si>
  <si>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</si>
  <si>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</si>
  <si>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</si>
  <si>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</si>
  <si>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</si>
  <si>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</si>
  <si>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</si>
  <si>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</si>
  <si>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</si>
  <si>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</si>
  <si>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</si>
  <si>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</si>
  <si>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</si>
  <si>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</si>
  <si>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</si>
  <si>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</si>
  <si>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</si>
  <si>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</si>
  <si>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</si>
  <si>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</si>
  <si>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</si>
  <si>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</si>
  <si>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</si>
  <si>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</si>
  <si>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</si>
  <si>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</si>
  <si>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</si>
  <si>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</si>
  <si>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</si>
  <si>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</si>
  <si>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</si>
  <si>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</si>
  <si>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</si>
  <si>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</si>
  <si>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</si>
  <si>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</si>
  <si>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</si>
  <si>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</si>
  <si>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</si>
  <si>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</si>
  <si>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</si>
  <si>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</si>
  <si>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</si>
  <si>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</si>
  <si>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</si>
  <si>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</si>
  <si>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</si>
  <si>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</si>
  <si>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</si>
  <si>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</si>
  <si>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</si>
  <si>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</si>
  <si>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</si>
  <si>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</si>
  <si>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</si>
  <si>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</si>
  <si>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</si>
  <si>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</si>
  <si>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</si>
  <si>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</si>
  <si>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</si>
  <si>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</si>
  <si>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</si>
  <si>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</si>
  <si>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</si>
  <si>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</si>
  <si>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</si>
  <si>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</si>
  <si>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</si>
  <si>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</si>
  <si>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</si>
  <si>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</si>
  <si>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</si>
  <si>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</si>
  <si>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</si>
  <si>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</si>
  <si>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</si>
  <si>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</si>
  <si>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</si>
  <si>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</si>
  <si>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</si>
  <si>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</si>
  <si>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</si>
  <si>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</si>
  <si>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</si>
  <si>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</si>
  <si>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</si>
  <si>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</si>
  <si>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</si>
  <si>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</si>
  <si>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</si>
  <si>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</si>
  <si>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</si>
  <si>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</si>
  <si>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</si>
  <si>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</si>
  <si>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</si>
  <si>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</si>
  <si>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</si>
  <si>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</si>
  <si>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</si>
  <si>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</si>
  <si>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</si>
  <si>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</si>
  <si>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</si>
  <si>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</si>
  <si>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</si>
  <si>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</si>
  <si>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</si>
  <si>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</si>
  <si>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</si>
  <si>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</si>
  <si>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</si>
  <si>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</si>
  <si>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</si>
  <si>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</si>
  <si>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</si>
  <si>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</si>
  <si>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</si>
  <si>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</si>
  <si>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</si>
  <si>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</si>
  <si>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</si>
  <si>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</si>
  <si>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</si>
  <si>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</si>
  <si>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</si>
  <si>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</si>
  <si>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</si>
  <si>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</si>
  <si>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</si>
  <si>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</si>
  <si>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</si>
  <si>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</si>
  <si>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</si>
  <si>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</si>
  <si>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</si>
  <si>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</si>
  <si>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</si>
  <si>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</si>
  <si>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</si>
  <si>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</si>
  <si>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</si>
  <si>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</si>
  <si>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</si>
  <si>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</si>
  <si>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</si>
  <si>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</si>
  <si>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</si>
  <si>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</si>
  <si>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</si>
  <si>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</si>
  <si>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</si>
  <si>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</si>
  <si>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</si>
  <si>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</si>
  <si>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</si>
  <si>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</si>
  <si>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</si>
  <si>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</si>
  <si>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</si>
  <si>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</si>
  <si>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</si>
  <si>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</si>
  <si>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</si>
  <si>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</si>
  <si>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</si>
  <si>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</si>
  <si>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</si>
  <si>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</si>
  <si>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</si>
  <si>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</si>
  <si>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</si>
  <si>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</si>
  <si>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</si>
  <si>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</si>
  <si>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</si>
  <si>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</si>
  <si>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</si>
  <si>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</si>
  <si>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</si>
  <si>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</si>
  <si>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</si>
  <si>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</si>
  <si>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</si>
  <si>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</si>
  <si>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</si>
  <si>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</si>
  <si>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</si>
  <si>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</si>
  <si>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</si>
  <si>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</si>
  <si>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</si>
  <si>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</si>
  <si>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</si>
  <si>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</si>
  <si>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</si>
  <si>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</si>
  <si>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</si>
  <si>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</si>
  <si>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</si>
  <si>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</si>
  <si>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</si>
  <si>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</si>
  <si>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</si>
  <si>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</si>
  <si>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</si>
  <si>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</si>
  <si>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</si>
  <si>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</si>
  <si>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</si>
  <si>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</si>
  <si>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</si>
  <si>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</si>
  <si>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</si>
  <si>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</si>
  <si>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</si>
  <si>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</si>
  <si>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</si>
  <si>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</si>
  <si>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</si>
  <si>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</si>
  <si>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</si>
  <si>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</si>
  <si>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</si>
  <si>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</si>
  <si>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</si>
  <si>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</si>
  <si>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</si>
  <si>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</si>
  <si>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</si>
  <si>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</si>
  <si>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</si>
  <si>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</si>
  <si>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</si>
  <si>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</si>
  <si>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</si>
  <si>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</si>
  <si>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</si>
  <si>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</si>
  <si>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</si>
  <si>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</si>
  <si>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</si>
  <si>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</si>
  <si>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</si>
  <si>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</si>
  <si>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</si>
  <si>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</si>
  <si>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</si>
  <si>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</si>
  <si>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</si>
  <si>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</si>
  <si>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</si>
  <si>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</si>
  <si>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</si>
  <si>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</si>
  <si>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</si>
  <si>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</si>
  <si>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</si>
  <si>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</si>
  <si>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</si>
  <si>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</si>
  <si>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</si>
  <si>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</si>
  <si>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</si>
  <si>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</si>
  <si>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</si>
  <si>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</si>
  <si>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</si>
  <si>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</si>
  <si>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</si>
  <si>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</si>
  <si>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</si>
  <si>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</si>
  <si>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</si>
  <si>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</si>
  <si>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</si>
  <si>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</si>
  <si>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</si>
  <si>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</si>
  <si>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</si>
  <si>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</si>
  <si>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</si>
  <si>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</si>
  <si>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</si>
  <si>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</si>
  <si>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</si>
  <si>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</si>
  <si>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</si>
  <si>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</si>
  <si>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</si>
  <si>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</si>
  <si>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</si>
  <si>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</si>
  <si>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</si>
  <si>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</si>
  <si>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</si>
  <si>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</si>
  <si>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</si>
  <si>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</si>
  <si>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</si>
  <si>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</si>
  <si>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</si>
  <si>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</si>
  <si>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</si>
  <si>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</si>
  <si>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</si>
  <si>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</si>
  <si>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</si>
  <si>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</si>
  <si>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</si>
  <si>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</si>
  <si>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</si>
  <si>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</si>
  <si>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</si>
  <si>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</si>
  <si>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</si>
  <si>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</si>
  <si>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</si>
  <si>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</si>
  <si>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</si>
  <si>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</si>
  <si>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</si>
  <si>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</si>
  <si>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</si>
  <si>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</si>
  <si>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</si>
  <si>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</si>
  <si>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</si>
  <si>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</si>
  <si>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</si>
  <si>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</si>
  <si>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</si>
  <si>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</si>
  <si>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</si>
  <si>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</si>
  <si>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</si>
  <si>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</si>
  <si>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</si>
  <si>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</si>
  <si>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</si>
  <si>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</si>
  <si>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</si>
  <si>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</si>
  <si>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</si>
  <si>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</si>
  <si>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</si>
  <si>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</si>
  <si>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</si>
  <si>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</si>
  <si>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</si>
  <si>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</si>
  <si>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</si>
  <si>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</si>
  <si>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</si>
  <si>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</si>
  <si>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</si>
  <si>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</si>
  <si>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</si>
  <si>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</si>
  <si>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</si>
  <si>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</si>
  <si>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</si>
  <si>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</si>
  <si>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</si>
  <si>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</si>
  <si>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</si>
  <si>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</si>
  <si>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</si>
  <si>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</si>
  <si>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</si>
  <si>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</si>
  <si>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</si>
  <si>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</si>
  <si>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</si>
  <si>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</si>
  <si>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</si>
  <si>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</si>
  <si>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</si>
  <si>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</si>
  <si>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</si>
  <si>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</si>
  <si>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</si>
  <si>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</si>
  <si>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</si>
  <si>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</si>
  <si>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</si>
  <si>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</si>
  <si>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</si>
  <si>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</si>
  <si>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</si>
  <si>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</si>
  <si>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</si>
  <si>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</si>
  <si>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</si>
  <si>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</si>
  <si>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</si>
  <si>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</si>
  <si>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</si>
  <si>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</si>
  <si>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</si>
  <si>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</si>
  <si>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</si>
  <si>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</si>
  <si>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</si>
  <si>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</si>
  <si>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</si>
  <si>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</si>
  <si>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</si>
  <si>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</si>
  <si>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</si>
  <si>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</si>
  <si>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</si>
  <si>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</si>
  <si>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</si>
  <si>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</si>
  <si>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</si>
  <si>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</si>
  <si>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</si>
  <si>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</si>
  <si>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</si>
  <si>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</si>
  <si>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</si>
  <si>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</si>
  <si>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</si>
  <si>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</si>
  <si>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</si>
  <si>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</si>
  <si>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</si>
  <si>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</si>
  <si>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</si>
  <si>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</si>
  <si>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</si>
  <si>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</si>
  <si>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</si>
  <si>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</si>
  <si>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</si>
  <si>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</si>
  <si>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</si>
  <si>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</si>
  <si>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</si>
  <si>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</si>
  <si>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</si>
  <si>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</si>
  <si>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</si>
  <si>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</si>
  <si>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</si>
  <si>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</si>
  <si>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</si>
  <si>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</si>
  <si>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</si>
  <si>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</si>
  <si>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</si>
  <si>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</si>
  <si>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</si>
  <si>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</si>
  <si>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</si>
  <si>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</si>
  <si>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</si>
  <si>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</si>
  <si>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</si>
  <si>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</si>
  <si>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</si>
  <si>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</si>
  <si>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</si>
  <si>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</si>
  <si>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</si>
  <si>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</si>
  <si>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</si>
  <si>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</si>
  <si>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</si>
  <si>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</si>
  <si>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</si>
  <si>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</si>
  <si>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</si>
  <si>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</si>
  <si>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</si>
  <si>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</si>
  <si>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</si>
  <si>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</si>
  <si>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</si>
  <si>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</si>
  <si>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</si>
  <si>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</si>
  <si>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</si>
  <si>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</si>
  <si>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</si>
  <si>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</si>
  <si>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</si>
  <si>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</si>
  <si>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</si>
  <si>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</si>
  <si>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</si>
  <si>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</si>
  <si>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</si>
  <si>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</si>
  <si>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</si>
  <si>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</si>
  <si>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</si>
  <si>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</si>
  <si>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</si>
  <si>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</si>
  <si>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</si>
  <si>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</si>
  <si>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</si>
  <si>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</si>
  <si>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</si>
  <si>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</si>
  <si>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</si>
  <si>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</si>
  <si>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</si>
  <si>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</si>
  <si>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</si>
  <si>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</si>
  <si>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</si>
  <si>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</si>
  <si>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</si>
  <si>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</si>
  <si>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</si>
  <si>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</si>
  <si>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</si>
  <si>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</si>
  <si>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</si>
  <si>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</si>
  <si>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</si>
  <si>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</si>
  <si>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</si>
  <si>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</si>
  <si>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</si>
  <si>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</si>
  <si>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</si>
  <si>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</si>
  <si>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</si>
  <si>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</si>
  <si>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</si>
  <si>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</si>
  <si>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</si>
  <si>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</si>
  <si>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</si>
  <si>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</si>
  <si>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</si>
  <si>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</si>
  <si>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</si>
  <si>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</si>
  <si>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</si>
  <si>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</si>
  <si>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</si>
  <si>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</si>
  <si>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</si>
  <si>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</si>
  <si>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</si>
  <si>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</si>
  <si>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</si>
  <si>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</si>
  <si>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</si>
  <si>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</si>
  <si>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</si>
  <si>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</si>
  <si>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</si>
  <si>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</si>
  <si>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</si>
  <si>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</si>
  <si>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</si>
  <si>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</si>
  <si>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</si>
  <si>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</si>
  <si>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</si>
  <si>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</si>
  <si>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</si>
  <si>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</si>
  <si>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</si>
  <si>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</si>
  <si>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</si>
  <si>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</si>
  <si>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</si>
  <si>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</si>
  <si>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</si>
  <si>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</si>
  <si>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</si>
  <si>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</si>
  <si>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</si>
  <si>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</si>
  <si>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</si>
  <si>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</si>
  <si>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</si>
  <si>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</si>
  <si>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</si>
  <si>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</si>
  <si>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</si>
  <si>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</si>
  <si>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</si>
  <si>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</si>
  <si>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</si>
  <si>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</si>
  <si>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</si>
  <si>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</si>
  <si>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</si>
  <si>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</si>
  <si>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</si>
  <si>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</si>
  <si>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</si>
  <si>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</si>
  <si>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</si>
  <si>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</si>
  <si>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</si>
  <si>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</si>
  <si>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</si>
  <si>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</si>
  <si>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</si>
  <si>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</si>
  <si>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</si>
  <si>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</si>
  <si>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</si>
  <si>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</si>
  <si>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</si>
  <si>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</si>
  <si>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</si>
  <si>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</si>
  <si>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</si>
  <si>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</si>
  <si>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</si>
  <si>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</si>
  <si>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</si>
  <si>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</si>
  <si>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</si>
  <si>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</si>
  <si>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</si>
  <si>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</si>
  <si>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</si>
  <si>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</si>
  <si>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</si>
  <si>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</si>
  <si>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</si>
  <si>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</si>
  <si>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</si>
  <si>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</si>
  <si>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</si>
  <si>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</si>
  <si>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</si>
  <si>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</si>
  <si>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</si>
  <si>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</si>
  <si>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</si>
  <si>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</si>
  <si>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</si>
  <si>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</si>
  <si>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</si>
  <si>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</si>
  <si>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</si>
  <si>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</si>
  <si>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</si>
  <si>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</si>
  <si>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</si>
  <si>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</si>
  <si>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</si>
  <si>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</si>
  <si>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</si>
  <si>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</si>
  <si>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</si>
  <si>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</si>
  <si>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</si>
  <si>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</si>
  <si>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</si>
  <si>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</si>
  <si>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</si>
  <si>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</si>
  <si>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</si>
  <si>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</si>
  <si>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</si>
  <si>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</si>
  <si>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</si>
  <si>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</si>
  <si>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</si>
  <si>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</si>
  <si>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</si>
  <si>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</si>
  <si>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</si>
  <si>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</si>
  <si>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</si>
  <si>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</si>
  <si>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</si>
  <si>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</si>
  <si>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</si>
  <si>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</si>
  <si>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</si>
  <si>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</si>
  <si>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</si>
  <si>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</si>
  <si>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</si>
  <si>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</si>
  <si>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</si>
  <si>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</si>
  <si>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</si>
  <si>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</si>
  <si>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</si>
  <si>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</si>
  <si>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</si>
  <si>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</si>
  <si>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</si>
  <si>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</si>
  <si>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</si>
  <si>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</si>
  <si>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</si>
  <si>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</si>
  <si>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</si>
  <si>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</si>
  <si>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</si>
  <si>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</si>
  <si>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</si>
  <si>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</si>
  <si>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</si>
  <si>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</si>
  <si>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</si>
  <si>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</si>
  <si>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</si>
  <si>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</si>
  <si>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</si>
  <si>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</si>
  <si>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</si>
  <si>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</si>
  <si>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</si>
  <si>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</si>
  <si>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</si>
  <si>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</si>
  <si>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</si>
  <si>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</si>
  <si>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</si>
  <si>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</si>
  <si>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</si>
  <si>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</si>
  <si>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</si>
  <si>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</si>
  <si>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</si>
  <si>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</si>
  <si>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</si>
  <si>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</si>
  <si>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</si>
  <si>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</si>
  <si>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</si>
  <si>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</si>
  <si>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</si>
  <si>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</si>
  <si>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</si>
  <si>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</si>
  <si>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</si>
  <si>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</si>
  <si>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</si>
  <si>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</si>
  <si>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</si>
  <si>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</si>
  <si>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</si>
  <si>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</si>
  <si>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</si>
  <si>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</si>
  <si>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</si>
  <si>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</si>
  <si>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</si>
  <si>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</si>
  <si>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</si>
  <si>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</si>
  <si>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</si>
  <si>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</si>
  <si>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</si>
  <si>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</si>
  <si>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</si>
  <si>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</si>
  <si>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</si>
  <si>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</si>
  <si>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</si>
  <si>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</si>
  <si>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</si>
  <si>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</si>
  <si>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</si>
  <si>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</si>
  <si>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</si>
  <si>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</si>
  <si>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</si>
  <si>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</si>
  <si>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</si>
  <si>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</si>
  <si>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</si>
  <si>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</si>
  <si>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</si>
  <si>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</si>
  <si>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</si>
  <si>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</si>
  <si>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</si>
  <si>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</si>
  <si>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</si>
  <si>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</si>
  <si>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</si>
  <si>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</si>
  <si>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</si>
  <si>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</si>
  <si>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</si>
  <si>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</si>
  <si>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</si>
  <si>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</si>
  <si>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</si>
  <si>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</si>
  <si>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</si>
  <si>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</si>
  <si>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</si>
  <si>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</si>
  <si>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</si>
  <si>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</si>
  <si>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</si>
  <si>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</si>
  <si>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</si>
  <si>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</si>
  <si>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</si>
  <si>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</si>
  <si>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</si>
  <si>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</si>
  <si>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</si>
  <si>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</si>
  <si>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</si>
  <si>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</si>
  <si>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</si>
  <si>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</si>
  <si>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</si>
  <si>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</si>
  <si>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</si>
  <si>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</si>
  <si>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</si>
  <si>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</si>
  <si>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</si>
  <si>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</si>
  <si>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</si>
  <si>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</si>
  <si>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</si>
  <si>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</si>
  <si>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</si>
  <si>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</si>
  <si>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</si>
  <si>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</si>
  <si>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</si>
  <si>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</si>
  <si>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</si>
  <si>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</si>
  <si>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</si>
  <si>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</si>
  <si>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</si>
  <si>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</si>
  <si>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</si>
  <si>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</si>
  <si>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</si>
  <si>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</si>
  <si>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</si>
  <si>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</si>
  <si>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</si>
  <si>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</si>
  <si>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</si>
  <si>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</si>
  <si>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</si>
  <si>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</si>
  <si>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</si>
  <si>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</si>
  <si>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</si>
  <si>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</si>
  <si>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</si>
  <si>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</si>
  <si>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</si>
  <si>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</si>
  <si>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</si>
  <si>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</si>
  <si>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</si>
  <si>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</si>
  <si>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</si>
  <si>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</si>
  <si>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</si>
  <si>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</si>
  <si>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</si>
  <si>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</si>
  <si>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</si>
  <si>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</si>
  <si>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</si>
  <si>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</si>
  <si>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</si>
  <si>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</si>
  <si>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</si>
  <si>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</si>
  <si>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</si>
  <si>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</si>
  <si>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</si>
  <si>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</si>
  <si>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</si>
  <si>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</si>
  <si>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</si>
  <si>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</si>
  <si>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</si>
  <si>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</si>
  <si>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</si>
  <si>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</si>
  <si>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</si>
  <si>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</si>
  <si>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</si>
  <si>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</si>
  <si>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</si>
  <si>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</si>
  <si>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</si>
  <si>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</si>
  <si>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</si>
  <si>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</si>
  <si>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</si>
  <si>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</si>
  <si>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</si>
  <si>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</si>
  <si>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</si>
  <si>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</si>
  <si>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</si>
  <si>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</si>
  <si>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</si>
  <si>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</si>
  <si>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</si>
  <si>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</si>
  <si>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</si>
  <si>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</si>
  <si>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</si>
  <si>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</si>
  <si>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</si>
  <si>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</si>
  <si>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</si>
  <si>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</si>
  <si>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</si>
  <si>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</si>
  <si>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</si>
  <si>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</si>
  <si>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</si>
  <si>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</si>
  <si>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</si>
  <si>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</si>
  <si>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</si>
  <si>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</si>
  <si>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</si>
  <si>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</si>
  <si>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</si>
  <si>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</si>
  <si>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</si>
  <si>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</si>
  <si>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</si>
  <si>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</si>
  <si>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</si>
  <si>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</si>
  <si>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</si>
  <si>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</si>
  <si>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</si>
  <si>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</si>
  <si>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</si>
  <si>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</si>
  <si>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</si>
  <si>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</si>
  <si>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</si>
  <si>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</si>
  <si>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</si>
  <si>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</si>
  <si>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</si>
  <si>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</si>
  <si>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</si>
  <si>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</si>
  <si>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</si>
  <si>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</si>
  <si>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</si>
  <si>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</si>
  <si>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</si>
  <si>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</si>
  <si>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</si>
  <si>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</si>
  <si>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</si>
  <si>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</si>
  <si>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</si>
  <si>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</si>
  <si>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</si>
  <si>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</si>
  <si>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</si>
  <si>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</si>
  <si>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</si>
  <si>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</si>
  <si>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</si>
  <si>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</si>
  <si>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</si>
  <si>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</si>
  <si>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</si>
  <si>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</si>
  <si>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</si>
  <si>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</si>
  <si>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</si>
  <si>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</si>
  <si>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</si>
  <si>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</si>
  <si>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</si>
  <si>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</si>
  <si>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</si>
  <si>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</si>
  <si>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</si>
  <si>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</si>
  <si>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</si>
  <si>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</si>
  <si>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</si>
  <si>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</si>
  <si>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</si>
  <si>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</si>
  <si>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</si>
  <si>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</si>
  <si>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</si>
  <si>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</si>
  <si>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</si>
  <si>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</si>
  <si>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</si>
  <si>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</si>
  <si>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</si>
  <si>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</si>
  <si>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</si>
  <si>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</si>
  <si>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</si>
  <si>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</si>
  <si>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</si>
  <si>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</si>
  <si>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</si>
  <si>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</si>
  <si>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</si>
  <si>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</si>
  <si>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</si>
  <si>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</si>
  <si>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</si>
  <si>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</si>
  <si>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</si>
  <si>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</si>
  <si>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</si>
  <si>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</si>
  <si>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</si>
  <si>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</si>
  <si>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</si>
  <si>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</si>
  <si>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</si>
  <si>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</si>
  <si>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</si>
  <si>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</si>
  <si>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</si>
  <si>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</si>
  <si>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</si>
  <si>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</si>
  <si>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</si>
  <si>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</si>
  <si>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</si>
  <si>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</si>
  <si>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</si>
  <si>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</si>
  <si>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</si>
  <si>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</si>
  <si>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</si>
  <si>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</si>
  <si>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</si>
  <si>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</si>
  <si>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</si>
  <si>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</si>
  <si>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</si>
  <si>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</si>
  <si>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</si>
  <si>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</si>
  <si>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</si>
  <si>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</si>
  <si>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</si>
  <si>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</si>
  <si>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</si>
  <si>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</si>
  <si>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</si>
  <si>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</si>
  <si>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</si>
  <si>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</si>
  <si>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</si>
  <si>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</si>
  <si>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</si>
  <si>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</si>
  <si>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</si>
  <si>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</si>
  <si>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</si>
  <si>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</si>
  <si>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</si>
  <si>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</si>
  <si>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</si>
  <si>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</si>
  <si>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</si>
  <si>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</si>
  <si>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</si>
  <si>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</si>
  <si>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</si>
  <si>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</si>
  <si>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</si>
  <si>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</si>
  <si>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</si>
  <si>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</si>
  <si>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</si>
  <si>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</si>
  <si>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</si>
  <si>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</si>
  <si>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</si>
  <si>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</si>
  <si>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</si>
  <si>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</si>
  <si>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</si>
  <si>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</si>
  <si>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</si>
  <si>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</si>
  <si>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</si>
  <si>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</si>
  <si>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</si>
  <si>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</si>
  <si>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</si>
  <si>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</si>
  <si>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</si>
  <si>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自定义容积率</t>
  </si>
  <si>
    <t>底商</t>
  </si>
  <si>
    <t>底商</t>
    <phoneticPr fontId="30" type="noConversion"/>
  </si>
  <si>
    <t>楼面单价</t>
  </si>
  <si>
    <t>未包含在土地购买价格中</t>
  </si>
  <si>
    <t>已包含在土地取得成本中</t>
  </si>
  <si>
    <t>与级别开发程度一致</t>
  </si>
  <si>
    <t>不临街</t>
  </si>
  <si>
    <t>自定义</t>
  </si>
  <si>
    <t>企业</t>
  </si>
  <si>
    <t>不临65条商业街</t>
  </si>
  <si>
    <t>容积率修正</t>
  </si>
  <si>
    <t>平整</t>
  </si>
  <si>
    <t>全部缴纳</t>
  </si>
  <si>
    <t>工业项目</t>
  </si>
  <si>
    <t>工业</t>
    <phoneticPr fontId="7" type="noConversion"/>
  </si>
  <si>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</si>
  <si>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</si>
  <si>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</si>
  <si>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</si>
  <si>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</si>
  <si>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</si>
  <si>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</si>
  <si>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</si>
  <si>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</si>
  <si>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</si>
  <si>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</si>
  <si>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</si>
  <si>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</si>
  <si>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</si>
  <si>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成交土地单价(元/㎡)</t>
  </si>
  <si>
    <t>成交每亩价(万元/亩)</t>
  </si>
  <si>
    <t>成交楼面价(元/㎡)</t>
  </si>
  <si>
    <t>溢价率(%)</t>
  </si>
  <si>
    <t>出让年限(年)</t>
  </si>
  <si>
    <t>广阳经济开发区内,基业路以东、畅祥南道以北</t>
  </si>
  <si>
    <t>廊坊市</t>
  </si>
  <si>
    <t>廊广2024-8号地块</t>
  </si>
  <si>
    <t xml:space="preserve"> 工业用地 </t>
  </si>
  <si>
    <t xml:space="preserve"> 1.200≤ 并且 ≤2.500 </t>
  </si>
  <si>
    <t xml:space="preserve"> 拍卖 </t>
  </si>
  <si>
    <t xml:space="preserve">-- </t>
  </si>
  <si>
    <t xml:space="preserve"> 已成交 </t>
  </si>
  <si>
    <t xml:space="preserve"> 廊坊市泽润天成能源科技有限公司  </t>
  </si>
  <si>
    <t xml:space="preserve"> 50年 </t>
  </si>
  <si>
    <t>廊坊开发区岳洋路东侧、万福路西侧</t>
  </si>
  <si>
    <t>131003002020GB00188</t>
  </si>
  <si>
    <t xml:space="preserve"> 1.000≤ </t>
  </si>
  <si>
    <t xml:space="preserve"> 廊坊经济技术开发区管理委员会  </t>
  </si>
  <si>
    <t>廊坊经济技术开发区纬五道北侧、廊坊华安盛翔汽车科技有限公司东侧</t>
  </si>
  <si>
    <t>131003001004GB00081</t>
  </si>
  <si>
    <t xml:space="preserve"> 廊坊华安盛翔汽车科技有限公司  </t>
  </si>
  <si>
    <t>廊坊开发区三号路南侧、桐西路东侧</t>
  </si>
  <si>
    <t>131003002007GB00195</t>
  </si>
  <si>
    <t xml:space="preserve"> 廊坊市德源汽车零部件有限公司  </t>
  </si>
  <si>
    <t>广阳经济开发区内,畅祥道以南、新业路以西</t>
  </si>
  <si>
    <t>廊广2024-7号地块</t>
  </si>
  <si>
    <t xml:space="preserve"> 廊坊市恒发数控技术有限公司  </t>
  </si>
  <si>
    <t xml:space="preserve"> 20年 </t>
  </si>
  <si>
    <t>广阳经济开发区内,畅祥道南侧、新业路西侧</t>
  </si>
  <si>
    <t>廊广2024-4号地块</t>
  </si>
  <si>
    <t xml:space="preserve"> 廊坊市金福汇科技有限公司  </t>
  </si>
  <si>
    <t xml:space="preserve"> 30年 </t>
  </si>
  <si>
    <t>广阳经济开发区内,新业路以西、畅祥南道以北</t>
  </si>
  <si>
    <t>廊广2024-5号地块</t>
  </si>
  <si>
    <t xml:space="preserve"> 河北鼎之鑫科技有限公司  </t>
  </si>
  <si>
    <t>廊广2024-6号地块</t>
  </si>
  <si>
    <t xml:space="preserve"> 廊坊市智盈瑞兴汽车零部件有限公司  </t>
  </si>
  <si>
    <t>廊坊经济技术开发区四号路北侧、桐西路西侧</t>
  </si>
  <si>
    <t>131003002006GB00182</t>
  </si>
  <si>
    <t xml:space="preserve"> 润泽科技发展有限公司  </t>
  </si>
  <si>
    <t>廊坊开发区桐西路东侧</t>
  </si>
  <si>
    <t>131003002007GB00197</t>
  </si>
  <si>
    <t xml:space="preserve"> 廊坊纽特科技有限公司  </t>
  </si>
  <si>
    <t>安次经济开发区安杰道南侧、安和路东侧、安华路西侧</t>
  </si>
  <si>
    <t>廊安2023-4</t>
  </si>
  <si>
    <t xml:space="preserve"> 1.000≤ 并且 ≤2.500 </t>
  </si>
  <si>
    <t xml:space="preserve"> 廊坊市峰澍设备有限公司  </t>
  </si>
  <si>
    <t>廊坊开发区创业路西侧、翠青北道南侧</t>
  </si>
  <si>
    <t>131003002013GB00262</t>
  </si>
  <si>
    <t xml:space="preserve"> 廊坊华安汽车装备有限公司  </t>
  </si>
  <si>
    <t>广阳经济开发区内,畅祥道以南、基业路以东</t>
  </si>
  <si>
    <t>廊广2023-9号地块</t>
  </si>
  <si>
    <t xml:space="preserve"> 1.200≤并且≤2.500 </t>
  </si>
  <si>
    <t xml:space="preserve"> 翌兴精密科技(河北)有限公司  </t>
  </si>
  <si>
    <t>广阳经济开发区内,光明东道南侧、伟业路东侧、新业路西侧、兴运北道北侧</t>
  </si>
  <si>
    <t>廊广2023-8号地块</t>
  </si>
  <si>
    <t xml:space="preserve"> 仓储用地 </t>
  </si>
  <si>
    <t xml:space="preserve"> 名创(廊坊)物流有限公司  </t>
  </si>
  <si>
    <t>廊广2023-10号地块</t>
  </si>
  <si>
    <t xml:space="preserve"> 鹊鸿(河北)医药科技有限公司  </t>
  </si>
  <si>
    <t>廊坊开发区创业路东侧、化辛路西侧</t>
  </si>
  <si>
    <t>廊开2023-18</t>
  </si>
  <si>
    <t xml:space="preserve"> 河北安闻汽车零部件有限公司  </t>
  </si>
  <si>
    <t>廊坊开发区梨园路西侧、桐柏供销社收棉站北侧</t>
  </si>
  <si>
    <t>廊开2023-13</t>
  </si>
  <si>
    <t xml:space="preserve"> 江南信创(廊坊)技术有限公司  </t>
  </si>
  <si>
    <t>廊坊开发区广宇物流有限公司内</t>
  </si>
  <si>
    <t>廊开2023-16</t>
  </si>
  <si>
    <t xml:space="preserve"> 1.200≤ </t>
  </si>
  <si>
    <t xml:space="preserve"> 廊坊开发区广宇物流有限公司  </t>
  </si>
  <si>
    <t xml:space="preserve"> 35年 </t>
  </si>
  <si>
    <t>阜阳二街北侧、翔宝西路东侧</t>
  </si>
  <si>
    <t>廊临空2023-8号</t>
  </si>
  <si>
    <t xml:space="preserve"> 1.000≤ 并且 ≤3.500 </t>
  </si>
  <si>
    <t xml:space="preserve"> 河北临空集团有限公司  </t>
  </si>
  <si>
    <t>开发区友谊路西侧、九干渠东侧、廊坊市精准通科技有限公司南侧</t>
  </si>
  <si>
    <t>廊开2023-12</t>
  </si>
  <si>
    <t xml:space="preserve"> 廊坊拓基众合科技有限公司  </t>
  </si>
  <si>
    <t>阜阳一街南侧、凯达四路西侧</t>
  </si>
  <si>
    <t>廊临空2023-4号</t>
  </si>
  <si>
    <t xml:space="preserve"> 廊坊晨融供应链有限公司  </t>
  </si>
  <si>
    <t>爱民东道北侧、九干渠西侧</t>
  </si>
  <si>
    <t>廊广2023-5</t>
  </si>
  <si>
    <t xml:space="preserve"> 1.000≤并且≤1.500 </t>
  </si>
  <si>
    <t xml:space="preserve"> 廊坊市恒展科技有限公司  </t>
  </si>
  <si>
    <t>玉泉路东侧、荷花道北侧</t>
  </si>
  <si>
    <t>廊广2023-4</t>
  </si>
  <si>
    <t xml:space="preserve"> 青藤旺谷科技河北有限公司  </t>
  </si>
  <si>
    <t>官东路西侧、热景(廊坊)生物技术有限公司北侧</t>
  </si>
  <si>
    <t>廊开2023-10</t>
  </si>
  <si>
    <t xml:space="preserve"> 0.800≤ </t>
  </si>
  <si>
    <t xml:space="preserve"> 维特根(中国)机械有限公司  </t>
  </si>
  <si>
    <t xml:space="preserve"> 40年 </t>
  </si>
  <si>
    <t>安中路以东、北护路堤以南</t>
  </si>
  <si>
    <t>廊安2023-2</t>
  </si>
  <si>
    <t xml:space="preserve"> 河北铭斯远建设工程有限公司  </t>
  </si>
  <si>
    <t>开发区纬四道南侧</t>
  </si>
  <si>
    <t>131003001005GB00262</t>
  </si>
  <si>
    <t xml:space="preserve"> 廊坊市檀木坊古典家具有限公司  </t>
  </si>
  <si>
    <t>创业路东侧、中电新源(廊坊)模块化电器有限公司</t>
  </si>
  <si>
    <t>131003002020GB00069</t>
  </si>
  <si>
    <t xml:space="preserve"> 经开世联(廊坊)科技园发展有限公司  </t>
  </si>
  <si>
    <t>翔广路西侧、鹏云西道南侧</t>
  </si>
  <si>
    <t>廊临空2023-3</t>
  </si>
  <si>
    <t xml:space="preserve"> 大于或等于1 </t>
  </si>
  <si>
    <t xml:space="preserve"> 北京星河动力航天科技有限公司  </t>
  </si>
  <si>
    <t>鹏程西路东侧、鹏云西道南侧</t>
  </si>
  <si>
    <t>廊临空2023-2</t>
  </si>
  <si>
    <t>安次区码头镇凤阳路西侧、马杨线南侧</t>
  </si>
  <si>
    <t>廊安2023-1</t>
  </si>
  <si>
    <t xml:space="preserve"> 河北迎春酒集团有限公司  </t>
  </si>
  <si>
    <t>鹏程西路东侧、开源道北侧</t>
  </si>
  <si>
    <t>廊临空2023-1</t>
  </si>
  <si>
    <t xml:space="preserve"> 奥德稀土科技园建设(廊坊)有限公司  </t>
  </si>
  <si>
    <t>广阳经济开发区内,敬业路西侧、兴运道南侧、兴运南道北侧</t>
  </si>
  <si>
    <t>廊广2023-1</t>
  </si>
  <si>
    <t xml:space="preserve"> 大于或等于1.2并且小于或等于2.5 </t>
  </si>
  <si>
    <t xml:space="preserve"> 廊坊市东宜供应链管理有限公司  </t>
  </si>
  <si>
    <t>廊坊查普曼智能家居有限公司南侧、纬五道北侧、经六路东侧</t>
  </si>
  <si>
    <t>廊开2023-1</t>
  </si>
  <si>
    <t xml:space="preserve"> 河北省东方跃达电梯部件有限公司  </t>
  </si>
  <si>
    <t>广阳经济开发区内,九干渠东侧、庆祥道南侧、基业路西侧</t>
  </si>
  <si>
    <t>廊广2023-2</t>
  </si>
  <si>
    <t xml:space="preserve"> 廊坊市珍圭谷科技有限公司  </t>
  </si>
  <si>
    <t>广阳经开区内,光明东道南侧、敬业路东侧</t>
  </si>
  <si>
    <t>廊广2022-14</t>
  </si>
  <si>
    <t xml:space="preserve"> 河北睿旺通供应链有限公司  </t>
  </si>
  <si>
    <t>鹏鲲道北侧、翔广路西侧</t>
  </si>
  <si>
    <t>廊临空2022-22</t>
  </si>
  <si>
    <t xml:space="preserve"> 吉诺卫(廊坊临空自贸区)生物制品有限公司  </t>
  </si>
  <si>
    <t>广阳经济开发区内,伟业路西侧、呈祥道南侧</t>
  </si>
  <si>
    <t>廊广2022-9</t>
  </si>
  <si>
    <t xml:space="preserve"> 河北天裕盛丰供应链管理有限公司  </t>
  </si>
  <si>
    <t>爱民道北侧、好丽友食品有限公司东侧</t>
  </si>
  <si>
    <t>廊开2022-10</t>
  </si>
  <si>
    <t xml:space="preserve"> 河北鸿昇科技有限公司  </t>
  </si>
  <si>
    <t>云鹏道北侧</t>
  </si>
  <si>
    <t>廊开2022-9</t>
  </si>
  <si>
    <t xml:space="preserve"> 大于或等于1.2 </t>
  </si>
  <si>
    <t>冀荣道南侧、冀兴道东侧</t>
  </si>
  <si>
    <t>廊临空2022-33</t>
  </si>
  <si>
    <t xml:space="preserve"> 大于或等于1并且小于或等于2.5 </t>
  </si>
  <si>
    <t xml:space="preserve"> 廊坊兴港供应链管理有限公司  </t>
  </si>
  <si>
    <t>冀祥道北侧、潮白路东侧</t>
  </si>
  <si>
    <t>廊临空2022-32</t>
  </si>
  <si>
    <t xml:space="preserve"> 大于或等于1并且小于或等于3.5 </t>
  </si>
  <si>
    <t xml:space="preserve"> 华芯供应链管理(廊坊)有限公司  </t>
  </si>
  <si>
    <t>星繁道南侧、富文道东侧</t>
  </si>
  <si>
    <t>廊安土2022-8</t>
  </si>
  <si>
    <t xml:space="preserve"> 美库(廊坊)供应链管理有限公司  </t>
  </si>
  <si>
    <t>启源道北侧、春霞路东侧</t>
  </si>
  <si>
    <t>廊临空2022-27</t>
  </si>
  <si>
    <t xml:space="preserve"> 大于或等于1.5 </t>
  </si>
  <si>
    <t xml:space="preserve"> 廊坊合盈启信数据科技有限公司  </t>
  </si>
  <si>
    <t>鹏望道北侧、翔广路西侧</t>
  </si>
  <si>
    <t>廊临空2022-28</t>
  </si>
  <si>
    <t>解家务道北侧、春霞路东侧</t>
  </si>
  <si>
    <t>廊临空2022-26</t>
  </si>
  <si>
    <t xml:space="preserve"> 廊坊合盈融信数据科技有限公司  </t>
  </si>
  <si>
    <t>安次经济开发区安和路东侧、安杰道北侧、安华路西侧、北护路堤南侧</t>
  </si>
  <si>
    <t>廊安2022-7</t>
  </si>
  <si>
    <t xml:space="preserve"> 廊坊市恒途科技有限公司  </t>
  </si>
  <si>
    <t>安次经济开发区安美路以西、富余道以北</t>
  </si>
  <si>
    <t>廊安2022-10</t>
  </si>
  <si>
    <t xml:space="preserve"> 河北钰顺汽车科技有限公司  </t>
  </si>
  <si>
    <t>广盈三街东侧、保惠南环路北侧</t>
  </si>
  <si>
    <t>廊临空2022-23</t>
  </si>
  <si>
    <t xml:space="preserve"> 小于或等于1.5 </t>
  </si>
  <si>
    <t>春霞路西侧、解家务道北侧</t>
  </si>
  <si>
    <t>廊临空2022-21</t>
  </si>
  <si>
    <t xml:space="preserve"> 廊坊合盈泰信数据科技有限公司  </t>
  </si>
  <si>
    <t>天高道北侧、富饶道西侧</t>
  </si>
  <si>
    <t>廊安土2022-7</t>
  </si>
  <si>
    <t xml:space="preserve"> 廊坊市建宏电子科技有限公司  </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</si>
  <si>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</si>
  <si>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</si>
  <si>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</si>
  <si>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</si>
  <si>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</si>
  <si>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</si>
  <si>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</si>
  <si>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成本法</t>
  </si>
  <si>
    <t>钢</t>
  </si>
  <si>
    <t>生产用房</t>
  </si>
  <si>
    <t>收益法</t>
  </si>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</sst>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179" fontId="44" fillId="18"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275762</xdr:colOff>
      <xdr:row>9</xdr:row>
      <xdr:rowOff>85521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04762" cy="1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估价对象为北京市房地产，为所有。根据《国有土地使用证》[]，估价对象（分摊）出让国有建设用地使用权面积为73334平方米，建筑面积为71700.22平方米。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估价对象为北京市房地产,属开发建设的工业项目，该项目尚在开发建设中。根据《国有土地使用证》[]，估价对象（分摊）出让国有建设用地使用权面积为73334平方米，规划建筑面积为71700.22平方米。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2024年5月17日</v>
      </c>
    </row>
    <row r="13" spans="1:2" s="1202" customFormat="1">
      <c r="A13" s="1200" t="s">
        <v>529</v>
      </c>
      <c r="B13" s="1201" t="str">
        <f>'预评函-1'!A18</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30136</v>
      </c>
    </row>
    <row r="21" spans="1:2" s="1202" customFormat="1">
      <c r="A21" s="1200" t="s">
        <v>537</v>
      </c>
      <c r="B21" s="1201">
        <f ca="1">'预评函-2'!D7</f>
        <v>4203</v>
      </c>
    </row>
    <row r="22" spans="1:2" s="1202" customFormat="1">
      <c r="A22" s="1200" t="s">
        <v>538</v>
      </c>
      <c r="B22" s="1201" t="str">
        <f ca="1">'预评函-2'!D6</f>
        <v>叁亿零壹佰叁拾陆万元整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30136</v>
      </c>
    </row>
    <row r="31" spans="1:2" s="1202" customFormat="1">
      <c r="A31" s="1200" t="s">
        <v>576</v>
      </c>
      <c r="B31" s="1201">
        <f ca="1">'预评函-2'!D15</f>
        <v>4203</v>
      </c>
    </row>
    <row r="32" spans="1:2" s="1202" customFormat="1">
      <c r="A32" s="1200" t="s">
        <v>543</v>
      </c>
      <c r="B32" s="1201" t="str">
        <f ca="1">'预评函-2'!D14</f>
        <v>叁亿零壹佰叁拾陆万元整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71700.22</v>
      </c>
    </row>
    <row r="44" spans="1:2" s="1202" customFormat="1">
      <c r="A44" s="1200" t="s">
        <v>575</v>
      </c>
      <c r="B44" s="1201" t="str">
        <f>'预评函-3'!C2</f>
        <v>(分摊)土地面积</v>
      </c>
    </row>
    <row r="45" spans="1:2" s="1202" customFormat="1">
      <c r="A45" s="1200" t="s">
        <v>547</v>
      </c>
      <c r="B45" s="1201">
        <f>'预评函-3'!C4</f>
        <v>73334</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2580</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2581</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3" t="s">
        <v>385</v>
      </c>
      <c r="C54" s="1550" t="s">
        <v>583</v>
      </c>
    </row>
    <row r="55" spans="1:4">
      <c r="A55" s="3498"/>
      <c r="B55" s="1553" t="s">
        <v>386</v>
      </c>
      <c r="C55" s="1550" t="s">
        <v>584</v>
      </c>
    </row>
    <row r="56" spans="1:4">
      <c r="A56" s="3498"/>
      <c r="B56" s="1553" t="s">
        <v>387</v>
      </c>
      <c r="C56" s="1550" t="s">
        <v>588</v>
      </c>
    </row>
    <row r="57" spans="1:4">
      <c r="A57" s="349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9" t="s">
        <v>2583</v>
      </c>
      <c r="J2" s="3499"/>
      <c r="K2" s="3499"/>
      <c r="L2" s="3499"/>
      <c r="M2" s="3499"/>
      <c r="N2" s="3499"/>
      <c r="O2" s="3499"/>
      <c r="P2" s="3499"/>
      <c r="Q2" s="3499"/>
      <c r="R2" s="3499"/>
    </row>
    <row r="3" spans="1:18">
      <c r="A3" s="3019" t="s">
        <v>2504</v>
      </c>
      <c r="B3" s="3020">
        <f>项目基本情况!D3</f>
        <v>45429</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2.59</v>
      </c>
      <c r="D5" s="3024">
        <f>IF(ISERROR(ROUND(POWER(1+E5,A5-C5)*(POWER(1+E5,C5)-1)/(POWER(1+E5,A5)-1),3)),0,ROUND(POWER(1+E5,A5-C5)*(POWER(1+E5,C5)-1)/(POWER(1+E5,A5)-1),4))</f>
        <v>0.122</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12.6</v>
      </c>
      <c r="D6" s="3024">
        <f>IF(ISERROR(ROUND(POWER(1+E6,A6-C6)*(POWER(1+E6,C6)-1)/(POWER(1+E6,A6)-1),3)),0,ROUND(POWER(1+E6,A6-C6)*(POWER(1+E6,C6)-1)/(POWER(1+E6,A6)-1),4))</f>
        <v>0.45379999999999998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32.61</v>
      </c>
      <c r="D7" s="3024">
        <f>IF(ISERROR(ROUND(POWER(1+E7,A7-C7)*(POWER(1+E7,C7)-1)/(POWER(1+E7,A7)-1),3)),0,ROUND(POWER(1+E7,A7-C7)*(POWER(1+E7,C7)-1)/(POWER(1+E7,A7)-1),4))</f>
        <v>0.7712</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58" sqref="D5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45429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511" t="s">
        <v>2176</v>
      </c>
      <c r="E8" s="2390" t="s">
        <v>3382</v>
      </c>
      <c r="F8" s="2391"/>
      <c r="G8" s="2662"/>
      <c r="H8" s="2662"/>
      <c r="I8" s="2662"/>
      <c r="J8" s="2438"/>
      <c r="K8" s="2613"/>
      <c r="L8" s="2612"/>
      <c r="M8" s="2612"/>
      <c r="N8" s="2438"/>
      <c r="O8" s="2449"/>
      <c r="P8" s="2438"/>
      <c r="Q8" s="2438"/>
      <c r="R8" s="2438"/>
    </row>
    <row r="9" spans="1:30" ht="13.5" thickBot="1">
      <c r="A9" s="2392" t="s">
        <v>2177</v>
      </c>
      <c r="B9" s="2393" t="s">
        <v>3382</v>
      </c>
      <c r="C9" s="2394"/>
      <c r="D9" s="3512"/>
      <c r="E9" s="2393"/>
      <c r="F9" s="2395"/>
      <c r="G9" s="2664"/>
      <c r="H9" s="2664"/>
      <c r="I9" s="2664"/>
      <c r="J9" s="2438"/>
      <c r="K9" s="2615"/>
      <c r="L9" s="2612"/>
      <c r="M9" s="2612"/>
      <c r="N9" s="2438"/>
      <c r="O9" s="2449"/>
      <c r="P9" s="2438"/>
      <c r="Q9" s="2438"/>
      <c r="R9" s="2438"/>
    </row>
    <row r="10" spans="1:30" ht="13.5" thickTop="1">
      <c r="A10" s="2396" t="s">
        <v>2178</v>
      </c>
      <c r="B10" s="2397" t="s">
        <v>3383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3445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5"/>
      <c r="D13" s="855"/>
      <c r="E13" s="855"/>
      <c r="F13" s="855"/>
      <c r="G13" s="855"/>
      <c r="H13" s="855">
        <v>58837</v>
      </c>
      <c r="I13" s="855"/>
      <c r="J13" s="3061"/>
      <c r="K13" s="2612"/>
      <c r="L13" s="2612"/>
      <c r="M13" s="2438"/>
      <c r="N13" s="2449"/>
      <c r="O13" s="2438"/>
      <c r="P13" s="2438"/>
      <c r="Q13" s="2438"/>
      <c r="AD13" s="1744"/>
    </row>
    <row r="14" spans="1:30">
      <c r="A14" s="1080"/>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36.729999999999997</v>
      </c>
      <c r="I15" s="2409" t="str">
        <f>IF(A13="出让",IF(I13="","",ROUNDDOWN(MIN((I13-$D$3)/365,I14),2)),I14)</f>
        <v/>
      </c>
      <c r="J15" s="3063"/>
      <c r="K15" s="2450"/>
      <c r="L15" s="2450"/>
      <c r="M15" s="2508"/>
      <c r="N15" s="2450"/>
      <c r="O15" s="2508"/>
      <c r="P15" s="2438"/>
      <c r="Q15" s="2438"/>
      <c r="AD15" s="1744"/>
    </row>
    <row r="16" spans="1:30">
      <c r="A16" s="2399" t="s">
        <v>2192</v>
      </c>
      <c r="B16" s="3518"/>
      <c r="C16" s="3519"/>
      <c r="D16" s="3520"/>
      <c r="E16" s="2412" t="s">
        <v>2193</v>
      </c>
      <c r="F16" s="3521"/>
      <c r="G16" s="3522"/>
      <c r="H16" s="3522"/>
      <c r="I16" s="3523"/>
      <c r="J16" s="2438"/>
      <c r="K16" s="2616"/>
      <c r="L16" s="2450"/>
      <c r="M16" s="2450"/>
      <c r="N16" s="2508"/>
      <c r="O16" s="2450"/>
      <c r="P16" s="2508"/>
      <c r="Q16" s="2438"/>
      <c r="R16" s="2438"/>
    </row>
    <row r="17" spans="1:28">
      <c r="A17" s="313" t="s">
        <v>2194</v>
      </c>
      <c r="B17" s="302" t="s">
        <v>2195</v>
      </c>
      <c r="C17" s="8">
        <f>'数据-汇总表'!E3</f>
        <v>71700.22</v>
      </c>
      <c r="D17" s="2321" t="s">
        <v>2196</v>
      </c>
      <c r="E17" s="3524" t="s">
        <v>2197</v>
      </c>
      <c r="F17" s="3525"/>
      <c r="G17" s="3525"/>
      <c r="H17" s="3525"/>
      <c r="I17" s="3526"/>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73334</v>
      </c>
      <c r="D18" s="1091" t="s">
        <v>2200</v>
      </c>
      <c r="E18" s="3527" t="s">
        <v>2201</v>
      </c>
      <c r="F18" s="3528"/>
      <c r="G18" s="3528"/>
      <c r="H18" s="3528"/>
      <c r="I18" s="3529"/>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4" t="s">
        <v>2205</v>
      </c>
      <c r="C20" s="3515"/>
      <c r="D20" s="3516" t="s">
        <v>2206</v>
      </c>
      <c r="E20" s="3517"/>
      <c r="F20" s="2646" t="s">
        <v>1056</v>
      </c>
      <c r="G20" s="2663"/>
      <c r="H20" s="2663"/>
      <c r="I20" s="2663"/>
      <c r="J20" s="2438"/>
      <c r="K20" s="3513"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v>2012</v>
      </c>
      <c r="H21" s="2663"/>
      <c r="I21" s="2663"/>
      <c r="J21" s="2438"/>
      <c r="K21" s="351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f>2024-G21</f>
        <v>12</v>
      </c>
      <c r="H22" s="2663"/>
      <c r="I22" s="2663"/>
      <c r="J22" s="2438"/>
      <c r="K22" s="351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f>40-(G22+'数据-取费表'!B20)</f>
        <v>26.5</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1" t="s">
        <v>2213</v>
      </c>
      <c r="B27" s="320" t="s">
        <v>2214</v>
      </c>
      <c r="C27" s="2415" t="s">
        <v>3450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1"/>
      <c r="B28" s="302" t="s">
        <v>2215</v>
      </c>
      <c r="C28" s="2417" t="s">
        <v>3384</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1"/>
      <c r="B29" s="302" t="s">
        <v>2216</v>
      </c>
      <c r="C29" s="2419" t="s">
        <v>3385</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2"/>
      <c r="B30" s="302" t="s">
        <v>2217</v>
      </c>
      <c r="C30" s="3503"/>
      <c r="D30" s="3504"/>
      <c r="E30" s="2663"/>
      <c r="F30" s="2663"/>
      <c r="G30" s="2663"/>
      <c r="H30" s="2663"/>
      <c r="I30" s="2663"/>
      <c r="J30" s="2438"/>
      <c r="K30" s="2615"/>
      <c r="L30" s="2612"/>
      <c r="M30" s="2612"/>
      <c r="N30" s="2438"/>
      <c r="O30" s="2449"/>
      <c r="P30" s="2438"/>
      <c r="Q30" s="2438"/>
      <c r="R30" s="2438"/>
      <c r="S30" s="2438"/>
      <c r="T30" s="2438"/>
      <c r="U30" s="2438"/>
      <c r="V30" s="2438"/>
    </row>
    <row r="31" spans="1:28">
      <c r="A31" s="3505" t="s">
        <v>2218</v>
      </c>
      <c r="B31" s="2421" t="s">
        <v>3386</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t="s">
        <v>3387</v>
      </c>
      <c r="C34" s="2025" t="s">
        <v>3388</v>
      </c>
      <c r="D34" s="2025" t="s">
        <v>3389</v>
      </c>
      <c r="E34" s="2025" t="s">
        <v>3390</v>
      </c>
      <c r="F34" s="2025" t="s">
        <v>3391</v>
      </c>
      <c r="G34" s="2025"/>
      <c r="H34" s="2025"/>
      <c r="I34" s="2663"/>
      <c r="J34" s="2438"/>
      <c r="K34" s="2426">
        <f>COUNTIF(B34:H34,"——")</f>
        <v>0</v>
      </c>
      <c r="L34" s="323" t="s">
        <v>2220</v>
      </c>
      <c r="M34" s="323" t="s">
        <v>2221</v>
      </c>
      <c r="N34" s="323" t="s">
        <v>2222</v>
      </c>
      <c r="O34" s="323" t="s">
        <v>2223</v>
      </c>
      <c r="P34" s="323" t="s">
        <v>2224</v>
      </c>
      <c r="Q34" s="323" t="s">
        <v>2225</v>
      </c>
      <c r="R34" s="323" t="s">
        <v>2226</v>
      </c>
      <c r="S34" s="3500" t="s">
        <v>2227</v>
      </c>
      <c r="T34" s="2427" t="str">
        <f>NUMBERSTRING(7-K34,1)&amp;"通"</f>
        <v>七通</v>
      </c>
      <c r="U34" s="2438"/>
      <c r="V34" s="2438"/>
    </row>
    <row r="35" spans="1:30">
      <c r="A35" s="2428"/>
      <c r="B35" s="3507" t="s">
        <v>2228</v>
      </c>
      <c r="C35" s="3507"/>
      <c r="D35" s="3507"/>
      <c r="E35" s="3507"/>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00"/>
      <c r="T35" s="329" t="str">
        <f>IF(T34="一通",L35,IF(T34="二通",M35,IF(T34="三通",N35,IF(T34="四通",O35,IF(T34="五通",P35,IF(T34="六通",Q35,R35))))))</f>
        <v>通路、通电、通讯、通上水、通下水、、</v>
      </c>
      <c r="U35" s="2438"/>
      <c r="V35" s="2438"/>
    </row>
    <row r="36" spans="1:30">
      <c r="A36" s="2429"/>
      <c r="B36" s="663" t="s">
        <v>2184</v>
      </c>
      <c r="C36" s="663" t="s">
        <v>2185</v>
      </c>
      <c r="D36" s="663" t="s">
        <v>2183</v>
      </c>
      <c r="E36" s="663"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3452"/>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49" sqref="K4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73334</v>
      </c>
      <c r="B3" s="11">
        <f>IF(C3="否",G5-AT5,G5)</f>
        <v>71700.22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71700.22</v>
      </c>
      <c r="H5" s="13">
        <f t="shared" ref="H5:AT5" si="0">SUM(H13:H656)</f>
        <v>71700.22</v>
      </c>
      <c r="I5" s="13">
        <f t="shared" si="0"/>
        <v>71700.22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71700.22</v>
      </c>
      <c r="BA5" s="15">
        <f t="shared" si="1"/>
        <v>71700.22</v>
      </c>
      <c r="BB5" s="15">
        <f t="shared" si="1"/>
        <v>71700.22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73334</v>
      </c>
      <c r="F6" s="13" t="s">
        <v>0</v>
      </c>
      <c r="G6" s="13" t="s">
        <v>1</v>
      </c>
      <c r="H6" s="17">
        <f>SUMIF(I$12:AB$12,"总值",I6:AB6)</f>
        <v>73334</v>
      </c>
      <c r="I6" s="13">
        <f t="shared" ref="I6:AB6" si="2">ROUND($A$3*I5/$B$3,2)</f>
        <v>73334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73334</v>
      </c>
      <c r="AZ6" s="13" t="s">
        <v>2</v>
      </c>
      <c r="BA6" s="13">
        <f>ROUND($AY$6*BA5/$AZ$5,2)</f>
        <v>73334</v>
      </c>
      <c r="BB6" s="13">
        <f>ROUND($AY$6*BB5/$AZ$5,2)</f>
        <v>73334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3392</v>
      </c>
      <c r="E13" s="13">
        <f>IF($C$3="是",ROUND($A$3*G13/$B$3,2),ROUND($A$3*(G13-AT13)/$B$3,2))</f>
        <v>11625.57</v>
      </c>
      <c r="F13" s="29"/>
      <c r="G13" s="30">
        <f>H13+AC13+AT13</f>
        <v>11366.57</v>
      </c>
      <c r="H13" s="17">
        <f>SUMIF(I$12:AB$12,"总值",I13:AB13)</f>
        <v>11366.57</v>
      </c>
      <c r="I13" s="1625">
        <v>11366.57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11625.57</v>
      </c>
      <c r="AZ13" s="13">
        <f>BA13+BL13</f>
        <v>11366.57</v>
      </c>
      <c r="BA13" s="13">
        <f>SUM(BB13:BK13)</f>
        <v>11366.57</v>
      </c>
      <c r="BB13" s="13">
        <f>IF($D13="是",I13-J13,0)</f>
        <v>11366.57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v>2</v>
      </c>
      <c r="D14" s="1624" t="s">
        <v>3392</v>
      </c>
      <c r="E14" s="13">
        <f>IF($C$3="是",ROUND($A$3*G14/$B$3,2),ROUND($A$3*(G14-AT14)/$B$3,2))</f>
        <v>9798.4</v>
      </c>
      <c r="F14" s="29"/>
      <c r="G14" s="30">
        <f>H14+AC14+AT14</f>
        <v>9580.11</v>
      </c>
      <c r="H14" s="17">
        <f>SUMIF(I$12:AB$12,"总值",I14:AB14)</f>
        <v>9580.11</v>
      </c>
      <c r="I14" s="1625">
        <v>9580.11</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2</v>
      </c>
      <c r="AY14" s="1348">
        <f>ROUND($AY$6*AZ14/$AZ$5,2)</f>
        <v>9798.4</v>
      </c>
      <c r="AZ14" s="13">
        <f>BA14+BL14</f>
        <v>9580.11</v>
      </c>
      <c r="BA14" s="13">
        <f>SUM(BB14:BK14)</f>
        <v>9580.11</v>
      </c>
      <c r="BB14" s="13">
        <f>IF($D14="是",I14-J14,0)</f>
        <v>9580.11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v>3</v>
      </c>
      <c r="D15" s="1624" t="s">
        <v>3392</v>
      </c>
      <c r="E15" s="13">
        <f>IF($C$3="是",ROUND($A$3*G15/$B$3,2),ROUND($A$3*(G15-AT15)/$B$3,2))</f>
        <v>8013.15</v>
      </c>
      <c r="F15" s="29"/>
      <c r="G15" s="30">
        <f>H15+AC15+AT15</f>
        <v>7834.63</v>
      </c>
      <c r="H15" s="17">
        <f>SUMIF(I$12:AB$12,"总值",I15:AB15)</f>
        <v>7834.63</v>
      </c>
      <c r="I15" s="1625">
        <v>7834.63</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3</v>
      </c>
      <c r="AY15" s="1348">
        <f>ROUND($AY$6*AZ15/$AZ$5,2)</f>
        <v>8013.15</v>
      </c>
      <c r="AZ15" s="13">
        <f>BA15+BL15</f>
        <v>7834.63</v>
      </c>
      <c r="BA15" s="13">
        <f>SUM(BB15:BK15)</f>
        <v>7834.63</v>
      </c>
      <c r="BB15" s="13">
        <f>IF($D15="是",I15-J15,0)</f>
        <v>7834.63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v>4</v>
      </c>
      <c r="D16" s="1624" t="s">
        <v>3392</v>
      </c>
      <c r="E16" s="13">
        <f>IF($C$3="是",ROUND($A$3*G16/$B$3,2),ROUND($A$3*(G16-AT16)/$B$3,2))</f>
        <v>9126.74</v>
      </c>
      <c r="F16" s="29"/>
      <c r="G16" s="30">
        <f>H16+AC16+AT16</f>
        <v>8923.41</v>
      </c>
      <c r="H16" s="17">
        <f>SUMIF(I$12:AB$12,"总值",I16:AB16)</f>
        <v>8923.41</v>
      </c>
      <c r="I16" s="1625">
        <v>8923.41</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4</v>
      </c>
      <c r="AY16" s="1348">
        <f>ROUND($AY$6*AZ16/$AZ$5,2)</f>
        <v>9126.74</v>
      </c>
      <c r="AZ16" s="13">
        <f>BA16+BL16</f>
        <v>8923.41</v>
      </c>
      <c r="BA16" s="13">
        <f>SUM(BB16:BK16)</f>
        <v>8923.41</v>
      </c>
      <c r="BB16" s="13">
        <f>IF($D16="是",I16-J16,0)</f>
        <v>8923.41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v>5</v>
      </c>
      <c r="D17" s="1624" t="s">
        <v>3392</v>
      </c>
      <c r="E17" s="13">
        <f>IF($C$3="是",ROUND($A$3*G17/$B$3,2),ROUND($A$3*(G17-AT17)/$B$3,2))</f>
        <v>15573.68</v>
      </c>
      <c r="F17" s="29"/>
      <c r="G17" s="30">
        <f>H17+AC17+AT17</f>
        <v>15226.72</v>
      </c>
      <c r="H17" s="17">
        <f>SUMIF(I$12:AB$12,"总值",I17:AB17)</f>
        <v>15226.72</v>
      </c>
      <c r="I17" s="1625">
        <v>15226.72</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5</v>
      </c>
      <c r="AY17" s="1348">
        <f>ROUND($AY$6*AZ17/$AZ$5,2)</f>
        <v>15573.68</v>
      </c>
      <c r="AZ17" s="13">
        <f>BA17+BL17</f>
        <v>15226.72</v>
      </c>
      <c r="BA17" s="13">
        <f>SUM(BB17:BK17)</f>
        <v>15226.72</v>
      </c>
      <c r="BB17" s="13">
        <f>IF($D17="是",I17-J17,0)</f>
        <v>15226.72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v>6</v>
      </c>
      <c r="D18" s="1624" t="s">
        <v>3392</v>
      </c>
      <c r="E18" s="32">
        <f t="shared" ref="E18:E112" si="7">IF($C$3="是",ROUND($A$3*G18/$B$3,2),ROUND($A$3*(G18-AT18)/$B$3,2))</f>
        <v>10281.93</v>
      </c>
      <c r="F18" s="33"/>
      <c r="G18" s="34">
        <f t="shared" ref="G18:G109" si="8">H18+AC18+AT18</f>
        <v>10052.86</v>
      </c>
      <c r="H18" s="35">
        <f t="shared" ref="H18:H109" si="9">SUMIF(I$12:AB$12,"总值",I18:AB18)</f>
        <v>10052.86</v>
      </c>
      <c r="I18" s="36">
        <v>10052.86</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6</v>
      </c>
      <c r="AY18" s="39">
        <f t="shared" ref="AY18:AY109" si="14">ROUND($AY$6*AZ18/$AZ$5,2)</f>
        <v>10281.93</v>
      </c>
      <c r="AZ18" s="32">
        <f t="shared" ref="AZ18:AZ109" si="15">BA18+BL18</f>
        <v>10052.86</v>
      </c>
      <c r="BA18" s="32">
        <f t="shared" ref="BA18:BA109" si="16">SUM(BB18:BK18)</f>
        <v>10052.86</v>
      </c>
      <c r="BB18" s="32">
        <f t="shared" ref="BB18:BB109" si="17">IF($D18="是",I18-J18,0)</f>
        <v>10052.86</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v>7</v>
      </c>
      <c r="D19" s="1624" t="s">
        <v>3392</v>
      </c>
      <c r="E19" s="32">
        <f t="shared" si="7"/>
        <v>8914.52</v>
      </c>
      <c r="F19" s="33"/>
      <c r="G19" s="34">
        <f t="shared" si="8"/>
        <v>8715.92</v>
      </c>
      <c r="H19" s="35">
        <f t="shared" si="9"/>
        <v>8715.92</v>
      </c>
      <c r="I19" s="36">
        <v>8715.92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7</v>
      </c>
      <c r="AY19" s="39">
        <f t="shared" si="14"/>
        <v>8914.52</v>
      </c>
      <c r="AZ19" s="32">
        <f t="shared" si="15"/>
        <v>8715.92</v>
      </c>
      <c r="BA19" s="32">
        <f t="shared" si="16"/>
        <v>8715.92</v>
      </c>
      <c r="BB19" s="32">
        <f t="shared" si="17"/>
        <v>8715.92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54" sqref="K5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9" t="s">
        <v>1131</v>
      </c>
      <c r="B2" s="3539"/>
      <c r="C2" s="3539"/>
      <c r="D2" s="795" t="s">
        <v>1107</v>
      </c>
      <c r="E2" s="1638" t="s">
        <v>1108</v>
      </c>
      <c r="F2" s="2658"/>
      <c r="G2" s="2649"/>
      <c r="H2" s="2650"/>
      <c r="I2" s="2324" t="s">
        <v>1132</v>
      </c>
      <c r="J2" s="2658"/>
      <c r="K2" s="2658"/>
      <c r="L2" s="2658"/>
      <c r="M2" s="2658"/>
      <c r="N2" s="2660"/>
      <c r="O2" s="2658"/>
      <c r="P2" s="2658"/>
    </row>
    <row r="3" spans="1:16" ht="15.75" thickBot="1">
      <c r="A3" s="3540" t="s">
        <v>1105</v>
      </c>
      <c r="B3" s="3540"/>
      <c r="C3" s="3540"/>
      <c r="D3" s="43">
        <f>'数据-基础表'!AY6</f>
        <v>73334</v>
      </c>
      <c r="E3" s="43">
        <f>'数据-基础表'!AZ5</f>
        <v>71700.22</v>
      </c>
      <c r="F3" s="2658"/>
      <c r="G3" s="1144"/>
      <c r="H3" s="1025" t="s">
        <v>1106</v>
      </c>
      <c r="I3" s="854">
        <f>ROUND('数据-基础表'!B3/'数据-基础表'!A3,2)</f>
        <v>0.98</v>
      </c>
      <c r="J3" s="2658"/>
      <c r="K3" s="2658"/>
      <c r="L3" s="2658"/>
      <c r="M3" s="2658"/>
      <c r="N3" s="2660"/>
      <c r="O3" s="2658"/>
      <c r="P3" s="2658"/>
    </row>
    <row r="4" spans="1:16" ht="15">
      <c r="A4" s="3541"/>
      <c r="B4" s="3542"/>
      <c r="C4" s="3543"/>
      <c r="D4" s="1640" t="s">
        <v>1107</v>
      </c>
      <c r="E4" s="1641" t="s">
        <v>1108</v>
      </c>
      <c r="F4" s="2658"/>
      <c r="G4" s="2651" t="s">
        <v>1133</v>
      </c>
      <c r="H4" s="1025" t="s">
        <v>1113</v>
      </c>
      <c r="I4" s="854">
        <f>ROUND(SUMIF('数据-基础表'!I9:AS9,"地上",'数据-基础表'!I5:AS5)/'数据-基础表'!A3,2)</f>
        <v>0.98</v>
      </c>
      <c r="J4" s="2658"/>
      <c r="K4" s="2658"/>
      <c r="L4" s="2658"/>
      <c r="M4" s="2658"/>
      <c r="N4" s="2660"/>
      <c r="O4" s="2658"/>
      <c r="P4" s="2658"/>
    </row>
    <row r="5" spans="1:16">
      <c r="A5" s="44" t="s">
        <v>1109</v>
      </c>
      <c r="B5" s="3544" t="s">
        <v>1110</v>
      </c>
      <c r="C5" s="3544"/>
      <c r="D5" s="45">
        <f>ROUND($D$3*E5/$E$3,2)</f>
        <v>0</v>
      </c>
      <c r="E5" s="46">
        <f>SUMIF('数据-基础表'!$11:$11,"住宅",'数据-基础表'!$5:$5)</f>
        <v>0</v>
      </c>
      <c r="F5" s="2658"/>
      <c r="G5" s="1144"/>
      <c r="H5" s="1025" t="s">
        <v>1106</v>
      </c>
      <c r="I5" s="854">
        <f>ROUND(E31/D31,2)</f>
        <v>0.98</v>
      </c>
      <c r="J5" s="2658"/>
      <c r="K5" s="2658"/>
      <c r="L5" s="2658"/>
      <c r="M5" s="2658"/>
      <c r="N5" s="2658"/>
      <c r="O5" s="2658"/>
      <c r="P5" s="2658"/>
    </row>
    <row r="6" spans="1:16" ht="15" thickBot="1">
      <c r="A6" s="1643"/>
      <c r="B6" s="3544" t="s">
        <v>1111</v>
      </c>
      <c r="C6" s="3544"/>
      <c r="D6" s="45">
        <f>ROUND($D$3*E6/$E$3,2)</f>
        <v>73334</v>
      </c>
      <c r="E6" s="46">
        <f>E3-E5</f>
        <v>71700.22</v>
      </c>
      <c r="F6" s="2658"/>
      <c r="G6" s="2652" t="s">
        <v>1112</v>
      </c>
      <c r="H6" s="1145" t="s">
        <v>1113</v>
      </c>
      <c r="I6" s="2653">
        <f>ROUND(F31/D31,2)</f>
        <v>0.98</v>
      </c>
      <c r="J6" s="2658"/>
      <c r="K6" s="2658"/>
      <c r="L6" s="2658"/>
      <c r="M6" s="2658"/>
      <c r="N6" s="2658"/>
      <c r="O6" s="2658"/>
      <c r="P6" s="2658"/>
    </row>
    <row r="7" spans="1:16" ht="15.75" thickBot="1">
      <c r="A7" s="3536"/>
      <c r="B7" s="3537"/>
      <c r="C7" s="3538"/>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73334</v>
      </c>
      <c r="E8" s="48">
        <f>SUMIF('数据-基础表'!BB10:BK10,"地上",'数据-基础表'!BB5:BK5)</f>
        <v>71700.22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73334</v>
      </c>
      <c r="E16" s="50">
        <f>SUM(E8:E15)</f>
        <v>71700.22</v>
      </c>
      <c r="F16" s="2658"/>
      <c r="G16" s="2659"/>
      <c r="H16" s="1647" t="s">
        <v>1135</v>
      </c>
      <c r="I16" s="1648"/>
      <c r="J16" s="1138"/>
      <c r="K16" s="3533" t="s">
        <v>1135</v>
      </c>
      <c r="L16" s="3534"/>
      <c r="M16" s="3534"/>
      <c r="N16" s="3534"/>
      <c r="O16" s="3534"/>
      <c r="P16" s="3535"/>
    </row>
    <row r="17" spans="1:19" ht="15">
      <c r="A17" s="1649" t="s">
        <v>1136</v>
      </c>
      <c r="B17" s="1650" t="s">
        <v>1137</v>
      </c>
      <c r="C17" s="1651" t="s">
        <v>1138</v>
      </c>
      <c r="D17" s="1652" t="s">
        <v>1126</v>
      </c>
      <c r="E17" s="1653" t="s">
        <v>1127</v>
      </c>
      <c r="F17" s="1654"/>
      <c r="G17" s="1655"/>
      <c r="H17" s="1656" t="s">
        <v>1139</v>
      </c>
      <c r="I17" s="1657" t="s">
        <v>1124</v>
      </c>
      <c r="J17" s="1138"/>
      <c r="K17" s="3530" t="s">
        <v>1140</v>
      </c>
      <c r="L17" s="3531"/>
      <c r="M17" s="3532"/>
      <c r="N17" s="3530" t="s">
        <v>1141</v>
      </c>
      <c r="O17" s="3531"/>
      <c r="P17" s="3532"/>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3451</v>
      </c>
      <c r="D19" s="45">
        <f>ROUND($D$3*E19/$E$3,2)</f>
        <v>73334</v>
      </c>
      <c r="E19" s="53">
        <f t="shared" ref="E19:E26" si="1">SUM(F19:G19)</f>
        <v>71700.22</v>
      </c>
      <c r="F19" s="2794">
        <f>'数据-基础表'!I5</f>
        <v>71700.22</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73334</v>
      </c>
      <c r="S19" s="1026">
        <f t="shared" si="5"/>
        <v>71700.22</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73334</v>
      </c>
      <c r="E27" s="1140">
        <f>IF(SUM(E19:E26)='数据-基础表'!BA5,SUM(E19:E26),IF(F27="地上面积有误","面积有误","地下面积有误"))</f>
        <v>71700.22</v>
      </c>
      <c r="F27" s="1139">
        <f>IF(SUM(F19:F26)=E8,SUM(F19:F26),"地上面积有误")</f>
        <v>71700.22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73334</v>
      </c>
      <c r="S27" s="1025">
        <f>IF(SUM(S19:S26)=$E$3,SUM(S19:S26),SUM(S19:S26)&amp;"误差"&amp;ROUND(SUM(S19:S26)-E3,2))</f>
        <v>71700.22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73334</v>
      </c>
      <c r="E31" s="675">
        <f>E27+E30</f>
        <v>71700.22</v>
      </c>
      <c r="F31" s="676">
        <f>F27+F30</f>
        <v>71700.22</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45429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58837</v>
      </c>
      <c r="F6" s="64">
        <f>SUMIF(项目基本情况!C$12:I$12,C6,项目基本情况!C$15:I$15)</f>
        <v>36.729999999999997</v>
      </c>
      <c r="G6" s="65">
        <f>IF(ISERROR(ROUND(POWER(1+H6,D6-F6)*(POWER(1+H6,F6)-1)/(POWER(1+H6,D6)-1),3)),0,ROUND(POWER(1+H6,D6-F6)*(POWER(1+H6,F6)-1)/(POWER(1+H6,D6)-1),3))</f>
        <v>0.91300000000000003</v>
      </c>
      <c r="H6" s="731">
        <v>0.05</v>
      </c>
      <c r="I6" s="3797">
        <v>6.5000000000000002E-2</v>
      </c>
      <c r="J6" s="66">
        <v>7.0000000000000007E-2</v>
      </c>
      <c r="K6" s="1029">
        <f>SUMIF('数据-汇总表'!C$19:C$33,A6,'数据-汇总表'!E$19:E$33)</f>
        <v>71700.22</v>
      </c>
      <c r="L6" s="732">
        <v>3000</v>
      </c>
      <c r="M6" s="67">
        <f t="shared" ref="M6:M14" si="0">ROUND(K6*L6/10000,0)</f>
        <v>21510</v>
      </c>
      <c r="N6" s="730">
        <f>N20</f>
        <v>0.83</v>
      </c>
      <c r="O6" s="67" t="str">
        <f>IF($N$5="成新度","——",ROUND(M6*N6,0))</f>
        <v>——</v>
      </c>
      <c r="P6" s="68" t="str">
        <f>IF($N$5="成新度","——",M6-O6)</f>
        <v>——</v>
      </c>
      <c r="Q6" s="733">
        <v>0.05</v>
      </c>
      <c r="R6" s="69">
        <f ca="1">SUMIF('数据-汇总表'!C$19:C$33,A6,'数据-汇总表'!R$19:R$27)</f>
        <v>73334</v>
      </c>
      <c r="S6" s="51">
        <f>IF('数据-汇总表'!$I$17="按面积比例",SUMIF('数据-汇总表'!C$19:C$33,A6,'数据-汇总表'!K$19:K$33),SUMIF('数据-汇总表'!C$19:C$33,A6,'数据-汇总表'!N$19:N$33))</f>
        <v>0</v>
      </c>
      <c r="T6" s="1171">
        <f>ROUND($L$14*S6/10000,0)</f>
        <v>0</v>
      </c>
      <c r="U6" s="3799">
        <v>0.7</v>
      </c>
      <c r="V6" s="3798">
        <v>1.4999999999999999E-2</v>
      </c>
      <c r="W6" s="70">
        <v>0.15</v>
      </c>
      <c r="X6" s="1039"/>
      <c r="Y6" s="71">
        <f>N6</f>
        <v>0.83</v>
      </c>
      <c r="Z6" s="72"/>
      <c r="AA6" s="66"/>
      <c r="AB6" s="66"/>
      <c r="AC6" s="1039"/>
      <c r="AD6" s="73"/>
      <c r="AE6" s="1040">
        <f ca="1">IF(AN6="",0,SUMIF(INDIRECT("'"&amp;AN6&amp;"'"&amp;"!E:E"),$AE$5,INDIRECT("'"&amp;AN6&amp;"'"&amp;"!F:F")))</f>
        <v>36.729999999999997</v>
      </c>
      <c r="AF6" s="1347"/>
      <c r="AG6" s="138">
        <f>IF(AF6="",0,AE6-AF6)</f>
        <v>0</v>
      </c>
      <c r="AH6" s="74"/>
      <c r="AI6" s="76">
        <v>365</v>
      </c>
      <c r="AJ6" s="77"/>
      <c r="AK6" s="78">
        <v>5.0000000000000001E-3</v>
      </c>
      <c r="AL6" s="79">
        <v>1.5E-3</v>
      </c>
      <c r="AM6" s="80">
        <v>5.0000000000000001E-3</v>
      </c>
      <c r="AN6" s="1714" t="s">
        <v>3651</v>
      </c>
      <c r="AO6" s="52">
        <f ca="1">SUMIF(INDIRECT("'"&amp;AN6&amp;"'"&amp;"!A:A"),"总价",INDIRECT("'"&amp;AN6&amp;"'"&amp;"!B:B"))</f>
        <v>29373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0.91300000000000003</v>
      </c>
      <c r="H16" s="90">
        <f>ROUND(SUMPRODUCT(H6:H13,K6:K13)/SUMPRODUCT((H6:H13&gt;0)*(K6:K13)),3)</f>
        <v>0.05</v>
      </c>
      <c r="I16" s="91"/>
      <c r="J16" s="91"/>
      <c r="K16" s="92">
        <f>SUM(K6:K15)</f>
        <v>71700.22</v>
      </c>
      <c r="L16" s="93">
        <f>ROUND(M16*10000/SUM(K6:K14),0)</f>
        <v>3000</v>
      </c>
      <c r="M16" s="93">
        <f>SUM(M6:M14)</f>
        <v>21510</v>
      </c>
      <c r="N16" s="94">
        <f>ROUND(SUMPRODUCT(M6:M14,N6:N14)/M16,3)</f>
        <v>0.83</v>
      </c>
      <c r="O16" s="93">
        <f>SUM(O6:O14)</f>
        <v>0</v>
      </c>
      <c r="P16" s="93">
        <f>SUM(P6:P14)</f>
        <v>0</v>
      </c>
      <c r="Q16" s="95">
        <f>ROUND(SUMPRODUCT(Q6:Q13,K6:K13)/SUMPRODUCT((Q6:Q13&gt;0)*(K6:K13)),2)</f>
        <v>0.05</v>
      </c>
      <c r="R16" s="1033">
        <f ca="1">SUM(R6:R13)</f>
        <v>73334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f>项目基本情况!G21</f>
        <v>2012</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ROUND(1-(1-0%)*(2024-'数据-取费表'!N17)/60,2)</f>
        <v>0.8</v>
      </c>
      <c r="O18" s="2670">
        <v>0.5</v>
      </c>
      <c r="P18" s="2670"/>
      <c r="Q18" s="2670"/>
      <c r="R18" s="2670"/>
      <c r="S18" s="2670"/>
      <c r="T18" s="2670"/>
      <c r="U18" s="2670">
        <v>20000</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2304</v>
      </c>
      <c r="D19" s="2675"/>
      <c r="E19" s="2672"/>
      <c r="F19" s="2672"/>
      <c r="G19" s="2672"/>
      <c r="H19" s="2672"/>
      <c r="I19" s="2672"/>
      <c r="J19" s="2672"/>
      <c r="K19" s="2671"/>
      <c r="L19" s="2671"/>
      <c r="M19" s="2670"/>
      <c r="N19" s="2670">
        <f>0.85</f>
        <v>0.85</v>
      </c>
      <c r="O19" s="2670">
        <f>1-O18</f>
        <v>0.5</v>
      </c>
      <c r="P19" s="2670"/>
      <c r="Q19" s="2670"/>
      <c r="R19" s="2670"/>
      <c r="S19" s="2670"/>
      <c r="T19" s="2670"/>
      <c r="U19" s="2670">
        <f>U18*12/'数据-基础表'!I13/365</f>
        <v>5.7848079638390698E-2</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1.5</v>
      </c>
      <c r="C20" s="2799" t="s">
        <v>2302</v>
      </c>
      <c r="D20" s="2675"/>
      <c r="E20" s="2672"/>
      <c r="F20" s="2672"/>
      <c r="G20" s="2672"/>
      <c r="H20" s="2672"/>
      <c r="I20" s="2672"/>
      <c r="J20" s="2672"/>
      <c r="K20" s="2671"/>
      <c r="L20" s="2671"/>
      <c r="M20" s="2670"/>
      <c r="N20" s="2670">
        <f>ROUND(N18*O18+N19*O19,2)</f>
        <v>0.83</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180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180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1291</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303</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4</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5" t="s">
        <v>2285</v>
      </c>
      <c r="B1" s="3546"/>
      <c r="C1" s="3546"/>
      <c r="D1" s="3546"/>
      <c r="E1" s="3546"/>
      <c r="F1" s="3546"/>
      <c r="G1" s="354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41" sqref="E4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71700.22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45429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30136</v>
      </c>
      <c r="C5" s="2511">
        <f ca="1">IF(B5=D14,结果表!H102,ROUND(B5*10000/$B$1,0))</f>
        <v>4203</v>
      </c>
      <c r="D5" s="2511" t="e">
        <f ca="1">ROUND(B5*10000/$B$2,0)</f>
        <v>#DIV/0!</v>
      </c>
      <c r="E5" s="2685"/>
      <c r="F5" s="2686"/>
      <c r="G5" s="2686"/>
      <c r="H5" s="2687"/>
      <c r="I5" s="2687"/>
      <c r="J5" s="2687"/>
      <c r="K5" s="2687"/>
    </row>
    <row r="6" spans="1:11" ht="16.5">
      <c r="A6" s="2511" t="s">
        <v>656</v>
      </c>
      <c r="B6" s="2511">
        <f>SUM(G14:G23)</f>
        <v>0</v>
      </c>
      <c r="C6" s="2511">
        <f ca="1">IF(B6=G14,结果表!H108,ROUND(B6*10000/$B$1,0))</f>
        <v>4203</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71700.22</v>
      </c>
      <c r="C14" s="2517"/>
      <c r="D14" s="2517">
        <f ca="1">结果表!H118</f>
        <v>30136</v>
      </c>
      <c r="E14" s="2517">
        <f ca="1">ROUND(D14*10000/B14,0)</f>
        <v>4203</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I43" sqref="I4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1" t="str">
        <f>项目基本情况!S2</f>
        <v>北京市房地产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3" t="s">
        <v>1265</v>
      </c>
      <c r="B4" s="1754" t="s">
        <v>1266</v>
      </c>
      <c r="C4" s="1755" t="s">
        <v>3648</v>
      </c>
      <c r="D4" s="1755" t="s">
        <v>3651</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6"/>
      <c r="G5" s="1756"/>
      <c r="H5" s="1756"/>
      <c r="I5" s="1372"/>
    </row>
    <row r="6" spans="1:12" ht="12.75">
      <c r="A6" s="3561"/>
      <c r="B6" s="3548"/>
      <c r="C6" s="3565"/>
      <c r="D6" s="3584"/>
      <c r="E6" s="131" t="s">
        <v>1270</v>
      </c>
      <c r="F6" s="1756"/>
      <c r="G6" s="1756"/>
      <c r="H6" s="1756"/>
      <c r="I6" s="1372"/>
    </row>
    <row r="7" spans="1:12" ht="12.75">
      <c r="A7" s="3561"/>
      <c r="B7" s="3548"/>
      <c r="C7" s="3566"/>
      <c r="D7" s="3584"/>
      <c r="E7" s="131" t="s">
        <v>1271</v>
      </c>
      <c r="F7" s="1756"/>
      <c r="G7" s="1756"/>
      <c r="H7" s="1756"/>
      <c r="I7" s="1372"/>
    </row>
    <row r="8" spans="1:12" ht="12.75">
      <c r="A8" s="3561" t="s">
        <v>1272</v>
      </c>
      <c r="B8" s="3548">
        <v>15</v>
      </c>
      <c r="C8" s="3564"/>
      <c r="D8" s="3584"/>
      <c r="E8" s="131" t="s">
        <v>1273</v>
      </c>
      <c r="F8" s="1756"/>
      <c r="G8" s="1756"/>
      <c r="H8" s="1756"/>
      <c r="I8" s="1372"/>
    </row>
    <row r="9" spans="1:12" ht="12.75">
      <c r="A9" s="3561"/>
      <c r="B9" s="3548"/>
      <c r="C9" s="3566"/>
      <c r="D9" s="3584"/>
      <c r="E9" s="131" t="s">
        <v>1274</v>
      </c>
      <c r="F9" s="1756"/>
      <c r="G9" s="1756"/>
      <c r="H9" s="1756"/>
      <c r="I9" s="1372"/>
    </row>
    <row r="10" spans="1:12" ht="12.75">
      <c r="A10" s="3561" t="s">
        <v>1275</v>
      </c>
      <c r="B10" s="3548">
        <v>15</v>
      </c>
      <c r="C10" s="3564"/>
      <c r="D10" s="3584"/>
      <c r="E10" s="131" t="s">
        <v>1276</v>
      </c>
      <c r="F10" s="1756"/>
      <c r="G10" s="1756"/>
      <c r="H10" s="1756"/>
      <c r="I10" s="1372"/>
    </row>
    <row r="11" spans="1:12" ht="12.75">
      <c r="A11" s="3561"/>
      <c r="B11" s="3548"/>
      <c r="C11" s="3566"/>
      <c r="D11" s="3584"/>
      <c r="E11" s="131" t="s">
        <v>1277</v>
      </c>
      <c r="F11" s="1756"/>
      <c r="G11" s="1756"/>
      <c r="H11" s="1756"/>
      <c r="I11" s="1372"/>
    </row>
    <row r="12" spans="1:12" ht="12.75">
      <c r="A12" s="3561" t="s">
        <v>1278</v>
      </c>
      <c r="B12" s="3548">
        <v>15</v>
      </c>
      <c r="C12" s="3564"/>
      <c r="D12" s="3584"/>
      <c r="E12" s="131" t="s">
        <v>1279</v>
      </c>
      <c r="F12" s="1756"/>
      <c r="G12" s="1756"/>
      <c r="H12" s="1756"/>
      <c r="I12" s="1372"/>
    </row>
    <row r="13" spans="1:12" ht="12.75">
      <c r="A13" s="3561"/>
      <c r="B13" s="3548"/>
      <c r="C13" s="3566"/>
      <c r="D13" s="3584"/>
      <c r="E13" s="131" t="s">
        <v>1280</v>
      </c>
      <c r="F13" s="1756"/>
      <c r="G13" s="1756"/>
      <c r="H13" s="1756"/>
      <c r="I13" s="1372"/>
    </row>
    <row r="14" spans="1:12" ht="12.75">
      <c r="A14" s="3561" t="s">
        <v>1281</v>
      </c>
      <c r="B14" s="3548">
        <v>30</v>
      </c>
      <c r="C14" s="3564">
        <v>5</v>
      </c>
      <c r="D14" s="3584">
        <v>5</v>
      </c>
      <c r="E14" s="131" t="s">
        <v>1282</v>
      </c>
      <c r="F14" s="1756"/>
      <c r="G14" s="1756"/>
      <c r="H14" s="1756"/>
      <c r="I14" s="1372"/>
    </row>
    <row r="15" spans="1:12" ht="12.75">
      <c r="A15" s="3561"/>
      <c r="B15" s="3548"/>
      <c r="C15" s="3565"/>
      <c r="D15" s="3584"/>
      <c r="E15" s="131" t="s">
        <v>1283</v>
      </c>
      <c r="F15" s="1756"/>
      <c r="G15" s="1756"/>
      <c r="H15" s="1756"/>
      <c r="I15" s="1372"/>
    </row>
    <row r="16" spans="1:12" ht="12.75">
      <c r="A16" s="3561"/>
      <c r="B16" s="3548"/>
      <c r="C16" s="3566"/>
      <c r="D16" s="3584"/>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71" t="s">
        <v>2130</v>
      </c>
      <c r="F18" s="3572"/>
      <c r="G18" s="3572"/>
      <c r="H18" s="3572"/>
      <c r="I18" s="3572"/>
      <c r="K18" s="302" t="s">
        <v>1289</v>
      </c>
      <c r="L18" s="302">
        <f>IF(C1="",'数据-汇总表'!E3,SUMIF(项目类型,C1,'数据-汇总表'!E17:E26)+SUMIF(项目类型,C1,'数据-汇总表'!I17:I26))</f>
        <v>71700.22</v>
      </c>
      <c r="M18" s="302">
        <f>IF(C1="",'数据-汇总表'!E3,SUMIF(项目类型,C1,'数据-汇总表'!E17:E26))</f>
        <v>71700.22</v>
      </c>
    </row>
    <row r="19" spans="1:36" ht="15">
      <c r="A19" s="1760" t="s">
        <v>1290</v>
      </c>
      <c r="B19" s="1761" t="s">
        <v>1291</v>
      </c>
      <c r="C19" s="134">
        <f ca="1">SUMIF(INDIRECT("'"&amp;C4&amp;"'"&amp;"!A:A"),结果表!B19,INDIRECT("'"&amp;C4&amp;"'"&amp;"!B:B"))</f>
        <v>30890</v>
      </c>
      <c r="D19" s="135">
        <f ca="1">SUMIF(INDIRECT("'"&amp;D4&amp;"'"&amp;"!A:A"),结果表!B19,INDIRECT("'"&amp;D4&amp;"'"&amp;"!B:B"))</f>
        <v>29373</v>
      </c>
      <c r="E19" s="1760" t="s">
        <v>1292</v>
      </c>
      <c r="F19" s="1761" t="s">
        <v>1291</v>
      </c>
      <c r="G19" s="136">
        <f ca="1">ROUND(C19*$C$18+D19*$D$18,0)</f>
        <v>30132</v>
      </c>
      <c r="H19" s="1762" t="s">
        <v>1293</v>
      </c>
      <c r="I19" s="129"/>
      <c r="K19" s="302" t="s">
        <v>1294</v>
      </c>
      <c r="L19" s="302">
        <f>IF(C1="",'数据-汇总表'!D3,SUMIF(项目类型,C1,'数据-汇总表'!D17:D26)+SUMIF(项目类型,C1,'数据-汇总表'!H17:H27))</f>
        <v>73334</v>
      </c>
      <c r="M19" s="302">
        <f>IF(C1="",'数据-汇总表'!D3,SUMIF(项目类型,C1,'数据-汇总表'!D17:D26))</f>
        <v>73334</v>
      </c>
    </row>
    <row r="20" spans="1:36" ht="15">
      <c r="A20" s="1763"/>
      <c r="B20" s="1025" t="s">
        <v>1295</v>
      </c>
      <c r="C20" s="137">
        <f ca="1">SUMIF(INDIRECT("'"&amp;C4&amp;"'"&amp;"!A:A"),结果表!B20,INDIRECT("'"&amp;C4&amp;"'"&amp;"!B:B"))</f>
        <v>4308</v>
      </c>
      <c r="D20" s="138">
        <f ca="1">SUMIF(INDIRECT("'"&amp;D4&amp;"'"&amp;"!A:A"),结果表!B20,INDIRECT("'"&amp;D4&amp;"'"&amp;"!B:B"))</f>
        <v>4097</v>
      </c>
      <c r="E20" s="1763"/>
      <c r="F20" s="1025" t="s">
        <v>1295</v>
      </c>
      <c r="G20" s="139">
        <f ca="1">ROUND(C20*$C$18+D20*$D$18,0)</f>
        <v>4203</v>
      </c>
      <c r="H20" s="807" t="s">
        <v>1296</v>
      </c>
      <c r="I20" s="129"/>
    </row>
    <row r="21" spans="1:36" ht="15" customHeight="1" thickBot="1">
      <c r="A21" s="827"/>
      <c r="B21" s="1764" t="s">
        <v>1297</v>
      </c>
      <c r="C21" s="718">
        <f ca="1">ROUND(C19*10000/L19,0)</f>
        <v>4212</v>
      </c>
      <c r="D21" s="719">
        <f ca="1">ROUND(D19*10000/L19,0)</f>
        <v>4005</v>
      </c>
      <c r="E21" s="827"/>
      <c r="F21" s="1764" t="s">
        <v>1297</v>
      </c>
      <c r="G21" s="140">
        <f ca="1">ROUND(G19*10000/L19,0)</f>
        <v>4109</v>
      </c>
      <c r="H21" s="1765" t="s">
        <v>1296</v>
      </c>
      <c r="I21" s="129"/>
    </row>
    <row r="22" spans="1:36" ht="15" thickBot="1">
      <c r="A22" s="1687" t="s">
        <v>1298</v>
      </c>
      <c r="B22" s="1766"/>
      <c r="C22" s="1767"/>
      <c r="D22" s="720">
        <f ca="1">IF(C19&lt;D19,D19/C19-1,C19/D19-1)</f>
        <v>5.1646069519626803E-2</v>
      </c>
      <c r="E22" s="129"/>
      <c r="F22" s="129"/>
      <c r="G22" s="129"/>
      <c r="H22" s="129"/>
      <c r="I22" s="129"/>
    </row>
    <row r="23" spans="1:36" ht="13.5" thickBot="1">
      <c r="A23" s="1746"/>
      <c r="B23" s="1746"/>
      <c r="C23" s="1746"/>
      <c r="D23" s="1746"/>
      <c r="E23" s="129"/>
      <c r="F23" s="129"/>
      <c r="G23" s="129"/>
      <c r="H23" s="129"/>
      <c r="I23" s="129"/>
    </row>
    <row r="24" spans="1:36" ht="14.25">
      <c r="A24" s="3555" t="s">
        <v>1299</v>
      </c>
      <c r="B24" s="1761" t="s">
        <v>1291</v>
      </c>
      <c r="C24" s="136">
        <f>IF(B30=0,0,D30)</f>
        <v>0</v>
      </c>
      <c r="D24" s="1768"/>
      <c r="E24" s="129"/>
      <c r="F24" s="129"/>
      <c r="G24" s="129"/>
      <c r="H24" s="129"/>
      <c r="I24" s="129"/>
    </row>
    <row r="25" spans="1:36" ht="14.25">
      <c r="A25" s="3556"/>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4203</v>
      </c>
      <c r="D32" s="1774" t="s">
        <v>3439</v>
      </c>
      <c r="E32" s="129"/>
      <c r="F32" s="129"/>
      <c r="G32" s="129"/>
      <c r="H32" s="129"/>
      <c r="I32" s="129"/>
    </row>
    <row r="33" spans="1:15" ht="15">
      <c r="A33" s="785" t="s">
        <v>1306</v>
      </c>
      <c r="B33" s="1775"/>
      <c r="C33" s="1776" t="s">
        <v>3444</v>
      </c>
      <c r="D33" s="1777"/>
      <c r="E33" s="1778" t="s">
        <v>1307</v>
      </c>
      <c r="F33" s="1779" t="str">
        <f>IF(D32="楼面单价","取值（单价）","取值（总价）")</f>
        <v>取值（单价）</v>
      </c>
      <c r="G33" s="129"/>
      <c r="H33" s="129"/>
      <c r="I33" s="129"/>
    </row>
    <row r="34" spans="1:15" ht="15">
      <c r="A34" s="1780"/>
      <c r="B34" s="1781" t="s">
        <v>1308</v>
      </c>
      <c r="C34" s="148">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575" t="s">
        <v>1312</v>
      </c>
      <c r="B36" s="1786" t="s">
        <v>1313</v>
      </c>
      <c r="C36" s="145"/>
      <c r="D36" s="1787"/>
      <c r="E36" s="1788"/>
      <c r="F36" s="1789"/>
      <c r="G36" s="129"/>
      <c r="H36" s="129"/>
      <c r="I36" s="129"/>
    </row>
    <row r="37" spans="1:15" ht="15.75" thickBot="1">
      <c r="A37" s="3576"/>
      <c r="B37" s="1673" t="s">
        <v>1314</v>
      </c>
      <c r="C37" s="147"/>
      <c r="D37" s="1138"/>
      <c r="E37" s="1138"/>
      <c r="F37" s="1789"/>
      <c r="G37" s="129"/>
      <c r="H37" s="129"/>
      <c r="I37" s="129"/>
    </row>
    <row r="38" spans="1:15" ht="15.75" thickBot="1">
      <c r="A38" s="3577"/>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2" t="s">
        <v>1326</v>
      </c>
      <c r="B45" s="3553"/>
      <c r="C45" s="3554"/>
      <c r="D45" s="155">
        <f ca="1">ROUND(H101*F45,0)</f>
        <v>30136</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5"/>
      <c r="I46" s="159"/>
      <c r="J46" s="2522">
        <v>1</v>
      </c>
      <c r="K46" s="3611" t="s">
        <v>1331</v>
      </c>
      <c r="L46" s="3611"/>
      <c r="M46" s="3631"/>
      <c r="N46" s="3631"/>
      <c r="O46" s="3631"/>
    </row>
    <row r="47" spans="1:15" ht="12" customHeight="1">
      <c r="A47" s="160" t="s">
        <v>1332</v>
      </c>
      <c r="B47" s="161"/>
      <c r="C47" s="162"/>
      <c r="D47" s="1086" t="s">
        <v>1333</v>
      </c>
      <c r="E47" s="302" t="s">
        <v>1334</v>
      </c>
      <c r="F47" s="163" t="s">
        <v>1335</v>
      </c>
      <c r="G47" s="2545" t="s">
        <v>1336</v>
      </c>
      <c r="H47" s="2546"/>
      <c r="I47" s="159"/>
      <c r="J47" s="2522">
        <v>2</v>
      </c>
      <c r="K47" s="3611" t="s">
        <v>1337</v>
      </c>
      <c r="L47" s="3611"/>
      <c r="M47" s="3632">
        <f>'数据-取费表'!B2</f>
        <v>45429</v>
      </c>
      <c r="N47" s="3632"/>
      <c r="O47" s="3632"/>
    </row>
    <row r="48" spans="1:15" ht="25.5">
      <c r="A48" s="3580" t="s">
        <v>1338</v>
      </c>
      <c r="B48" s="3563"/>
      <c r="C48" s="3563"/>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11" t="s">
        <v>1340</v>
      </c>
      <c r="L48" s="3611"/>
      <c r="M48" s="3633">
        <f ca="1">H101</f>
        <v>30136</v>
      </c>
      <c r="N48" s="3633"/>
      <c r="O48" s="3633"/>
    </row>
    <row r="49" spans="1:35" ht="25.5" customHeight="1">
      <c r="A49" s="2332" t="s">
        <v>1341</v>
      </c>
      <c r="B49" s="3547" t="s">
        <v>1342</v>
      </c>
      <c r="C49" s="3547"/>
      <c r="D49" s="1589">
        <v>0</v>
      </c>
      <c r="E49" s="324" t="s">
        <v>1343</v>
      </c>
      <c r="F49" s="2423" t="s">
        <v>28</v>
      </c>
      <c r="G49" s="3617"/>
      <c r="H49" s="2309" t="s">
        <v>2133</v>
      </c>
      <c r="I49" s="2310"/>
      <c r="J49" s="2522">
        <v>4</v>
      </c>
      <c r="K49" s="3611" t="str">
        <f>IF(项目基本情况!E8="房地产抵押价值","房地产抵押价值","抵押担保权已注销时的房地产抵押价值")</f>
        <v>房地产抵押价值</v>
      </c>
      <c r="L49" s="3611"/>
      <c r="M49" s="3633">
        <f ca="1">IF(项目基本情况!E8="房地产抵押价值",H107,H109)</f>
        <v>30136</v>
      </c>
      <c r="N49" s="3633"/>
      <c r="O49" s="3633"/>
    </row>
    <row r="50" spans="1:35" ht="25.5" customHeight="1">
      <c r="A50" s="2550"/>
      <c r="B50" s="3547" t="s">
        <v>1344</v>
      </c>
      <c r="C50" s="3547"/>
      <c r="D50" s="2551"/>
      <c r="E50" s="332"/>
      <c r="F50" s="2423"/>
      <c r="G50" s="3618"/>
      <c r="H50" s="2311" t="s">
        <v>2134</v>
      </c>
      <c r="I50" s="2310"/>
      <c r="J50" s="3630" t="s">
        <v>1345</v>
      </c>
      <c r="K50" s="3630"/>
      <c r="L50" s="3630"/>
      <c r="M50" s="3630"/>
      <c r="N50" s="3630"/>
      <c r="O50" s="3630"/>
    </row>
    <row r="51" spans="1:35" ht="20.45" customHeight="1">
      <c r="A51" s="2552"/>
      <c r="B51" s="3547" t="s">
        <v>1346</v>
      </c>
      <c r="C51" s="3547"/>
      <c r="D51" s="1086"/>
      <c r="E51" s="327"/>
      <c r="F51" s="2423"/>
      <c r="G51" s="3619"/>
      <c r="H51" s="2311" t="s">
        <v>2135</v>
      </c>
      <c r="I51" s="2310"/>
      <c r="J51" s="2523" t="s">
        <v>1347</v>
      </c>
      <c r="K51" s="3611" t="s">
        <v>1348</v>
      </c>
      <c r="L51" s="3611"/>
      <c r="M51" s="2523" t="s">
        <v>1349</v>
      </c>
      <c r="N51" s="2523" t="s">
        <v>1350</v>
      </c>
      <c r="O51" s="2523" t="s">
        <v>1351</v>
      </c>
    </row>
    <row r="52" spans="1:35" ht="24" customHeight="1">
      <c r="A52" s="2334" t="s">
        <v>1352</v>
      </c>
      <c r="B52" s="3547" t="s">
        <v>1353</v>
      </c>
      <c r="C52" s="3547"/>
      <c r="D52" s="1086">
        <f ca="1">ROUND(D45*'数据-取费表'!B41/(1+'数据-取费表'!C42),0)</f>
        <v>1579</v>
      </c>
      <c r="E52" s="2333" t="s">
        <v>1354</v>
      </c>
      <c r="F52" s="2553">
        <f>'数据-取费表'!B41</f>
        <v>5.5000000000000007E-2</v>
      </c>
      <c r="G52" s="2554"/>
      <c r="H52" s="2543"/>
      <c r="I52" s="1806"/>
      <c r="J52" s="2522">
        <v>1</v>
      </c>
      <c r="K52" s="3612" t="s">
        <v>1355</v>
      </c>
      <c r="L52" s="3612"/>
      <c r="M52" s="2524" t="b">
        <f>D48</f>
        <v>0</v>
      </c>
      <c r="N52" s="2522" t="str">
        <f>E48</f>
        <v>销售额×税（费）率</v>
      </c>
      <c r="O52" s="2525">
        <f>F48</f>
        <v>5.5000000000000007E-2</v>
      </c>
    </row>
    <row r="53" spans="1:35" ht="12" customHeight="1">
      <c r="A53" s="2334" t="s">
        <v>1356</v>
      </c>
      <c r="B53" s="3573" t="s">
        <v>2290</v>
      </c>
      <c r="C53" s="3574"/>
      <c r="D53" s="1086">
        <f ca="1">ROUND(D45*'数据-取费表'!B41/(1+'数据-取费表'!C42),0)</f>
        <v>1579</v>
      </c>
      <c r="E53" s="2333" t="s">
        <v>1354</v>
      </c>
      <c r="F53" s="2553">
        <f>'数据-取费表'!B41</f>
        <v>5.5000000000000007E-2</v>
      </c>
      <c r="G53" s="2554"/>
      <c r="H53" s="2543"/>
      <c r="I53" s="1806"/>
      <c r="J53" s="2522">
        <v>2</v>
      </c>
      <c r="K53" s="3612" t="s">
        <v>1357</v>
      </c>
      <c r="L53" s="3612"/>
      <c r="M53" s="2524">
        <f t="shared" ref="M53:O54" ca="1" si="0">D55</f>
        <v>15</v>
      </c>
      <c r="N53" s="2522" t="str">
        <f t="shared" si="0"/>
        <v>销售额×税（费）率</v>
      </c>
      <c r="O53" s="2525" t="str">
        <f t="shared" si="0"/>
        <v>免征</v>
      </c>
    </row>
    <row r="54" spans="1:35" ht="12" customHeight="1">
      <c r="A54" s="2334" t="s">
        <v>1358</v>
      </c>
      <c r="B54" s="3573" t="s">
        <v>2291</v>
      </c>
      <c r="C54" s="3574"/>
      <c r="D54" s="1086">
        <f ca="1">C68</f>
        <v>1579</v>
      </c>
      <c r="E54" s="327" t="s">
        <v>1359</v>
      </c>
      <c r="F54" s="2553">
        <f>'数据-取费表'!B41</f>
        <v>5.5000000000000007E-2</v>
      </c>
      <c r="G54" s="2554"/>
      <c r="H54" s="2555"/>
      <c r="I54" s="1806"/>
      <c r="J54" s="2522">
        <v>3</v>
      </c>
      <c r="K54" s="3612" t="s">
        <v>1360</v>
      </c>
      <c r="L54" s="3612"/>
      <c r="M54" s="2524">
        <f t="shared" ca="1" si="0"/>
        <v>17084</v>
      </c>
      <c r="N54" s="2522" t="str">
        <f t="shared" si="0"/>
        <v>增值额×税（费）率</v>
      </c>
      <c r="O54" s="2526" t="str">
        <f t="shared" si="0"/>
        <v>免征</v>
      </c>
    </row>
    <row r="55" spans="1:35" ht="24" customHeight="1">
      <c r="A55" s="3562" t="s">
        <v>1361</v>
      </c>
      <c r="B55" s="3563"/>
      <c r="C55" s="3563"/>
      <c r="D55" s="2323">
        <f ca="1">IF(H55="个人住宅",0,ROUND(D45*I55,0))</f>
        <v>15</v>
      </c>
      <c r="E55" s="2333" t="s">
        <v>1362</v>
      </c>
      <c r="F55" s="2553" t="str">
        <f>IF(H55="正常",I55,"免征")</f>
        <v>免征</v>
      </c>
      <c r="G55" s="2554"/>
      <c r="H55" s="2549"/>
      <c r="I55" s="165">
        <f>'数据-取费表'!B49</f>
        <v>5.0000000000000001E-4</v>
      </c>
      <c r="J55" s="2522">
        <f>IF(H59="非个人房产","",4)</f>
        <v>4</v>
      </c>
      <c r="K55" s="3612" t="str">
        <f>IF(H59="非个人房产","——","个人所得税")</f>
        <v>个人所得税</v>
      </c>
      <c r="L55" s="3612"/>
      <c r="M55" s="2527">
        <f ca="1">D59</f>
        <v>287</v>
      </c>
      <c r="N55" s="2039" t="str">
        <f>E59</f>
        <v>差额计税</v>
      </c>
      <c r="O55" s="2528">
        <f>F59</f>
        <v>0.01</v>
      </c>
    </row>
    <row r="56" spans="1:35" ht="24.75">
      <c r="A56" s="3562" t="s">
        <v>1363</v>
      </c>
      <c r="B56" s="3563"/>
      <c r="C56" s="3563"/>
      <c r="D56" s="2323">
        <f ca="1">IF(H56="个人住宅",D57,D58)</f>
        <v>17084</v>
      </c>
      <c r="E56" s="2333" t="s">
        <v>1364</v>
      </c>
      <c r="F56" s="2553" t="str">
        <f>IF(H56="正常",F58,"免征")</f>
        <v>免征</v>
      </c>
      <c r="G56" s="2556" t="s">
        <v>1365</v>
      </c>
      <c r="H56" s="2557"/>
      <c r="I56" s="1807"/>
      <c r="J56" s="2522" t="str">
        <f>IF(项目基本情况!K6="上海银行",IF(J55="",4,J55+1),"")</f>
        <v/>
      </c>
      <c r="K56" s="3635" t="str">
        <f>IF(项目基本情况!K6="上海银行","其他处置费用","")</f>
        <v/>
      </c>
      <c r="L56" s="3636"/>
      <c r="M56" s="2524" t="str">
        <f>IF(项目基本情况!K6="上海银行",M69,"")</f>
        <v/>
      </c>
      <c r="N56" s="3635" t="str">
        <f>IF(项目基本情况!K6="上海银行","包含处置中涉及的律师、诉讼、拍卖、评估等费用","")</f>
        <v/>
      </c>
      <c r="O56" s="3638"/>
    </row>
    <row r="57" spans="1:35" ht="12.75">
      <c r="A57" s="2334" t="s">
        <v>1341</v>
      </c>
      <c r="B57" s="3573" t="s">
        <v>1366</v>
      </c>
      <c r="C57" s="3574"/>
      <c r="D57" s="1589">
        <v>0</v>
      </c>
      <c r="E57" s="324" t="s">
        <v>1343</v>
      </c>
      <c r="F57" s="302"/>
      <c r="G57" s="2554"/>
      <c r="H57" s="2558"/>
      <c r="I57" s="1807"/>
      <c r="J57" s="3612">
        <f>IF(AND(J55="",J56=""),4,IF(项目基本情况!K6="上海银行",结果表!J56+1,结果表!J55+1))</f>
        <v>5</v>
      </c>
      <c r="K57" s="3612" t="s">
        <v>1367</v>
      </c>
      <c r="L57" s="2529" t="s">
        <v>1368</v>
      </c>
      <c r="M57" s="2530"/>
      <c r="N57" s="2531">
        <f ca="1">SUMIF(M52:M56,"&lt;9e307")</f>
        <v>17386</v>
      </c>
      <c r="O57" s="2532"/>
      <c r="P57" s="2689">
        <f ca="1">N57/M49</f>
        <v>0.57691797186089722</v>
      </c>
    </row>
    <row r="58" spans="1:35" ht="24.75">
      <c r="A58" s="2334" t="s">
        <v>1352</v>
      </c>
      <c r="B58" s="3573" t="s">
        <v>1369</v>
      </c>
      <c r="C58" s="3547"/>
      <c r="D58" s="2323">
        <f ca="1">IF(H58="转让取得",C81,C97)</f>
        <v>17084</v>
      </c>
      <c r="E58" s="2333" t="s">
        <v>1364</v>
      </c>
      <c r="F58" s="302" t="s">
        <v>28</v>
      </c>
      <c r="G58" s="2554"/>
      <c r="H58" s="2557"/>
      <c r="I58" s="1807"/>
      <c r="J58" s="3612"/>
      <c r="K58" s="3612"/>
      <c r="L58" s="2529" t="s">
        <v>1370</v>
      </c>
      <c r="M58" s="2533"/>
      <c r="N58" s="2534" t="str">
        <f ca="1">NUMBERSTRING(INT(N57*10000),2)&amp;"元整"</f>
        <v>壹亿柒仟叁佰捌拾陆万元整</v>
      </c>
      <c r="O58" s="2535"/>
    </row>
    <row r="59" spans="1:35" ht="24.75" thickBot="1">
      <c r="A59" s="3615" t="s">
        <v>1371</v>
      </c>
      <c r="B59" s="3616"/>
      <c r="C59" s="3616"/>
      <c r="D59" s="2559">
        <f ca="1">IF(H59="非个人房产","——",IF(H59="个人住宅（满五唯一有凭证）",0,IF(H59="个人其他（无凭证）",ROUND(D45*F59,0),ROUND(C67*F59,0))))</f>
        <v>287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13">
        <f>J57+1</f>
        <v>6</v>
      </c>
      <c r="K59" s="3612" t="s">
        <v>1372</v>
      </c>
      <c r="L59" s="2522" t="s">
        <v>1368</v>
      </c>
      <c r="M59" s="2536"/>
      <c r="N59" s="2537">
        <f ca="1">M49-N57</f>
        <v>12750</v>
      </c>
      <c r="O59" s="2538"/>
    </row>
    <row r="60" spans="1:35" ht="12" customHeight="1">
      <c r="A60" s="1808"/>
      <c r="B60" s="1746"/>
      <c r="C60" s="1746"/>
      <c r="D60" s="1746"/>
      <c r="E60" s="1577"/>
      <c r="F60" s="1807"/>
      <c r="G60" s="1807"/>
      <c r="H60" s="1809"/>
      <c r="I60" s="129"/>
      <c r="J60" s="3614"/>
      <c r="K60" s="3612"/>
      <c r="L60" s="2529" t="s">
        <v>1370</v>
      </c>
      <c r="M60" s="2533"/>
      <c r="N60" s="2534" t="str">
        <f ca="1">NUMBERSTRING(INT(N59*10000),2)&amp;"元整"</f>
        <v>壹亿贰仟柒佰伍拾万元整</v>
      </c>
      <c r="O60" s="2535"/>
    </row>
    <row r="61" spans="1:35" ht="13.5" thickBot="1">
      <c r="A61" s="3560" t="s">
        <v>1373</v>
      </c>
      <c r="B61" s="3560"/>
      <c r="C61" s="3560"/>
      <c r="D61" s="3560"/>
      <c r="E61" s="3560"/>
      <c r="F61" s="1807"/>
      <c r="G61" s="1807"/>
      <c r="H61" s="1809"/>
      <c r="I61" s="129"/>
      <c r="J61" s="2522">
        <f>J59+1</f>
        <v>7</v>
      </c>
      <c r="K61" s="3612" t="s">
        <v>1374</v>
      </c>
      <c r="L61" s="3612"/>
      <c r="M61" s="2539"/>
      <c r="N61" s="2540">
        <f ca="1">ROUND(N59*10000/'数据-汇总表'!E3,0)</f>
        <v>1778</v>
      </c>
      <c r="O61" s="2541"/>
    </row>
    <row r="62" spans="1:35" ht="12.75">
      <c r="A62" s="3578" t="s">
        <v>1375</v>
      </c>
      <c r="B62" s="3579"/>
      <c r="C62" s="2020"/>
      <c r="D62" s="2020" t="s">
        <v>1376</v>
      </c>
      <c r="E62" s="166" t="s">
        <v>1377</v>
      </c>
      <c r="F62" s="1807"/>
      <c r="G62" s="1807"/>
      <c r="H62" s="1809"/>
      <c r="I62" s="129"/>
    </row>
    <row r="63" spans="1:35" ht="12.75">
      <c r="A63" s="173" t="s">
        <v>330</v>
      </c>
      <c r="B63" s="167" t="s">
        <v>1378</v>
      </c>
      <c r="C63" s="2563">
        <f ca="1">ROUND((C64+C65)/(1+'数据-取费表'!C42),0)</f>
        <v>28701</v>
      </c>
      <c r="D63" s="167"/>
      <c r="E63" s="168"/>
      <c r="F63" s="1807"/>
      <c r="G63" s="1807"/>
      <c r="H63" s="1809"/>
      <c r="I63" s="129"/>
      <c r="J63" s="3637" t="s">
        <v>1379</v>
      </c>
      <c r="K63" s="1331" t="s">
        <v>1380</v>
      </c>
      <c r="L63" s="1331">
        <f ca="1">IF(M49&gt;10000,M49*0.5%,IF(AND(M49&gt;1000,M49&lt;=10000),M49*1%,IF(AND(M49&gt;100,M49&lt;=1000),M49*3%,IF(AND(M49&gt;10,M49&lt;=100),M49*5%,M49*8%))))</f>
        <v>150.68</v>
      </c>
      <c r="M63" s="302">
        <f ca="1">ROUND(L63,1)</f>
        <v>150.69999999999999</v>
      </c>
      <c r="N63" s="2542"/>
      <c r="Z63" s="1751"/>
      <c r="AI63" s="1752"/>
    </row>
    <row r="64" spans="1:35" ht="14.25" customHeight="1">
      <c r="A64" s="169" t="s">
        <v>325</v>
      </c>
      <c r="B64" s="170" t="s">
        <v>1381</v>
      </c>
      <c r="C64" s="2564">
        <f ca="1">D45</f>
        <v>30136</v>
      </c>
      <c r="D64" s="170" t="s">
        <v>26</v>
      </c>
      <c r="E64" s="172"/>
      <c r="F64" s="1807"/>
      <c r="G64" s="1807"/>
      <c r="H64" s="1809"/>
      <c r="I64" s="129"/>
      <c r="J64" s="3637"/>
      <c r="K64" s="1331" t="s">
        <v>1382</v>
      </c>
      <c r="L64" s="1331">
        <f ca="1">IF(M49&gt;2000,M49*0.5%,IF(AND(M49&gt;1000,M49&lt;=2000),M49*0.6%,IF(AND(M49&gt;500,M49&lt;=1000),M49*0.7%,IF(AND(M49&gt;200,M49&lt;=500),M49*0.8%,IF(AND(M49&gt;100,M49&lt;=200),M49*0.9%,IF(AND(M49&gt;50,M49&lt;=100),M49*1%,IF(AND(M49&gt;20,M49&lt;=50),M49*1.5%,IF(AND(M49&gt;10,M49&lt;=20),M49*2%,IF(AND(M49&gt;1,M49&lt;=10),M49*2.5%)))))))))</f>
        <v>150.68</v>
      </c>
      <c r="M64" s="302">
        <f t="shared" ref="M64:M65" ca="1" si="1">ROUND(L64,1)</f>
        <v>150.69999999999999</v>
      </c>
      <c r="N64" s="2543" t="s">
        <v>1383</v>
      </c>
      <c r="Z64" s="1751"/>
      <c r="AI64" s="1752"/>
    </row>
    <row r="65" spans="1:35" ht="14.25" customHeight="1">
      <c r="A65" s="169" t="s">
        <v>326</v>
      </c>
      <c r="B65" s="170" t="s">
        <v>1384</v>
      </c>
      <c r="C65" s="2565"/>
      <c r="D65" s="170"/>
      <c r="E65" s="172"/>
      <c r="F65" s="1807"/>
      <c r="G65" s="1807"/>
      <c r="H65" s="1809"/>
      <c r="I65" s="129"/>
      <c r="J65" s="3637"/>
      <c r="K65" s="1331" t="s">
        <v>1385</v>
      </c>
      <c r="L65" s="1331">
        <f ca="1">IF(M49&gt;1000,M49*0.1%,IF(AND(M49&gt;500,M49&lt;=1000),M49*0.5%,IF(AND(M49&gt;50,M49&lt;=500),M49*1%,IF(AND(M49&gt;1,M49&lt;=50),M49*1.5%))))</f>
        <v>30.135999999999999</v>
      </c>
      <c r="M65" s="302">
        <f t="shared" ca="1" si="1"/>
        <v>30.1</v>
      </c>
      <c r="N65" s="2543" t="s">
        <v>1383</v>
      </c>
      <c r="Z65" s="1751"/>
      <c r="AI65" s="1752"/>
    </row>
    <row r="66" spans="1:35" ht="14.25" customHeight="1">
      <c r="A66" s="173" t="s">
        <v>327</v>
      </c>
      <c r="B66" s="174" t="s">
        <v>1386</v>
      </c>
      <c r="C66" s="2566"/>
      <c r="D66" s="174" t="s">
        <v>26</v>
      </c>
      <c r="E66" s="1337" t="s">
        <v>671</v>
      </c>
      <c r="F66" s="1807"/>
      <c r="G66" s="1807"/>
      <c r="H66" s="1809"/>
      <c r="I66" s="129"/>
      <c r="J66" s="3637"/>
      <c r="K66" s="1331" t="s">
        <v>1387</v>
      </c>
      <c r="L66" s="1331">
        <f ca="1">M49*0.5%</f>
        <v>150.68</v>
      </c>
      <c r="M66" s="302">
        <f ca="1">IF(L66&gt;0.5,0.5,ROUND(L66,0))</f>
        <v>0.5</v>
      </c>
      <c r="N66" s="2543" t="s">
        <v>1388</v>
      </c>
      <c r="Z66" s="1751"/>
      <c r="AI66" s="1752"/>
    </row>
    <row r="67" spans="1:35" ht="14.25" customHeight="1">
      <c r="A67" s="173" t="s">
        <v>328</v>
      </c>
      <c r="B67" s="174" t="s">
        <v>1389</v>
      </c>
      <c r="C67" s="2567">
        <f ca="1">C63-C66</f>
        <v>28701</v>
      </c>
      <c r="D67" s="170" t="s">
        <v>26</v>
      </c>
      <c r="E67" s="172"/>
      <c r="F67" s="1807"/>
      <c r="G67" s="1807"/>
      <c r="H67" s="1809"/>
      <c r="I67" s="129"/>
      <c r="J67" s="3637"/>
      <c r="K67" s="1331" t="s">
        <v>1390</v>
      </c>
      <c r="L67" s="1331">
        <f ca="1">IF(M49&gt;=10000,(8.25+(M49-10000)*0.01%),IF(AND(M49&gt;=8000,M49&lt;10000),(7.85+(M49-8000)*0.02%),IF(AND(M49&gt;=5000,M49&lt;8000),(6.65+(M49-5000)*0.04%),IF(AND(M49&gt;=2000,M49&lt;5000),(4.25+(PM49-2000)*0.08%),IF(AND(M49&gt;=1000,M49&lt;2000),(2.75+(M49-1000)*0.15%),IF(AND(M49&gt;=100,M49&lt;1000),(0.5+(M49-100)*0.25%),IF(AND(M49&gt;0,M49&lt;100),M49*0.5%)))))))</f>
        <v>10.2636</v>
      </c>
      <c r="M67" s="302">
        <f ca="1">ROUND(L67*0.9,1)</f>
        <v>9.1999999999999993</v>
      </c>
      <c r="N67" s="2542"/>
      <c r="Z67" s="1751"/>
      <c r="AI67" s="1752"/>
    </row>
    <row r="68" spans="1:35" ht="14.25" customHeight="1" thickBot="1">
      <c r="A68" s="176" t="s">
        <v>329</v>
      </c>
      <c r="B68" s="177" t="s">
        <v>1391</v>
      </c>
      <c r="C68" s="2568">
        <f ca="1">IF(C67&lt;=0,0,ROUND(C67*D68,0))</f>
        <v>1579</v>
      </c>
      <c r="D68" s="2569">
        <f>'数据-取费表'!B41</f>
        <v>5.5000000000000007E-2</v>
      </c>
      <c r="E68" s="178"/>
      <c r="F68" s="1807"/>
      <c r="G68" s="1807"/>
      <c r="H68" s="1809"/>
      <c r="I68" s="129"/>
      <c r="J68" s="3637"/>
      <c r="K68" s="1331" t="s">
        <v>1392</v>
      </c>
      <c r="L68" s="1331">
        <f ca="1">IF(M49&gt;10000,M49*0.5%,IF(AND(M49&gt;5000,M49&lt;=10000),M49*1%,IF(AND(M49&gt;1000,M49&lt;=5000),M49*2%,IF(AND(M49&gt;200,M49&lt;=1000),M49*3%,M49*5%))))</f>
        <v>150.68</v>
      </c>
      <c r="M68" s="302">
        <f ca="1">ROUND(L68,1)</f>
        <v>150.69999999999999</v>
      </c>
      <c r="N68" s="2542"/>
      <c r="Z68" s="1751"/>
      <c r="AI68" s="1752"/>
    </row>
    <row r="69" spans="1:35" s="1771" customFormat="1" ht="16.5" customHeight="1">
      <c r="A69" s="1810"/>
      <c r="B69" s="1811"/>
      <c r="C69" s="1812"/>
      <c r="D69" s="1813"/>
      <c r="E69" s="1814"/>
      <c r="F69" s="1577"/>
      <c r="G69" s="1577"/>
      <c r="H69" s="1576"/>
      <c r="I69" s="1746"/>
      <c r="J69" s="3637"/>
      <c r="K69" s="1331" t="s">
        <v>1393</v>
      </c>
      <c r="L69" s="1331"/>
      <c r="M69" s="302">
        <f ca="1">ROUND(SUM(M63:M68),0)</f>
        <v>492</v>
      </c>
      <c r="N69" s="2544">
        <f ca="1">M69/M49</f>
        <v>1.6325988850544201E-2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9" t="s">
        <v>1394</v>
      </c>
      <c r="B70" s="3600"/>
      <c r="C70" s="3600"/>
      <c r="D70" s="3600"/>
      <c r="E70" s="3600"/>
      <c r="F70" s="3600"/>
      <c r="G70" s="3600"/>
      <c r="H70" s="3600"/>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8" t="s">
        <v>1375</v>
      </c>
      <c r="B71" s="3579"/>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28701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144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3" t="s">
        <v>1402</v>
      </c>
      <c r="F76" s="3547"/>
      <c r="G76" s="3547"/>
      <c r="H76" s="359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144</v>
      </c>
      <c r="D78" s="2576">
        <f>'数据-取费表'!B43</f>
        <v>5.000000000000001E-3</v>
      </c>
      <c r="E78" s="3557" t="s">
        <v>1406</v>
      </c>
      <c r="F78" s="3558"/>
      <c r="G78" s="3558"/>
      <c r="H78" s="356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28557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198.3125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17084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9" t="s">
        <v>1410</v>
      </c>
      <c r="B83" s="3600"/>
      <c r="C83" s="3600"/>
      <c r="D83" s="3600"/>
      <c r="E83" s="3600"/>
      <c r="F83" s="3600"/>
      <c r="G83" s="3600"/>
      <c r="H83" s="360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8" t="s">
        <v>1375</v>
      </c>
      <c r="B84" s="357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28701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144</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9" t="s">
        <v>2128</v>
      </c>
      <c r="H90" s="3640"/>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7" t="s">
        <v>1419</v>
      </c>
      <c r="F91" s="3558"/>
      <c r="G91" s="355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7" t="s">
        <v>1422</v>
      </c>
      <c r="F92" s="3558"/>
      <c r="G92" s="3558"/>
      <c r="H92" s="3567"/>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144</v>
      </c>
      <c r="D93" s="2576">
        <f>'数据-取费表'!B43</f>
        <v>5.000000000000001E-3</v>
      </c>
      <c r="E93" s="3557" t="s">
        <v>1406</v>
      </c>
      <c r="F93" s="3558"/>
      <c r="G93" s="3558"/>
      <c r="H93" s="356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68" t="s">
        <v>1426</v>
      </c>
      <c r="F94" s="3569"/>
      <c r="G94" s="3569"/>
      <c r="H94" s="357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28557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198.3125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17084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4" t="str">
        <f>C4</f>
        <v>成本法</v>
      </c>
      <c r="D101" s="2585" t="str">
        <f>D4</f>
        <v>收益法</v>
      </c>
      <c r="E101" s="3634" t="s">
        <v>1431</v>
      </c>
      <c r="F101" s="3591"/>
      <c r="G101" s="1826" t="s">
        <v>1432</v>
      </c>
      <c r="H101" s="2594">
        <f ca="1">H118</f>
        <v>30136</v>
      </c>
      <c r="I101" s="129"/>
    </row>
    <row r="102" spans="1:35" ht="18.75" customHeight="1">
      <c r="A102" s="3593" t="s">
        <v>1433</v>
      </c>
      <c r="B102" s="2583" t="s">
        <v>1432</v>
      </c>
      <c r="C102" s="2584">
        <f ca="1">IF(D32="楼面单价",ROUND(C19,0),C19)</f>
        <v>30890</v>
      </c>
      <c r="D102" s="2585">
        <f ca="1">IF(D32="楼面单价",ROUND(D19,0),D19)</f>
        <v>29373</v>
      </c>
      <c r="E102" s="3634"/>
      <c r="F102" s="3591"/>
      <c r="G102" s="1826" t="s">
        <v>1434</v>
      </c>
      <c r="H102" s="2554">
        <f ca="1">I118</f>
        <v>4203</v>
      </c>
      <c r="I102" s="129"/>
    </row>
    <row r="103" spans="1:35" ht="42.75" customHeight="1">
      <c r="A103" s="3593"/>
      <c r="B103" s="2583" t="s">
        <v>1434</v>
      </c>
      <c r="C103" s="2586">
        <f ca="1">C20</f>
        <v>4308</v>
      </c>
      <c r="D103" s="2587">
        <f ca="1">D20</f>
        <v>4097</v>
      </c>
      <c r="E103" s="3628" t="s">
        <v>1435</v>
      </c>
      <c r="F103" s="3629"/>
      <c r="G103" s="1827" t="s">
        <v>1436</v>
      </c>
      <c r="H103" s="2594">
        <f>IF(D36="正常操作",H104+H105+H106,H105+H106)</f>
        <v>0</v>
      </c>
      <c r="I103" s="129"/>
    </row>
    <row r="104" spans="1:35" ht="18.75" customHeight="1">
      <c r="A104" s="3593" t="s">
        <v>1437</v>
      </c>
      <c r="B104" s="2588" t="s">
        <v>1432</v>
      </c>
      <c r="C104" s="2589">
        <f ca="1">H118</f>
        <v>30136</v>
      </c>
      <c r="D104" s="2590"/>
      <c r="E104" s="1673" t="s">
        <v>1438</v>
      </c>
      <c r="F104" s="1665"/>
      <c r="G104" s="1827" t="s">
        <v>1436</v>
      </c>
      <c r="H104" s="2595">
        <f>IF(D36="同一抵押权人同一抵押物续贷",C36&amp;"（续贷，未扣减，详见特别提示）",C36)</f>
        <v>0</v>
      </c>
      <c r="I104" s="129"/>
    </row>
    <row r="105" spans="1:35" ht="18.75" customHeight="1" thickBot="1">
      <c r="A105" s="3594"/>
      <c r="B105" s="2591" t="s">
        <v>1434</v>
      </c>
      <c r="C105" s="2592">
        <f ca="1">I118</f>
        <v>4203</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0" t="str">
        <f>IF(项目基本情况!E8="已注销","——","3.房地产抵押价值")</f>
        <v>3.房地产抵押价值</v>
      </c>
      <c r="F107" s="3591"/>
      <c r="G107" s="1826" t="s">
        <v>1432</v>
      </c>
      <c r="H107" s="2594">
        <f ca="1">IF(E107="——","——",H101-H103)</f>
        <v>30136</v>
      </c>
      <c r="I107" s="129"/>
    </row>
    <row r="108" spans="1:35" ht="18.75" customHeight="1">
      <c r="A108" s="129"/>
      <c r="B108" s="129"/>
      <c r="C108" s="129"/>
      <c r="D108" s="129"/>
      <c r="E108" s="3590"/>
      <c r="F108" s="3591"/>
      <c r="G108" s="1826" t="s">
        <v>1434</v>
      </c>
      <c r="H108" s="2554">
        <f ca="1">IF(H107=H101,H102,ROUND(H107*10000/'数据-汇总表'!E3,0))</f>
        <v>4203</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6" t="s">
        <v>1432</v>
      </c>
      <c r="H109" s="2597" t="str">
        <f>IF(E109="——","——",H101-H105-H106)</f>
        <v>——</v>
      </c>
      <c r="I109" s="129"/>
    </row>
    <row r="110" spans="1:35" ht="18.75" customHeight="1">
      <c r="A110" s="129"/>
      <c r="B110" s="129"/>
      <c r="C110" s="129"/>
      <c r="D110" s="129"/>
      <c r="E110" s="3590"/>
      <c r="F110" s="3591"/>
      <c r="G110" s="1826" t="s">
        <v>1434</v>
      </c>
      <c r="H110" s="2554"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6" t="s">
        <v>1432</v>
      </c>
      <c r="H111" s="2594" t="str">
        <f>IF(E111="——","——",N59)</f>
        <v>——</v>
      </c>
      <c r="I111" s="129"/>
    </row>
    <row r="112" spans="1:35" ht="18.75" customHeight="1" thickBot="1">
      <c r="A112" s="129"/>
      <c r="B112" s="129"/>
      <c r="C112" s="129"/>
      <c r="D112" s="129"/>
      <c r="E112" s="3623"/>
      <c r="F112" s="3624"/>
      <c r="G112" s="1829" t="s">
        <v>1434</v>
      </c>
      <c r="H112" s="2598" t="str">
        <f>IF(E111="——","——",N61)</f>
        <v>——</v>
      </c>
      <c r="I112" s="129"/>
    </row>
    <row r="113" spans="1:27" ht="18.75" customHeight="1">
      <c r="A113" s="129"/>
      <c r="B113" s="129"/>
      <c r="C113" s="129"/>
      <c r="D113" s="129"/>
      <c r="E113" s="3595" t="s">
        <v>1440</v>
      </c>
      <c r="F113" s="3595"/>
      <c r="G113" s="3595"/>
      <c r="H113" s="3595"/>
      <c r="I113" s="129"/>
    </row>
    <row r="114" spans="1:27" ht="3.75" customHeight="1">
      <c r="A114" s="1746"/>
      <c r="B114" s="1746"/>
      <c r="C114" s="1746"/>
      <c r="D114" s="1746"/>
      <c r="E114" s="1808"/>
      <c r="F114" s="1808"/>
      <c r="G114" s="1808"/>
      <c r="H114" s="1808"/>
      <c r="I114" s="1746"/>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71700.22</v>
      </c>
      <c r="C118" s="2328">
        <f>M19</f>
        <v>73334</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30136</v>
      </c>
      <c r="I118" s="2328">
        <f ca="1">ROUND(IF(D32="楼面单价",C32,H118*10000/B118),0)</f>
        <v>4203</v>
      </c>
    </row>
    <row r="119" spans="1:27" ht="18.75" customHeight="1">
      <c r="A119" s="3561" t="s">
        <v>1452</v>
      </c>
      <c r="B119" s="3561"/>
      <c r="C119" s="3561"/>
      <c r="D119" s="3601" t="str">
        <f>NUMBERSTRING(INT(D118*10000),2)&amp;"元整"</f>
        <v>零元整</v>
      </c>
      <c r="E119" s="3603"/>
      <c r="F119" s="3601" t="str">
        <f>NUMBERSTRING(INT(F118*10000),2)&amp;"元整"</f>
        <v>零元整</v>
      </c>
      <c r="G119" s="3603"/>
      <c r="H119" s="3601" t="str">
        <f ca="1">NUMBERSTRING(INT(H118*10000),2)&amp;"元整"</f>
        <v>叁亿零壹佰叁拾陆万元整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1" t="s">
        <v>1452</v>
      </c>
      <c r="B121" s="3602"/>
      <c r="C121" s="3603"/>
      <c r="D121" s="3601" t="str">
        <f>IF(D120=0,"零元整",NUMBERSTRING(INT(D120*10000),2)&amp;"元整")</f>
        <v>零元整</v>
      </c>
      <c r="E121" s="3602"/>
      <c r="F121" s="3602"/>
      <c r="G121" s="3602"/>
      <c r="H121" s="3602"/>
      <c r="I121" s="3603"/>
      <c r="AA121" s="724"/>
    </row>
    <row r="122" spans="1:27" ht="18.75" customHeight="1">
      <c r="A122" s="3592" t="str">
        <f>IF(项目基本情况!B9="房地产市场价值","",MID(E107,3,LEN(E107)-2))</f>
        <v>房地产抵押价值</v>
      </c>
      <c r="B122" s="3592"/>
      <c r="C122" s="3592"/>
      <c r="D122" s="3625">
        <f ca="1">H107</f>
        <v>30136</v>
      </c>
      <c r="E122" s="3626"/>
      <c r="F122" s="3626"/>
      <c r="G122" s="3626"/>
      <c r="H122" s="3626"/>
      <c r="I122" s="3627"/>
      <c r="AA122" s="724"/>
    </row>
    <row r="123" spans="1:27" ht="18.75" customHeight="1">
      <c r="A123" s="3561" t="s">
        <v>1452</v>
      </c>
      <c r="B123" s="3561"/>
      <c r="C123" s="3561"/>
      <c r="D123" s="3601" t="str">
        <f ca="1">NUMBERSTRING(INT(D122*10000),2)&amp;"元整"</f>
        <v>叁亿零壹佰叁拾陆万元整</v>
      </c>
      <c r="E123" s="3602"/>
      <c r="F123" s="3602"/>
      <c r="G123" s="3602"/>
      <c r="H123" s="3602"/>
      <c r="I123" s="3603"/>
      <c r="AA123" s="724"/>
    </row>
    <row r="124" spans="1:27" ht="18.75" customHeight="1">
      <c r="A124" s="3592" t="str">
        <f>IF(项目基本情况!B9="房地产市场价值","",MID(E109,3,LEN(E109)-2))</f>
        <v/>
      </c>
      <c r="B124" s="3592"/>
      <c r="C124" s="3592"/>
      <c r="D124" s="3625" t="str">
        <f>H109</f>
        <v>——</v>
      </c>
      <c r="E124" s="3626"/>
      <c r="F124" s="3626"/>
      <c r="G124" s="3626"/>
      <c r="H124" s="3626"/>
      <c r="I124" s="3627"/>
      <c r="AA124" s="724"/>
    </row>
    <row r="125" spans="1:27" ht="18.75" customHeight="1">
      <c r="A125" s="3561" t="s">
        <v>1452</v>
      </c>
      <c r="B125" s="3561"/>
      <c r="C125" s="3561"/>
      <c r="D125" s="3601" t="e">
        <f>NUMBERSTRING(INT(D124*10000),2)&amp;"元整"</f>
        <v>#VALUE!</v>
      </c>
      <c r="E125" s="3602"/>
      <c r="F125" s="3602"/>
      <c r="G125" s="3602"/>
      <c r="H125" s="3602"/>
      <c r="I125" s="3603"/>
      <c r="AA125" s="724"/>
    </row>
    <row r="126" spans="1:27" ht="18.75" customHeight="1">
      <c r="A126" s="3592" t="str">
        <f>IF(项目基本情况!B9="房地产市场价值","",MID(E111,3,LEN(E111)-2))</f>
        <v/>
      </c>
      <c r="B126" s="3592"/>
      <c r="C126" s="3592"/>
      <c r="D126" s="3625" t="str">
        <f>H111</f>
        <v>——</v>
      </c>
      <c r="E126" s="3626"/>
      <c r="F126" s="3626"/>
      <c r="G126" s="3626"/>
      <c r="H126" s="3626"/>
      <c r="I126" s="3627"/>
      <c r="AA126" s="724"/>
    </row>
    <row r="127" spans="1:27" ht="18.75" customHeight="1">
      <c r="A127" s="3561" t="s">
        <v>1452</v>
      </c>
      <c r="B127" s="3561"/>
      <c r="C127" s="3561"/>
      <c r="D127" s="3601" t="e">
        <f>NUMBERSTRING(INT(D126*10000),2)&amp;"元整"</f>
        <v>#VALUE!</v>
      </c>
      <c r="E127" s="3602"/>
      <c r="F127" s="3602"/>
      <c r="G127" s="3602"/>
      <c r="H127" s="3602"/>
      <c r="I127" s="3603"/>
      <c r="AA127" s="724"/>
    </row>
    <row r="128" spans="1:27" ht="21.75" customHeight="1">
      <c r="A128" s="3608" t="s">
        <v>1453</v>
      </c>
      <c r="B128" s="3608"/>
      <c r="C128" s="3608"/>
      <c r="D128" s="3608"/>
      <c r="E128" s="3608"/>
      <c r="F128" s="3608"/>
      <c r="G128" s="3608"/>
      <c r="H128" s="3608"/>
      <c r="I128" s="3608"/>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30890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4308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5991</v>
      </c>
      <c r="D5" s="211" t="s">
        <v>1469</v>
      </c>
      <c r="E5" s="212" t="s">
        <v>1470</v>
      </c>
      <c r="F5" s="212" t="s">
        <v>1471</v>
      </c>
      <c r="G5" s="213"/>
    </row>
    <row r="6" spans="1:9" s="214" customFormat="1" ht="13.5" customHeight="1">
      <c r="A6" s="777" t="s">
        <v>1472</v>
      </c>
      <c r="B6" s="215" t="s">
        <v>1473</v>
      </c>
      <c r="C6" s="216">
        <f>'土地比较法-工业'!B2</f>
        <v>4561</v>
      </c>
      <c r="D6" s="217"/>
      <c r="E6" s="218"/>
      <c r="F6" s="218"/>
      <c r="G6" s="219"/>
    </row>
    <row r="7" spans="1:9" s="214" customFormat="1" ht="13.5" customHeight="1">
      <c r="A7" s="777" t="s">
        <v>1474</v>
      </c>
      <c r="B7" s="215" t="s">
        <v>1475</v>
      </c>
      <c r="C7" s="220">
        <f>ROUND(C6*F7,0)</f>
        <v>139</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1291</v>
      </c>
      <c r="D8" s="222"/>
      <c r="E8" s="220"/>
      <c r="F8" s="221"/>
      <c r="G8" s="1855" t="s">
        <v>3440</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180</v>
      </c>
      <c r="F9" s="221"/>
      <c r="G9" s="1856" t="s">
        <v>3449</v>
      </c>
      <c r="H9" s="1136"/>
      <c r="I9" s="1857" t="s">
        <v>1479</v>
      </c>
    </row>
    <row r="10" spans="1:9" s="214" customFormat="1" ht="13.5" customHeight="1">
      <c r="A10" s="778" t="s">
        <v>356</v>
      </c>
      <c r="B10" s="224" t="s">
        <v>1480</v>
      </c>
      <c r="C10" s="225">
        <f ca="1">ROUND(D10*E10/10000,0)</f>
        <v>1291</v>
      </c>
      <c r="D10" s="844">
        <f ca="1">IF(B1="",'数据-汇总表'!E6,IF(INDIRECT("'数据-取费表'!c"&amp;$G$1)="住宅",INDIRECT("'数据-取费表'!s"&amp;$G$1),INDIRECT("'数据-取费表'!k"&amp;$G$1)+INDIRECT("'数据-取费表'!s"&amp;$G$1)))</f>
        <v>71700.22</v>
      </c>
      <c r="E10" s="225">
        <f>'数据-取费表'!B28</f>
        <v>180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71700.22</v>
      </c>
      <c r="E19" s="211">
        <f>'数据-取费表'!B31</f>
        <v>200</v>
      </c>
      <c r="F19" s="231"/>
      <c r="G19" s="1855" t="s">
        <v>3441</v>
      </c>
    </row>
    <row r="20" spans="1:7" s="214" customFormat="1" ht="13.5" customHeight="1">
      <c r="A20" s="255" t="s">
        <v>1493</v>
      </c>
      <c r="B20" s="210" t="s">
        <v>1494</v>
      </c>
      <c r="C20" s="232">
        <f>ROUND((C5+C19)*F20,0)</f>
        <v>120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316</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313</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3</v>
      </c>
      <c r="D25" s="238"/>
      <c r="E25" s="241"/>
      <c r="F25" s="239"/>
      <c r="G25" s="242" t="s">
        <v>1510</v>
      </c>
    </row>
    <row r="26" spans="1:7" s="214" customFormat="1">
      <c r="A26" s="779"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306</v>
      </c>
      <c r="D27" s="235">
        <f ca="1">C29</f>
        <v>1E-3</v>
      </c>
      <c r="E27" s="236" t="s">
        <v>1514</v>
      </c>
      <c r="F27" s="246">
        <f ca="1">IF(B1="",'数据-取费表'!Q16,INDIRECT("'数据-取费表'!q"&amp;$G$1))</f>
        <v>0.05</v>
      </c>
      <c r="G27" s="247" t="s">
        <v>1515</v>
      </c>
    </row>
    <row r="28" spans="1:7" s="214" customFormat="1" ht="13.5" customHeight="1">
      <c r="A28" s="779" t="s">
        <v>346</v>
      </c>
      <c r="B28" s="248" t="s">
        <v>1516</v>
      </c>
      <c r="C28" s="249">
        <f ca="1">ROUND((C5+C19+C20)*F27*'数据-取费表'!B21/'数据-取费表'!B20,0)</f>
        <v>306</v>
      </c>
      <c r="D28" s="235"/>
      <c r="E28" s="236"/>
      <c r="F28" s="246"/>
      <c r="G28" s="247"/>
    </row>
    <row r="29" spans="1:7" s="214" customFormat="1" ht="13.5" customHeight="1">
      <c r="A29" s="779"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7270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24019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21510</v>
      </c>
      <c r="D34" s="217"/>
      <c r="E34" s="220"/>
      <c r="F34" s="257">
        <f ca="1">IF('数据-取费表'!B24=0,1,IF(B1="",'数据-取费表'!N16,INDIRECT("'数据-取费表'!n"&amp;$G$1)))</f>
        <v>1</v>
      </c>
      <c r="G34" s="219" t="s">
        <v>1526</v>
      </c>
    </row>
    <row r="35" spans="1:7" ht="13.5" customHeight="1">
      <c r="A35" s="779" t="s">
        <v>351</v>
      </c>
      <c r="B35" s="215" t="s">
        <v>1527</v>
      </c>
      <c r="C35" s="220">
        <f ca="1">ROUND(C34*F35,0)</f>
        <v>645</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1434</v>
      </c>
      <c r="D37" s="217">
        <f ca="1">D19</f>
        <v>71700.22</v>
      </c>
      <c r="E37" s="249">
        <f>'数据-取费表'!B35</f>
        <v>200</v>
      </c>
      <c r="F37" s="259"/>
      <c r="G37" s="261" t="s">
        <v>1532</v>
      </c>
    </row>
    <row r="38" spans="1:7" ht="13.5" customHeight="1">
      <c r="A38" s="779" t="s">
        <v>354</v>
      </c>
      <c r="B38" s="215" t="s">
        <v>1533</v>
      </c>
      <c r="C38" s="220">
        <f ca="1">ROUND(C34*F38,0)</f>
        <v>430</v>
      </c>
      <c r="D38" s="220"/>
      <c r="E38" s="220"/>
      <c r="F38" s="259">
        <f>'数据-取费表'!B36</f>
        <v>0.02</v>
      </c>
      <c r="G38" s="219" t="s">
        <v>1528</v>
      </c>
    </row>
    <row r="39" spans="1:7" s="214" customFormat="1" ht="13.5" customHeight="1">
      <c r="A39" s="255" t="s">
        <v>1534</v>
      </c>
      <c r="B39" s="210" t="s">
        <v>1535</v>
      </c>
      <c r="C39" s="232">
        <f ca="1">ROUND(C33*F20,0)</f>
        <v>480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631</v>
      </c>
      <c r="D41" s="235">
        <f ca="1">C44</f>
        <v>5.0000000000000001E-4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619</v>
      </c>
      <c r="D42" s="238"/>
      <c r="E42" s="238"/>
      <c r="F42" s="239"/>
      <c r="G42" s="3641" t="s">
        <v>1544</v>
      </c>
    </row>
    <row r="43" spans="1:7" ht="13.5" customHeight="1">
      <c r="A43" s="779" t="s">
        <v>347</v>
      </c>
      <c r="B43" s="215" t="s">
        <v>1545</v>
      </c>
      <c r="C43" s="238">
        <f ca="1">ROUND(IF('数据-取费表'!B22&lt;=1,C39*F22*'数据-取费表'!B21/2,C39*(POWER((1+F22),'数据-取费表'!B21/2)-1)),0)</f>
        <v>12</v>
      </c>
      <c r="D43" s="238"/>
      <c r="E43" s="238"/>
      <c r="F43" s="239"/>
      <c r="G43" s="3642"/>
    </row>
    <row r="44" spans="1:7" ht="13.5" customHeight="1">
      <c r="A44" s="779" t="s">
        <v>348</v>
      </c>
      <c r="B44" s="215" t="s">
        <v>1546</v>
      </c>
      <c r="C44" s="238">
        <f ca="1">ROUND(IF('数据-取费表'!B22&lt;=1,C40*F22*'数据-取费表'!B21/2,C40*(POWER((1+F22),'数据-取费表'!B21/2)-1)),4)</f>
        <v>5.0000000000000001E-4</v>
      </c>
      <c r="D44" s="238"/>
      <c r="E44" s="238"/>
      <c r="F44" s="239"/>
      <c r="G44" s="3643"/>
    </row>
    <row r="45" spans="1:7" s="214" customFormat="1" ht="13.5" customHeight="1">
      <c r="A45" s="255" t="s">
        <v>1547</v>
      </c>
      <c r="B45" s="244" t="s">
        <v>1513</v>
      </c>
      <c r="C45" s="245">
        <f ca="1">C46</f>
        <v>1225</v>
      </c>
      <c r="D45" s="235">
        <f ca="1">C47</f>
        <v>1E-3</v>
      </c>
      <c r="E45" s="236" t="s">
        <v>1539</v>
      </c>
      <c r="F45" s="246">
        <f ca="1">F27</f>
        <v>0.05</v>
      </c>
      <c r="G45" s="247" t="s">
        <v>1548</v>
      </c>
    </row>
    <row r="46" spans="1:7" s="214" customFormat="1" ht="13.5" customHeight="1">
      <c r="A46" s="779" t="s">
        <v>346</v>
      </c>
      <c r="B46" s="248" t="s">
        <v>1549</v>
      </c>
      <c r="C46" s="249">
        <f ca="1">ROUND((C33+C39)*F27,0)</f>
        <v>1225</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28458</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23620</v>
      </c>
      <c r="D51" s="232"/>
      <c r="E51" s="232"/>
      <c r="F51" s="264"/>
      <c r="G51" s="234" t="s">
        <v>1560</v>
      </c>
    </row>
    <row r="52" spans="1:7" s="208" customFormat="1" ht="16.5" thickBot="1">
      <c r="A52" s="265" t="s">
        <v>1561</v>
      </c>
      <c r="B52" s="266"/>
      <c r="C52" s="267">
        <f ca="1">C31+C51</f>
        <v>30890</v>
      </c>
      <c r="D52" s="266"/>
      <c r="E52" s="266"/>
      <c r="F52" s="266"/>
      <c r="G52" s="268"/>
    </row>
    <row r="55" spans="1:7" ht="15">
      <c r="B55" s="270" t="s">
        <v>1562</v>
      </c>
      <c r="C55" s="271"/>
    </row>
    <row r="56" spans="1:7">
      <c r="B56" s="273" t="s">
        <v>802</v>
      </c>
      <c r="C56" s="275">
        <f ca="1">1-C57</f>
        <v>0.23499999999999999</v>
      </c>
    </row>
    <row r="57" spans="1:7">
      <c r="B57" s="273" t="s">
        <v>803</v>
      </c>
      <c r="C57" s="274">
        <f ca="1">ROUND(C51/C52,3)</f>
        <v>0.76500000000000001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8" t="str">
        <f>项目基本情况!B1</f>
        <v>北京市房地产抵押价值预评估</v>
      </c>
      <c r="C37" s="3458"/>
      <c r="D37" s="3458"/>
      <c r="E37" s="3458"/>
      <c r="F37" s="3458"/>
      <c r="G37" s="3458"/>
      <c r="H37" s="3458"/>
      <c r="I37" s="345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71700.22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71700.22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180</v>
      </c>
      <c r="F19" s="803"/>
      <c r="G19" s="12"/>
      <c r="H19" s="1188"/>
      <c r="I19" s="808"/>
      <c r="J19" s="808"/>
      <c r="K19" s="809"/>
    </row>
    <row r="20" spans="1:33" s="802" customFormat="1" ht="13.5" customHeight="1">
      <c r="A20" s="799" t="s">
        <v>361</v>
      </c>
      <c r="B20" s="800" t="s">
        <v>1627</v>
      </c>
      <c r="C20" s="21">
        <f ca="1">ROUND(D20*E20/10000,0)</f>
        <v>1291</v>
      </c>
      <c r="D20" s="845">
        <f ca="1">IF(C1="",'数据-汇总表'!E6,IF(INDIRECT("'数据-取费表'!c"&amp;$K$1)="住宅",INDIRECT("'数据-取费表'!s"&amp;$K$1),INDIRECT("'数据-取费表'!k"&amp;$K$1)+INDIRECT("'数据-取费表'!s"&amp;$K$1)))</f>
        <v>71700.22</v>
      </c>
      <c r="E20" s="21">
        <f>'数据-取费表'!B28</f>
        <v>180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0.05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v>
      </c>
      <c r="D1" s="1361" t="s">
        <v>43</v>
      </c>
      <c r="E1" s="1362" t="s">
        <v>678</v>
      </c>
      <c r="F1" s="1061">
        <f ca="1">J53</f>
        <v>36.729999999999997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29373</v>
      </c>
      <c r="C2" s="1386" t="s">
        <v>805</v>
      </c>
      <c r="D2" s="1386"/>
      <c r="E2" s="1387"/>
      <c r="F2" s="1388"/>
      <c r="G2" s="2705"/>
      <c r="H2" s="2694"/>
      <c r="I2" s="2694"/>
      <c r="J2" s="2694"/>
      <c r="K2" s="2695"/>
      <c r="L2" s="2694"/>
      <c r="M2" s="2694"/>
    </row>
    <row r="3" spans="1:37" ht="18" customHeight="1" thickBot="1">
      <c r="A3" s="1389" t="s">
        <v>806</v>
      </c>
      <c r="B3" s="1390">
        <f ca="1">IF(ISERROR(B2*10000/F43),0,ROUND(B2*10000/F43,0))</f>
        <v>4097</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1559</v>
      </c>
      <c r="D5" s="1363" t="s">
        <v>693</v>
      </c>
      <c r="E5" s="1070"/>
      <c r="F5" s="1071"/>
      <c r="G5" s="1383"/>
      <c r="H5" s="299">
        <v>1</v>
      </c>
      <c r="I5" s="300" t="s">
        <v>692</v>
      </c>
      <c r="J5" s="1069">
        <f ca="1">J6+J10+J12</f>
        <v>0</v>
      </c>
      <c r="K5" s="1363" t="s">
        <v>693</v>
      </c>
      <c r="L5" s="1070"/>
      <c r="M5" s="1071"/>
    </row>
    <row r="6" spans="1:37" ht="18" customHeight="1">
      <c r="A6" s="1068" t="s">
        <v>398</v>
      </c>
      <c r="B6" s="3646" t="s">
        <v>694</v>
      </c>
      <c r="C6" s="1073">
        <f ca="1">ROUND(F6*F8*F7*(1-F9)/10000,0)</f>
        <v>1557</v>
      </c>
      <c r="D6" s="155" t="s">
        <v>2108</v>
      </c>
      <c r="E6" s="302" t="s">
        <v>696</v>
      </c>
      <c r="F6" s="303">
        <f ca="1">INDIRECT("'数据-取费表'!u"&amp;$G$1)</f>
        <v>0.7</v>
      </c>
      <c r="G6" s="1383"/>
      <c r="H6" s="1068" t="s">
        <v>398</v>
      </c>
      <c r="I6" s="3646" t="s">
        <v>694</v>
      </c>
      <c r="J6" s="301">
        <f ca="1">ROUND(M6*M8*M7*(1-M9)/10000,0)</f>
        <v>0</v>
      </c>
      <c r="K6" s="155" t="s">
        <v>2107</v>
      </c>
      <c r="L6" s="302" t="s">
        <v>696</v>
      </c>
      <c r="M6" s="303">
        <f ca="1">INDIRECT("'数据-取费表'!z"&amp;$G$1)</f>
        <v>0</v>
      </c>
    </row>
    <row r="7" spans="1:37" ht="18" customHeight="1">
      <c r="A7" s="1072"/>
      <c r="B7" s="3647"/>
      <c r="C7" s="1074"/>
      <c r="D7" s="307"/>
      <c r="E7" s="1075" t="s">
        <v>697</v>
      </c>
      <c r="F7" s="303">
        <f ca="1">IF(INDIRECT("'数据-取费表'!ah"&amp;$G$1)="",INDIRECT("'数据-取费表'!k"&amp;$G$1),INDIRECT("'数据-取费表'!ah"&amp;$G$1))</f>
        <v>71700.22</v>
      </c>
      <c r="G7" s="1383"/>
      <c r="H7" s="304"/>
      <c r="I7" s="3647"/>
      <c r="J7" s="306"/>
      <c r="K7" s="307"/>
      <c r="L7" s="302" t="s">
        <v>697</v>
      </c>
      <c r="M7" s="303">
        <f ca="1">F7</f>
        <v>71700.22</v>
      </c>
    </row>
    <row r="8" spans="1:37" ht="18" customHeight="1">
      <c r="A8" s="304"/>
      <c r="B8" s="3647"/>
      <c r="C8" s="306"/>
      <c r="D8" s="307"/>
      <c r="E8" s="302" t="s">
        <v>698</v>
      </c>
      <c r="F8" s="303">
        <f ca="1">INDIRECT("'数据-取费表'!ai"&amp;$G$1)</f>
        <v>365</v>
      </c>
      <c r="G8" s="1383"/>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0.15</v>
      </c>
      <c r="G9" s="1383"/>
      <c r="H9" s="304"/>
      <c r="I9" s="3648"/>
      <c r="J9" s="306"/>
      <c r="K9" s="307"/>
      <c r="L9" s="313" t="s">
        <v>699</v>
      </c>
      <c r="M9" s="314">
        <f ca="1">INDIRECT("'数据-取费表'!ab"&amp;$G$1)</f>
        <v>0</v>
      </c>
    </row>
    <row r="10" spans="1:37" ht="18" customHeight="1">
      <c r="A10" s="1068" t="s">
        <v>402</v>
      </c>
      <c r="B10" s="1364" t="s">
        <v>700</v>
      </c>
      <c r="C10" s="316">
        <f ca="1">ROUND(IF(F10="押一",C6/12*F11,IF(F10="押二",C6/12*2*F11,IF(F10="押三",C6/12*3*F11,C11*F11))),0)</f>
        <v>2</v>
      </c>
      <c r="D10" s="1365" t="s">
        <v>2116</v>
      </c>
      <c r="E10" s="313" t="s">
        <v>701</v>
      </c>
      <c r="F10" s="1115" t="s">
        <v>3434</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23620</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21510</v>
      </c>
      <c r="D14" s="1344" t="s">
        <v>708</v>
      </c>
      <c r="E14" s="1341"/>
      <c r="F14" s="319"/>
      <c r="G14" s="1383"/>
      <c r="H14" s="981" t="s">
        <v>398</v>
      </c>
      <c r="I14" s="302" t="s">
        <v>709</v>
      </c>
      <c r="J14" s="21">
        <f ca="1">C29</f>
        <v>28458</v>
      </c>
      <c r="K14" s="12"/>
      <c r="L14" s="806"/>
      <c r="M14" s="807"/>
    </row>
    <row r="15" spans="1:37" s="1396" customFormat="1" ht="18" customHeight="1" thickBot="1">
      <c r="A15" s="981" t="s">
        <v>399</v>
      </c>
      <c r="B15" s="302" t="s">
        <v>710</v>
      </c>
      <c r="C15" s="21">
        <f ca="1">ROUND(C14*F15,0)</f>
        <v>645</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172</v>
      </c>
      <c r="K16" s="1086" t="s">
        <v>715</v>
      </c>
      <c r="L16" s="1087"/>
      <c r="M16" s="1071"/>
    </row>
    <row r="17" spans="1:37" s="1396" customFormat="1" ht="18" customHeight="1">
      <c r="A17" s="981" t="s">
        <v>681</v>
      </c>
      <c r="B17" s="302" t="s">
        <v>716</v>
      </c>
      <c r="C17" s="21">
        <f ca="1">ROUND(F17*(F43+INDIRECT("'数据-取费表'!S"&amp;$G$1))/10000,0)</f>
        <v>1434</v>
      </c>
      <c r="D17" s="302" t="s">
        <v>717</v>
      </c>
      <c r="E17" s="302" t="s">
        <v>718</v>
      </c>
      <c r="F17" s="23">
        <f>'数据-取费表'!B35</f>
        <v>200</v>
      </c>
      <c r="G17" s="1395"/>
      <c r="H17" s="981" t="s">
        <v>398</v>
      </c>
      <c r="I17" s="302" t="s">
        <v>719</v>
      </c>
      <c r="J17" s="2315">
        <f ca="1">ROUND(IF(AND(项目基本情况!B11="自然人",项目基本情况!B10="北京市"),J6*M17/(1+'数据-取费表'!C42),J18+J19+J20),2)</f>
        <v>29.33</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430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24019</v>
      </c>
      <c r="D19" s="131" t="s">
        <v>726</v>
      </c>
      <c r="E19" s="1359"/>
      <c r="F19" s="23"/>
      <c r="G19" s="1383"/>
      <c r="H19" s="981"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1" t="s">
        <v>402</v>
      </c>
      <c r="B20" s="302" t="s">
        <v>728</v>
      </c>
      <c r="C20" s="21">
        <f ca="1">ROUND(C19*F20,0)</f>
        <v>480</v>
      </c>
      <c r="D20" s="323" t="s">
        <v>729</v>
      </c>
      <c r="E20" s="302" t="s">
        <v>712</v>
      </c>
      <c r="F20" s="322">
        <f>'数据-取费表'!B37</f>
        <v>0.02</v>
      </c>
      <c r="G20" s="1395"/>
      <c r="H20" s="981" t="s">
        <v>680</v>
      </c>
      <c r="I20" s="155" t="s">
        <v>730</v>
      </c>
      <c r="J20" s="22">
        <f ca="1">ROUND(M20*M21/10000,2)</f>
        <v>29.33</v>
      </c>
      <c r="K20" s="324" t="s">
        <v>731</v>
      </c>
      <c r="L20" s="302" t="s">
        <v>732</v>
      </c>
      <c r="M20" s="325">
        <f>'数据-取费表'!B52</f>
        <v>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73334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142.29</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631</v>
      </c>
      <c r="D23" s="329" t="str">
        <f>IF(F23&lt;=1,"(建造成本+管理费用)×利率×(建设周期÷2)","(建造成本+管理费用)×((1+利率)^(建设周期÷2)-1)")</f>
        <v>(建造成本+管理费用)×((1+利率)^(建设周期÷2)-1)</v>
      </c>
      <c r="E23" s="302" t="s">
        <v>741</v>
      </c>
      <c r="F23" s="325">
        <f>'数据-取费表'!B20</f>
        <v>1.5</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-172</v>
      </c>
      <c r="K25" s="1094" t="s">
        <v>753</v>
      </c>
      <c r="L25" s="1095"/>
      <c r="M25" s="1096"/>
    </row>
    <row r="26" spans="1:37">
      <c r="A26" s="981" t="s">
        <v>397</v>
      </c>
      <c r="B26" s="302" t="s">
        <v>754</v>
      </c>
      <c r="C26" s="21">
        <f ca="1">ROUND((C19+C20)*F26,0)</f>
        <v>1225</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6.5000000000000002E-2</v>
      </c>
    </row>
    <row r="27" spans="1:37" ht="18" customHeight="1">
      <c r="A27" s="981"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28458</v>
      </c>
      <c r="D29" s="1091"/>
      <c r="E29" s="1089"/>
      <c r="F29" s="1092"/>
      <c r="G29" s="1395"/>
      <c r="H29" s="334" t="s">
        <v>396</v>
      </c>
      <c r="I29" s="335" t="s">
        <v>768</v>
      </c>
      <c r="J29" s="336">
        <f ca="1">ROUND(J26/(1+F40)^F41,0)</f>
        <v>0</v>
      </c>
      <c r="K29" s="337" t="s">
        <v>769</v>
      </c>
      <c r="L29" s="338"/>
      <c r="M29" s="339">
        <f ca="1">INDIRECT("'数据-取费表'!k"&amp;$G$1)</f>
        <v>71700.22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474</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288.83</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IF(项目基本情况!B11="自然人","——",ROUND(C6*F32/(1+'数据-取费表'!C42),2))</f>
        <v>81.56</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177.94</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29.33</v>
      </c>
      <c r="D34" s="324" t="s">
        <v>731</v>
      </c>
      <c r="E34" s="302" t="s">
        <v>732</v>
      </c>
      <c r="F34" s="325">
        <f>'数据-取费表'!B52</f>
        <v>4</v>
      </c>
      <c r="G34" s="1383"/>
      <c r="H34" s="2696"/>
      <c r="I34" s="1397"/>
      <c r="J34" s="1398"/>
      <c r="K34" s="2701"/>
      <c r="L34" s="2702"/>
      <c r="M34" s="2702"/>
    </row>
    <row r="35" spans="1:18" ht="18" customHeight="1">
      <c r="A35" s="1102"/>
      <c r="B35" s="1100"/>
      <c r="C35" s="26"/>
      <c r="D35" s="327"/>
      <c r="E35" s="302" t="s">
        <v>736</v>
      </c>
      <c r="F35" s="303">
        <f ca="1">INDIRECT("'数据-取费表'!r"&amp;$G$1)</f>
        <v>73334</v>
      </c>
      <c r="G35" s="1383"/>
      <c r="H35" s="2696"/>
      <c r="I35" s="1397"/>
      <c r="J35" s="1398"/>
      <c r="K35" s="2700"/>
      <c r="L35" s="2699"/>
      <c r="M35" s="2699"/>
    </row>
    <row r="36" spans="1:18" ht="18" customHeight="1">
      <c r="A36" s="1101" t="s">
        <v>402</v>
      </c>
      <c r="B36" s="302" t="s">
        <v>738</v>
      </c>
      <c r="C36" s="21">
        <f ca="1">ROUND(C29*F36,2)</f>
        <v>142.29</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ROUND(C13*F37,2)</f>
        <v>35.43</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ROUND(C5*F38,2)</f>
        <v>7.8</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1085</v>
      </c>
      <c r="D39" s="1094" t="s">
        <v>773</v>
      </c>
      <c r="E39" s="1095"/>
      <c r="F39" s="1096"/>
      <c r="G39" s="1383"/>
      <c r="H39" s="2699"/>
      <c r="I39" s="1397">
        <f ca="1">C39/C6</f>
        <v>0.69685292228644835</v>
      </c>
      <c r="J39" s="1398"/>
      <c r="K39" s="2703"/>
      <c r="L39" s="2699"/>
      <c r="M39" s="2699"/>
    </row>
    <row r="40" spans="1:18" ht="18" customHeight="1">
      <c r="A40" s="299" t="s">
        <v>395</v>
      </c>
      <c r="B40" s="300" t="s">
        <v>774</v>
      </c>
      <c r="C40" s="301">
        <f ca="1">ROUND(C39*(1-((1+F42)/(1+F40))^F41)/(F40-F42),0)</f>
        <v>17990</v>
      </c>
      <c r="D40" s="324" t="s">
        <v>758</v>
      </c>
      <c r="E40" s="302" t="s">
        <v>759</v>
      </c>
      <c r="F40" s="312">
        <f ca="1">INDIRECT("'数据-取费表'!I"&amp;$G$1)</f>
        <v>6.5000000000000002E-2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36.729999999999997</v>
      </c>
      <c r="G41" s="1383"/>
      <c r="H41" s="1190"/>
      <c r="I41" s="1397"/>
      <c r="J41" s="1398"/>
      <c r="K41" s="2543"/>
      <c r="L41" s="1190"/>
      <c r="M41" s="1190"/>
    </row>
    <row r="42" spans="1:18" ht="18" customHeight="1">
      <c r="A42" s="308"/>
      <c r="B42" s="309"/>
      <c r="C42" s="310"/>
      <c r="D42" s="327"/>
      <c r="E42" s="302" t="s">
        <v>766</v>
      </c>
      <c r="F42" s="312">
        <f ca="1">INDIRECT("'数据-取费表'!v"&amp;$G$1)</f>
        <v>1.4999999999999999E-2</v>
      </c>
      <c r="G42" s="1383"/>
      <c r="H42" s="1190"/>
      <c r="I42" s="1397"/>
      <c r="J42" s="1398"/>
      <c r="K42" s="2543"/>
      <c r="L42" s="1190"/>
      <c r="M42" s="1190"/>
    </row>
    <row r="43" spans="1:18" ht="18" customHeight="1" thickBot="1">
      <c r="A43" s="334" t="s">
        <v>396</v>
      </c>
      <c r="B43" s="335" t="s">
        <v>776</v>
      </c>
      <c r="C43" s="336">
        <f ca="1">ROUND(C40*10000/F43,0)</f>
        <v>2509</v>
      </c>
      <c r="D43" s="337" t="s">
        <v>777</v>
      </c>
      <c r="E43" s="338" t="s">
        <v>778</v>
      </c>
      <c r="F43" s="339">
        <f ca="1">INDIRECT("'数据-取费表'!k"&amp;$G$1)</f>
        <v>71700.22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-20859</v>
      </c>
      <c r="D46" s="1405" t="str">
        <f>C2</f>
        <v>万元</v>
      </c>
      <c r="E46" s="1399"/>
      <c r="F46" s="1399"/>
      <c r="I46" s="1406" t="s">
        <v>810</v>
      </c>
      <c r="J46" s="1407"/>
      <c r="K46" s="1408"/>
      <c r="L46" s="1409">
        <f ca="1">IF(M47="住宅",0,IF(L48&gt;J51,L60,J60))</f>
        <v>11383</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3649</v>
      </c>
      <c r="K47" s="1415" t="s">
        <v>816</v>
      </c>
      <c r="L47" s="1416">
        <f ca="1">INDIRECT("'数据-取费表'!d"&amp;$G$1)</f>
        <v>50</v>
      </c>
      <c r="M47" s="1379" t="str">
        <f>IF(ISNUMBER(FIND("住宅",C1)),"住宅","非住宅")</f>
        <v>非住宅</v>
      </c>
      <c r="O47" s="1417" t="s">
        <v>403</v>
      </c>
      <c r="P47" s="1418" t="s">
        <v>817</v>
      </c>
      <c r="Q47" s="1419">
        <f ca="1">C40+J29</f>
        <v>17990</v>
      </c>
      <c r="R47" s="1419" t="s">
        <v>818</v>
      </c>
    </row>
    <row r="48" spans="1:18" s="1383" customFormat="1" ht="28.5" thickBot="1">
      <c r="A48" s="1109" t="s">
        <v>438</v>
      </c>
      <c r="B48" s="300" t="s">
        <v>692</v>
      </c>
      <c r="C48" s="1358">
        <f ca="1">C49+C53+C55</f>
        <v>0</v>
      </c>
      <c r="D48" s="1111"/>
      <c r="E48" s="1112"/>
      <c r="F48" s="961"/>
      <c r="G48" s="721"/>
      <c r="H48" s="722"/>
      <c r="I48" s="1420" t="s">
        <v>819</v>
      </c>
      <c r="J48" s="1421" t="s">
        <v>3650</v>
      </c>
      <c r="K48" s="1422" t="s">
        <v>820</v>
      </c>
      <c r="L48" s="1423">
        <f ca="1">INDIRECT("'数据-取费表'!f"&amp;$G$1)</f>
        <v>36.729999999999997</v>
      </c>
      <c r="O48" s="1417" t="s">
        <v>404</v>
      </c>
      <c r="P48" s="1418" t="s">
        <v>821</v>
      </c>
      <c r="Q48" s="1419">
        <f ca="1">J60</f>
        <v>11383</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v>2012</v>
      </c>
      <c r="K49" s="1422" t="s">
        <v>824</v>
      </c>
      <c r="L49" s="1426"/>
      <c r="O49" s="1427" t="s">
        <v>405</v>
      </c>
      <c r="P49" s="1418" t="s">
        <v>825</v>
      </c>
      <c r="Q49" s="1419">
        <f ca="1">C29</f>
        <v>28458</v>
      </c>
      <c r="R49" s="1419" t="s">
        <v>818</v>
      </c>
    </row>
    <row r="50" spans="1:18" s="1383" customFormat="1" ht="13.5" thickBot="1">
      <c r="A50" s="975"/>
      <c r="B50" s="978"/>
      <c r="C50" s="1117"/>
      <c r="D50" s="952"/>
      <c r="E50" s="1055" t="s">
        <v>697</v>
      </c>
      <c r="F50" s="1056">
        <f ca="1">F7</f>
        <v>71700.22</v>
      </c>
      <c r="H50" s="722"/>
      <c r="I50" s="1420" t="s">
        <v>826</v>
      </c>
      <c r="J50" s="1428">
        <f>SUMPRODUCT((I63:I65=J47)*(J62:L62=J48)*(J63:L65))</f>
        <v>70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58</v>
      </c>
      <c r="K51" s="1433" t="s">
        <v>830</v>
      </c>
      <c r="L51" s="1434">
        <f ca="1">ROUND(-PV(INDIRECT("'数据-取费表'!h"&amp;$G$1),J51,(C39-C13*C76),0),0)</f>
        <v>-10697</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36.729999999999997</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36.729999999999997</v>
      </c>
      <c r="K53" s="3644" t="s">
        <v>837</v>
      </c>
      <c r="L53" s="3645"/>
      <c r="O53" s="1417" t="s">
        <v>409</v>
      </c>
      <c r="P53" s="1418" t="s">
        <v>838</v>
      </c>
      <c r="Q53" s="1419">
        <f ca="1">Q47+Q48</f>
        <v>29373</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0.318</v>
      </c>
      <c r="K55" s="1444" t="s">
        <v>841</v>
      </c>
      <c r="L55" s="1445"/>
      <c r="O55" s="1410" t="s">
        <v>811</v>
      </c>
      <c r="P55" s="1411" t="s">
        <v>812</v>
      </c>
      <c r="Q55" s="1412" t="s">
        <v>813</v>
      </c>
      <c r="R55" s="1412" t="s">
        <v>814</v>
      </c>
    </row>
    <row r="56" spans="1:18" s="1383" customFormat="1" ht="25.5" thickTop="1" thickBot="1">
      <c r="A56" s="956">
        <v>2</v>
      </c>
      <c r="B56" s="957" t="s">
        <v>704</v>
      </c>
      <c r="C56" s="232">
        <f ca="1">C13</f>
        <v>23620</v>
      </c>
      <c r="D56" s="1446"/>
      <c r="E56" s="1447"/>
      <c r="F56" s="1439"/>
      <c r="I56" s="1448" t="s">
        <v>842</v>
      </c>
      <c r="J56" s="1449" t="s">
        <v>3385</v>
      </c>
      <c r="K56" s="1420" t="s">
        <v>843</v>
      </c>
      <c r="L56" s="1423" t="str">
        <f ca="1">IF(L48&lt;J51,"——",L48-J53)</f>
        <v>——</v>
      </c>
      <c r="O56" s="1417" t="s">
        <v>403</v>
      </c>
      <c r="P56" s="1418" t="s">
        <v>817</v>
      </c>
      <c r="Q56" s="1419">
        <f ca="1">C40+J29</f>
        <v>17990</v>
      </c>
      <c r="R56" s="1419" t="s">
        <v>818</v>
      </c>
    </row>
    <row r="57" spans="1:18" s="1383" customFormat="1" ht="24.75" thickBot="1">
      <c r="A57" s="1450"/>
      <c r="B57" s="949" t="s">
        <v>767</v>
      </c>
      <c r="C57" s="238">
        <f ca="1">C29</f>
        <v>28458</v>
      </c>
      <c r="D57" s="1451"/>
      <c r="E57" s="1452"/>
      <c r="F57" s="1453"/>
      <c r="I57" s="1454" t="s">
        <v>844</v>
      </c>
      <c r="J57" s="1455">
        <f ca="1">IF(OR(M47="住宅",J51&lt;L48,J56="是"),"——",J51-L48)</f>
        <v>21.270000000000003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207</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29</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11383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11383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29.33</v>
      </c>
      <c r="D62" s="964" t="s">
        <v>786</v>
      </c>
      <c r="E62" s="949" t="s">
        <v>787</v>
      </c>
      <c r="F62" s="325">
        <f t="shared" si="0"/>
        <v>4</v>
      </c>
      <c r="I62" s="1461" t="s">
        <v>858</v>
      </c>
      <c r="J62" s="1462" t="s">
        <v>859</v>
      </c>
      <c r="K62" s="1462" t="s">
        <v>860</v>
      </c>
      <c r="L62" s="1462" t="s">
        <v>861</v>
      </c>
      <c r="M62" s="1463" t="s">
        <v>862</v>
      </c>
      <c r="O62" s="1417" t="s">
        <v>409</v>
      </c>
      <c r="P62" s="1418" t="s">
        <v>863</v>
      </c>
      <c r="Q62" s="1419">
        <f ca="1">Q56+Q57</f>
        <v>17990</v>
      </c>
      <c r="R62" s="1419" t="s">
        <v>410</v>
      </c>
    </row>
    <row r="63" spans="1:18" s="1383" customFormat="1" ht="13.5" thickBot="1">
      <c r="A63" s="326"/>
      <c r="B63" s="955"/>
      <c r="C63" s="26"/>
      <c r="D63" s="965"/>
      <c r="E63" s="949" t="s">
        <v>788</v>
      </c>
      <c r="F63" s="303">
        <f t="shared" ca="1" si="0"/>
        <v>73334</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142.29</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35.43</v>
      </c>
      <c r="D65" s="963" t="s">
        <v>743</v>
      </c>
      <c r="E65" s="949" t="s">
        <v>744</v>
      </c>
      <c r="F65" s="330">
        <f t="shared" ca="1" si="0"/>
        <v>1.5E-3</v>
      </c>
      <c r="I65" s="1461" t="s">
        <v>867</v>
      </c>
      <c r="J65" s="1462">
        <v>40</v>
      </c>
      <c r="K65" s="1462">
        <v>30</v>
      </c>
      <c r="L65" s="1462">
        <v>50</v>
      </c>
      <c r="M65" s="1464">
        <v>0.02</v>
      </c>
      <c r="O65" s="1417" t="s">
        <v>403</v>
      </c>
      <c r="P65" s="1418" t="s">
        <v>868</v>
      </c>
      <c r="Q65" s="1419">
        <f ca="1">C40+J29</f>
        <v>17990</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-207</v>
      </c>
      <c r="D67" s="962" t="s">
        <v>753</v>
      </c>
      <c r="E67" s="967"/>
      <c r="F67" s="968"/>
      <c r="O67" s="1427" t="s">
        <v>405</v>
      </c>
      <c r="P67" s="1418" t="s">
        <v>850</v>
      </c>
      <c r="Q67" s="1465">
        <f ca="1">L51</f>
        <v>-10697</v>
      </c>
      <c r="R67" s="1419" t="s">
        <v>870</v>
      </c>
    </row>
    <row r="68" spans="1:18" s="1383" customFormat="1" ht="16.5" thickBot="1">
      <c r="A68" s="946" t="s">
        <v>395</v>
      </c>
      <c r="B68" s="947" t="s">
        <v>774</v>
      </c>
      <c r="C68" s="301">
        <f ca="1">ROUND(C67*(1-((1+F70)/(1+F68))^F69)/(F68-F70),0)</f>
        <v>-2869</v>
      </c>
      <c r="D68" s="964" t="s">
        <v>758</v>
      </c>
      <c r="E68" s="949" t="s">
        <v>759</v>
      </c>
      <c r="F68" s="312">
        <f ca="1">F40</f>
        <v>6.5000000000000002E-2</v>
      </c>
      <c r="O68" s="1427" t="s">
        <v>406</v>
      </c>
      <c r="P68" s="1466" t="s">
        <v>871</v>
      </c>
      <c r="Q68" s="1419">
        <f ca="1">ROUND(Q69-Q70*Q71,0)</f>
        <v>-568</v>
      </c>
      <c r="R68" s="1419" t="s">
        <v>414</v>
      </c>
    </row>
    <row r="69" spans="1:18" s="1383" customFormat="1" ht="13.5" thickBot="1">
      <c r="A69" s="950"/>
      <c r="B69" s="951"/>
      <c r="C69" s="306"/>
      <c r="D69" s="969" t="s">
        <v>762</v>
      </c>
      <c r="E69" s="949" t="s">
        <v>763</v>
      </c>
      <c r="F69" s="333">
        <f ca="1">F41</f>
        <v>36.729999999999997</v>
      </c>
      <c r="O69" s="1427" t="s">
        <v>411</v>
      </c>
      <c r="P69" s="1466" t="s">
        <v>872</v>
      </c>
      <c r="Q69" s="1419">
        <f ca="1">C39</f>
        <v>1085</v>
      </c>
      <c r="R69" s="1419" t="s">
        <v>818</v>
      </c>
    </row>
    <row r="70" spans="1:18" s="1383" customFormat="1" ht="13.5" thickBot="1">
      <c r="A70" s="953"/>
      <c r="B70" s="954"/>
      <c r="C70" s="310"/>
      <c r="D70" s="965"/>
      <c r="E70" s="949" t="s">
        <v>766</v>
      </c>
      <c r="F70" s="1053"/>
      <c r="O70" s="1427" t="s">
        <v>412</v>
      </c>
      <c r="P70" s="1466" t="s">
        <v>873</v>
      </c>
      <c r="Q70" s="1419">
        <f ca="1">C13</f>
        <v>23620</v>
      </c>
      <c r="R70" s="1419" t="s">
        <v>818</v>
      </c>
    </row>
    <row r="71" spans="1:18" s="1383" customFormat="1" ht="13.5" thickBot="1">
      <c r="A71" s="970" t="s">
        <v>396</v>
      </c>
      <c r="B71" s="971" t="s">
        <v>776</v>
      </c>
      <c r="C71" s="336">
        <f ca="1">ROUND(C68*10000/F71,0)</f>
        <v>-400</v>
      </c>
      <c r="D71" s="972" t="s">
        <v>777</v>
      </c>
      <c r="E71" s="973" t="s">
        <v>778</v>
      </c>
      <c r="F71" s="339">
        <f ca="1">F43</f>
        <v>71700.22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1653</v>
      </c>
      <c r="D75" s="1383"/>
      <c r="E75" s="1383"/>
      <c r="F75" s="1383"/>
      <c r="K75" s="1401"/>
      <c r="L75" s="1383"/>
      <c r="O75" s="1417" t="s">
        <v>409</v>
      </c>
      <c r="P75" s="1418" t="s">
        <v>838</v>
      </c>
      <c r="Q75" s="1419">
        <f ca="1">Q65+Q66</f>
        <v>17990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-0.52400000000000002</v>
      </c>
    </row>
    <row r="80" spans="1:18">
      <c r="B80" s="340" t="s">
        <v>800</v>
      </c>
      <c r="C80" s="274">
        <f ca="1">ROUND(C75/C39,3)</f>
        <v>1.524</v>
      </c>
    </row>
    <row r="81" spans="2:3">
      <c r="B81" s="270" t="s">
        <v>801</v>
      </c>
      <c r="C81" s="238"/>
    </row>
    <row r="82" spans="2:3">
      <c r="B82" s="273" t="s">
        <v>802</v>
      </c>
      <c r="C82" s="275">
        <f ca="1">1-C83</f>
        <v>-0.31299999999999994</v>
      </c>
    </row>
    <row r="83" spans="2:3">
      <c r="B83" s="273" t="s">
        <v>803</v>
      </c>
      <c r="C83" s="274">
        <f ca="1">ROUND(C13/C40,3)</f>
        <v>1.3129999999999999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21</v>
      </c>
      <c r="E1" s="3425" t="s">
        <v>3395</v>
      </c>
      <c r="F1" s="1878" t="s">
        <v>3396</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30000</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63" t="s">
        <v>1773</v>
      </c>
      <c r="W4" s="3663"/>
      <c r="X4" s="1354"/>
      <c r="Y4" s="3678" t="s">
        <v>1775</v>
      </c>
      <c r="Z4" s="3679"/>
      <c r="AA4" s="3665" t="s">
        <v>1771</v>
      </c>
      <c r="AB4" s="3663" t="s">
        <v>1772</v>
      </c>
      <c r="AC4" s="3665" t="s">
        <v>1773</v>
      </c>
    </row>
    <row r="5" spans="1:29" ht="15">
      <c r="A5" s="358"/>
      <c r="B5" s="359"/>
      <c r="C5" s="3686" t="s">
        <v>1673</v>
      </c>
      <c r="D5" s="3687"/>
      <c r="E5" s="3693" t="s">
        <v>1674</v>
      </c>
      <c r="F5" s="3694"/>
      <c r="G5" s="3686" t="s">
        <v>1675</v>
      </c>
      <c r="H5" s="3687"/>
      <c r="I5" s="3686" t="s">
        <v>1676</v>
      </c>
      <c r="J5" s="3687"/>
      <c r="K5" s="559"/>
      <c r="L5" s="2714"/>
      <c r="M5" s="2715"/>
      <c r="N5" s="2715"/>
      <c r="O5" s="2715"/>
      <c r="P5" s="3674"/>
      <c r="Q5" s="3675"/>
      <c r="R5" s="3680"/>
      <c r="S5" s="3681"/>
      <c r="T5" s="3680"/>
      <c r="U5" s="3681"/>
      <c r="V5" s="3663"/>
      <c r="W5" s="3663"/>
      <c r="X5" s="1354"/>
      <c r="Y5" s="3680"/>
      <c r="Z5" s="3681"/>
      <c r="AA5" s="3666"/>
      <c r="AB5" s="3663"/>
      <c r="AC5" s="3666"/>
    </row>
    <row r="6" spans="1:29" ht="15.75" thickBot="1">
      <c r="A6" s="360"/>
      <c r="B6" s="361"/>
      <c r="C6" s="3684" t="s">
        <v>1677</v>
      </c>
      <c r="D6" s="3685"/>
      <c r="E6" s="3691" t="s">
        <v>1677</v>
      </c>
      <c r="F6" s="3692"/>
      <c r="G6" s="3684" t="s">
        <v>1677</v>
      </c>
      <c r="H6" s="3685"/>
      <c r="I6" s="3684" t="s">
        <v>1677</v>
      </c>
      <c r="J6" s="3685"/>
      <c r="K6" s="559" t="s">
        <v>1678</v>
      </c>
      <c r="L6" s="2714"/>
      <c r="M6" s="2715"/>
      <c r="N6" s="2715"/>
      <c r="O6" s="2715"/>
      <c r="P6" s="3676"/>
      <c r="Q6" s="3677"/>
      <c r="R6" s="3680"/>
      <c r="S6" s="3681"/>
      <c r="T6" s="3682"/>
      <c r="U6" s="3683"/>
      <c r="V6" s="3663"/>
      <c r="W6" s="3663"/>
      <c r="X6" s="1354"/>
      <c r="Y6" s="3682"/>
      <c r="Z6" s="3683"/>
      <c r="AA6" s="3667"/>
      <c r="AB6" s="3663"/>
      <c r="AC6" s="3667"/>
    </row>
    <row r="7" spans="1:29" s="108" customFormat="1" ht="15.75" thickBot="1">
      <c r="A7" s="362" t="s">
        <v>1679</v>
      </c>
      <c r="B7" s="363"/>
      <c r="C7" s="364">
        <f>'数据-取费表'!B2</f>
        <v>45429</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688" t="s">
        <v>1680</v>
      </c>
      <c r="Q7" s="3690"/>
      <c r="R7" s="700" t="s">
        <v>14</v>
      </c>
      <c r="S7" s="701">
        <f t="shared" ref="S7:S15" si="0">F7</f>
        <v>100</v>
      </c>
      <c r="T7" s="700" t="s">
        <v>14</v>
      </c>
      <c r="U7" s="701">
        <f t="shared" ref="U7:U15" si="1">H7</f>
        <v>100</v>
      </c>
      <c r="V7" s="700" t="s">
        <v>14</v>
      </c>
      <c r="W7" s="701">
        <f t="shared" ref="W7:W15" si="2">J7</f>
        <v>100</v>
      </c>
      <c r="X7" s="702"/>
      <c r="Y7" s="3688" t="s">
        <v>1680</v>
      </c>
      <c r="Z7" s="3689"/>
      <c r="AA7" s="703">
        <f>D7/F7</f>
        <v>1</v>
      </c>
      <c r="AB7" s="703">
        <f>D7/H7</f>
        <v>1</v>
      </c>
      <c r="AC7" s="703">
        <f>D7/J7</f>
        <v>1</v>
      </c>
    </row>
    <row r="8" spans="1:29" s="108" customFormat="1" ht="15.75" thickBot="1">
      <c r="A8" s="362" t="s">
        <v>1681</v>
      </c>
      <c r="B8" s="363"/>
      <c r="C8" s="368" t="s">
        <v>3397</v>
      </c>
      <c r="D8" s="365">
        <v>100</v>
      </c>
      <c r="E8" s="368" t="s">
        <v>3397</v>
      </c>
      <c r="F8" s="367">
        <f>SUMIF(61:61,E8,62:62)-SUMIF(61:61,C8,62:62)+100</f>
        <v>100</v>
      </c>
      <c r="G8" s="368" t="s">
        <v>3397</v>
      </c>
      <c r="H8" s="365">
        <f>SUMIF(61:61,G8,62:62)-SUMIF(61:61,C8,62:62)+100</f>
        <v>100</v>
      </c>
      <c r="I8" s="368" t="s">
        <v>3397</v>
      </c>
      <c r="J8" s="365">
        <f>SUMIF(61:61,I8,62:62)-SUMIF(61:61,C8,62:62)+100</f>
        <v>100</v>
      </c>
      <c r="K8" s="560"/>
      <c r="L8" s="2716"/>
      <c r="M8" s="2717"/>
      <c r="N8" s="2717"/>
      <c r="O8" s="2717"/>
      <c r="P8" s="3688" t="s">
        <v>1683</v>
      </c>
      <c r="Q8" s="3689"/>
      <c r="R8" s="700" t="s">
        <v>14</v>
      </c>
      <c r="S8" s="701">
        <f t="shared" si="0"/>
        <v>100</v>
      </c>
      <c r="T8" s="700" t="s">
        <v>14</v>
      </c>
      <c r="U8" s="701">
        <f t="shared" si="1"/>
        <v>100</v>
      </c>
      <c r="V8" s="700" t="s">
        <v>14</v>
      </c>
      <c r="W8" s="701">
        <f t="shared" si="2"/>
        <v>100</v>
      </c>
      <c r="X8" s="702"/>
      <c r="Y8" s="3688" t="s">
        <v>1683</v>
      </c>
      <c r="Z8" s="3689"/>
      <c r="AA8" s="703">
        <f t="shared" ref="AA8:AA46" si="3">D8/F8</f>
        <v>1</v>
      </c>
      <c r="AB8" s="703">
        <f t="shared" ref="AB8:AB46" si="4">D8/H8</f>
        <v>1</v>
      </c>
      <c r="AC8" s="703">
        <f t="shared" ref="AC8:AC46" si="5">D8/J8</f>
        <v>1</v>
      </c>
    </row>
    <row r="9" spans="1:29" s="108" customFormat="1">
      <c r="A9" s="369" t="s">
        <v>1684</v>
      </c>
      <c r="B9" s="63" t="s">
        <v>1685</v>
      </c>
      <c r="C9" s="3448" t="s">
        <v>3398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4"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4"/>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4"/>
      <c r="Q11" s="1342" t="str">
        <f t="shared" si="6"/>
        <v>容积率</v>
      </c>
      <c r="R11" s="700" t="s">
        <v>14</v>
      </c>
      <c r="S11" s="701">
        <f t="shared" si="0"/>
        <v>100</v>
      </c>
      <c r="T11" s="700" t="s">
        <v>14</v>
      </c>
      <c r="U11" s="701">
        <f t="shared" si="1"/>
        <v>100</v>
      </c>
      <c r="V11" s="700" t="s">
        <v>14</v>
      </c>
      <c r="W11" s="701">
        <f t="shared" si="2"/>
        <v>100</v>
      </c>
      <c r="X11" s="702"/>
      <c r="Y11" s="3548"/>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4"/>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4"/>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4"/>
      <c r="Q14" s="1342">
        <f t="shared" si="6"/>
        <v>111</v>
      </c>
      <c r="R14" s="700" t="s">
        <v>14</v>
      </c>
      <c r="S14" s="701">
        <f t="shared" si="0"/>
        <v>100</v>
      </c>
      <c r="T14" s="700" t="s">
        <v>14</v>
      </c>
      <c r="U14" s="701">
        <f t="shared" si="1"/>
        <v>100</v>
      </c>
      <c r="V14" s="700" t="s">
        <v>14</v>
      </c>
      <c r="W14" s="701">
        <f t="shared" si="2"/>
        <v>100</v>
      </c>
      <c r="X14" s="702"/>
      <c r="Y14" s="3548"/>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54" t="s">
        <v>1691</v>
      </c>
      <c r="Q15" s="1351" t="str">
        <f t="shared" si="6"/>
        <v>商业繁华度</v>
      </c>
      <c r="R15" s="704" t="s">
        <v>14</v>
      </c>
      <c r="S15" s="705">
        <f t="shared" si="0"/>
        <v>100</v>
      </c>
      <c r="T15" s="704" t="s">
        <v>14</v>
      </c>
      <c r="U15" s="705">
        <f t="shared" si="1"/>
        <v>100</v>
      </c>
      <c r="V15" s="704" t="s">
        <v>14</v>
      </c>
      <c r="W15" s="705">
        <f t="shared" si="2"/>
        <v>100</v>
      </c>
      <c r="X15" s="1354"/>
      <c r="Y15" s="3656" t="s">
        <v>1691</v>
      </c>
      <c r="Z15" s="1355" t="str">
        <f t="shared" si="7"/>
        <v>商业繁华度</v>
      </c>
      <c r="AA15" s="1352">
        <f t="shared" si="3"/>
        <v>1</v>
      </c>
      <c r="AB15" s="1352">
        <f t="shared" si="4"/>
        <v>1</v>
      </c>
      <c r="AC15" s="1352">
        <f t="shared" si="5"/>
        <v>1</v>
      </c>
    </row>
    <row r="16" spans="1:29" ht="15">
      <c r="A16" s="379"/>
      <c r="B16" s="397"/>
      <c r="C16" s="398" t="s">
        <v>3404</v>
      </c>
      <c r="D16" s="399"/>
      <c r="E16" s="398" t="s">
        <v>3404</v>
      </c>
      <c r="F16" s="400"/>
      <c r="G16" s="398" t="s">
        <v>3404</v>
      </c>
      <c r="H16" s="401"/>
      <c r="I16" s="398" t="s">
        <v>3404</v>
      </c>
      <c r="J16" s="399"/>
      <c r="K16" s="564"/>
      <c r="L16" s="2721"/>
      <c r="M16" s="2715"/>
      <c r="N16" s="2715"/>
      <c r="O16" s="2715"/>
      <c r="P16" s="3655"/>
      <c r="Q16" s="1351"/>
      <c r="R16" s="704"/>
      <c r="S16" s="705"/>
      <c r="T16" s="704"/>
      <c r="U16" s="705"/>
      <c r="V16" s="704"/>
      <c r="W16" s="705"/>
      <c r="X16" s="1354"/>
      <c r="Y16" s="365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55"/>
      <c r="Q17" s="1351" t="str">
        <f>B17</f>
        <v>交通便捷度</v>
      </c>
      <c r="R17" s="704" t="s">
        <v>14</v>
      </c>
      <c r="S17" s="705">
        <f>F17</f>
        <v>100</v>
      </c>
      <c r="T17" s="704" t="s">
        <v>14</v>
      </c>
      <c r="U17" s="705">
        <f>H17</f>
        <v>100</v>
      </c>
      <c r="V17" s="704" t="s">
        <v>14</v>
      </c>
      <c r="W17" s="705">
        <f>J17</f>
        <v>100</v>
      </c>
      <c r="X17" s="1354"/>
      <c r="Y17" s="3657"/>
      <c r="Z17" s="1355" t="str">
        <f>Q17</f>
        <v>交通便捷度</v>
      </c>
      <c r="AA17" s="1352">
        <f t="shared" si="3"/>
        <v>1</v>
      </c>
      <c r="AB17" s="1352">
        <f t="shared" si="4"/>
        <v>1</v>
      </c>
      <c r="AC17" s="1352">
        <f t="shared" si="5"/>
        <v>1</v>
      </c>
    </row>
    <row r="18" spans="1:29" ht="15">
      <c r="A18" s="379"/>
      <c r="B18" s="407"/>
      <c r="C18" s="398" t="s">
        <v>3404</v>
      </c>
      <c r="D18" s="401"/>
      <c r="E18" s="398" t="s">
        <v>3404</v>
      </c>
      <c r="F18" s="404"/>
      <c r="G18" s="398" t="s">
        <v>3404</v>
      </c>
      <c r="H18" s="399"/>
      <c r="I18" s="398" t="s">
        <v>3404</v>
      </c>
      <c r="J18" s="399"/>
      <c r="K18" s="564"/>
      <c r="L18" s="2721"/>
      <c r="M18" s="2715"/>
      <c r="N18" s="2715"/>
      <c r="O18" s="2715"/>
      <c r="P18" s="3655"/>
      <c r="Q18" s="1351"/>
      <c r="R18" s="704"/>
      <c r="S18" s="705"/>
      <c r="T18" s="704"/>
      <c r="U18" s="705"/>
      <c r="V18" s="704"/>
      <c r="W18" s="705"/>
      <c r="X18" s="1354"/>
      <c r="Y18" s="365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55"/>
      <c r="Q19" s="1351" t="str">
        <f>B19</f>
        <v>公共配套设施</v>
      </c>
      <c r="R19" s="704" t="s">
        <v>14</v>
      </c>
      <c r="S19" s="705">
        <f>F19</f>
        <v>100</v>
      </c>
      <c r="T19" s="704" t="s">
        <v>14</v>
      </c>
      <c r="U19" s="705">
        <f>H19</f>
        <v>100</v>
      </c>
      <c r="V19" s="704" t="s">
        <v>14</v>
      </c>
      <c r="W19" s="705">
        <f>J19</f>
        <v>100</v>
      </c>
      <c r="X19" s="1354"/>
      <c r="Y19" s="3657"/>
      <c r="Z19" s="1355" t="str">
        <f>Q19</f>
        <v>公共配套设施</v>
      </c>
      <c r="AA19" s="1352">
        <f t="shared" si="3"/>
        <v>1</v>
      </c>
      <c r="AB19" s="1352">
        <f t="shared" si="4"/>
        <v>1</v>
      </c>
      <c r="AC19" s="1352">
        <f t="shared" si="5"/>
        <v>1</v>
      </c>
    </row>
    <row r="20" spans="1:29" ht="15">
      <c r="A20" s="379"/>
      <c r="B20" s="407"/>
      <c r="C20" s="398" t="s">
        <v>3404</v>
      </c>
      <c r="D20" s="399"/>
      <c r="E20" s="398" t="s">
        <v>3404</v>
      </c>
      <c r="F20" s="400"/>
      <c r="G20" s="398" t="s">
        <v>3404</v>
      </c>
      <c r="H20" s="399"/>
      <c r="I20" s="398" t="s">
        <v>3404</v>
      </c>
      <c r="J20" s="399"/>
      <c r="K20" s="564"/>
      <c r="L20" s="2721"/>
      <c r="M20" s="2715"/>
      <c r="N20" s="2715"/>
      <c r="O20" s="2715"/>
      <c r="P20" s="3655"/>
      <c r="Q20" s="1351"/>
      <c r="R20" s="704"/>
      <c r="S20" s="705"/>
      <c r="T20" s="704"/>
      <c r="U20" s="705"/>
      <c r="V20" s="704"/>
      <c r="W20" s="705"/>
      <c r="X20" s="1354"/>
      <c r="Y20" s="3657"/>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55"/>
      <c r="Q21" s="1351" t="str">
        <f>B21</f>
        <v>基础设施水平</v>
      </c>
      <c r="R21" s="704" t="s">
        <v>14</v>
      </c>
      <c r="S21" s="705">
        <f>F21</f>
        <v>100</v>
      </c>
      <c r="T21" s="704" t="s">
        <v>14</v>
      </c>
      <c r="U21" s="705">
        <f>H21</f>
        <v>100</v>
      </c>
      <c r="V21" s="704" t="s">
        <v>14</v>
      </c>
      <c r="W21" s="705">
        <f>J21</f>
        <v>100</v>
      </c>
      <c r="X21" s="1354"/>
      <c r="Y21" s="3657"/>
      <c r="Z21" s="1355" t="str">
        <f>Q21</f>
        <v>基础设施水平</v>
      </c>
      <c r="AA21" s="1352">
        <f t="shared" ref="AA21" si="8">D21/F21</f>
        <v>1</v>
      </c>
      <c r="AB21" s="1352">
        <f t="shared" ref="AB21" si="9">D21/H21</f>
        <v>1</v>
      </c>
      <c r="AC21" s="1352">
        <f t="shared" ref="AC21" si="10">D21/J21</f>
        <v>1</v>
      </c>
    </row>
    <row r="22" spans="1:29" ht="15">
      <c r="A22" s="379"/>
      <c r="B22" s="1130"/>
      <c r="C22" s="1900" t="s">
        <v>3412</v>
      </c>
      <c r="D22" s="399"/>
      <c r="E22" s="1900" t="s">
        <v>3412</v>
      </c>
      <c r="F22" s="400"/>
      <c r="G22" s="1900" t="s">
        <v>3412</v>
      </c>
      <c r="H22" s="399"/>
      <c r="I22" s="1900" t="s">
        <v>3412</v>
      </c>
      <c r="J22" s="399"/>
      <c r="K22" s="1129"/>
      <c r="L22" s="2721"/>
      <c r="M22" s="2715"/>
      <c r="N22" s="2715"/>
      <c r="O22" s="2715"/>
      <c r="P22" s="3655"/>
      <c r="Q22" s="1351"/>
      <c r="R22" s="704"/>
      <c r="S22" s="705"/>
      <c r="T22" s="704"/>
      <c r="U22" s="705"/>
      <c r="V22" s="704"/>
      <c r="W22" s="705"/>
      <c r="X22" s="1354"/>
      <c r="Y22" s="365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55"/>
      <c r="Q23" s="1351" t="str">
        <f>B23</f>
        <v>自然及人文环境</v>
      </c>
      <c r="R23" s="704" t="s">
        <v>14</v>
      </c>
      <c r="S23" s="705">
        <f>F23</f>
        <v>100</v>
      </c>
      <c r="T23" s="704" t="s">
        <v>14</v>
      </c>
      <c r="U23" s="705">
        <f>H23</f>
        <v>100</v>
      </c>
      <c r="V23" s="704" t="s">
        <v>14</v>
      </c>
      <c r="W23" s="705">
        <f>J23</f>
        <v>100</v>
      </c>
      <c r="X23" s="1354"/>
      <c r="Y23" s="3657"/>
      <c r="Z23" s="1355" t="str">
        <f>Q23</f>
        <v>自然及人文环境</v>
      </c>
      <c r="AA23" s="1352">
        <f t="shared" si="3"/>
        <v>1</v>
      </c>
      <c r="AB23" s="1352">
        <f t="shared" si="4"/>
        <v>1</v>
      </c>
      <c r="AC23" s="1352">
        <f t="shared" si="5"/>
        <v>1</v>
      </c>
    </row>
    <row r="24" spans="1:29" ht="15">
      <c r="A24" s="379"/>
      <c r="B24" s="407"/>
      <c r="C24" s="398" t="s">
        <v>3404</v>
      </c>
      <c r="D24" s="399"/>
      <c r="E24" s="398" t="s">
        <v>3404</v>
      </c>
      <c r="F24" s="400"/>
      <c r="G24" s="398" t="s">
        <v>3404</v>
      </c>
      <c r="H24" s="399"/>
      <c r="I24" s="398" t="s">
        <v>3404</v>
      </c>
      <c r="J24" s="399"/>
      <c r="K24" s="564"/>
      <c r="L24" s="2721"/>
      <c r="M24" s="2715"/>
      <c r="N24" s="2715"/>
      <c r="O24" s="2715"/>
      <c r="P24" s="3655"/>
      <c r="Q24" s="1351"/>
      <c r="R24" s="704"/>
      <c r="S24" s="705"/>
      <c r="T24" s="704"/>
      <c r="U24" s="705"/>
      <c r="V24" s="704"/>
      <c r="W24" s="705"/>
      <c r="X24" s="1354"/>
      <c r="Y24" s="3657"/>
      <c r="Z24" s="1355"/>
      <c r="AA24" s="1352">
        <v>1</v>
      </c>
      <c r="AB24" s="1352">
        <v>1</v>
      </c>
      <c r="AC24" s="1352">
        <v>1</v>
      </c>
    </row>
    <row r="25" spans="1:29" ht="15">
      <c r="A25" s="379"/>
      <c r="B25" s="375" t="s">
        <v>1780</v>
      </c>
      <c r="C25" s="565" t="s">
        <v>3443</v>
      </c>
      <c r="D25" s="386">
        <v>100</v>
      </c>
      <c r="E25" s="565" t="s">
        <v>3400</v>
      </c>
      <c r="F25" s="412">
        <f>SUMIF(86:86,E25,87:87)-SUMIF(86:86,C25,87:87)+100</f>
        <v>100</v>
      </c>
      <c r="G25" s="565" t="s">
        <v>3400</v>
      </c>
      <c r="H25" s="386">
        <f>SUMIF(86:86,G25,87:87)-SUMIF(86:86,C25,87:87)+100</f>
        <v>100</v>
      </c>
      <c r="I25" s="565" t="s">
        <v>3400</v>
      </c>
      <c r="J25" s="386">
        <f>SUMIF(86:86,I25,87:87)-SUMIF(86:86,C25,87:87)+100</f>
        <v>100</v>
      </c>
      <c r="K25" s="3453">
        <v>0</v>
      </c>
      <c r="L25" s="2721"/>
      <c r="M25" s="2715"/>
      <c r="N25" s="2715"/>
      <c r="O25" s="2715"/>
      <c r="P25" s="3655"/>
      <c r="Q25" s="1351" t="str">
        <f t="shared" ref="Q25:Q46" si="11">B25</f>
        <v>临街状况</v>
      </c>
      <c r="R25" s="704" t="s">
        <v>14</v>
      </c>
      <c r="S25" s="705">
        <f>F25</f>
        <v>100</v>
      </c>
      <c r="T25" s="704" t="s">
        <v>14</v>
      </c>
      <c r="U25" s="705">
        <f>H25</f>
        <v>100</v>
      </c>
      <c r="V25" s="704" t="s">
        <v>14</v>
      </c>
      <c r="W25" s="705">
        <f>J25</f>
        <v>100</v>
      </c>
      <c r="X25" s="1354"/>
      <c r="Y25" s="3657"/>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55"/>
      <c r="Q26" s="1351" t="str">
        <f t="shared" si="11"/>
        <v>平面位置/可视性</v>
      </c>
      <c r="R26" s="704" t="s">
        <v>14</v>
      </c>
      <c r="S26" s="705">
        <f>F26</f>
        <v>100</v>
      </c>
      <c r="T26" s="704" t="s">
        <v>14</v>
      </c>
      <c r="U26" s="705">
        <f>H26</f>
        <v>100</v>
      </c>
      <c r="V26" s="704" t="s">
        <v>14</v>
      </c>
      <c r="W26" s="705">
        <f>J26</f>
        <v>100</v>
      </c>
      <c r="X26" s="1354"/>
      <c r="Y26" s="3657"/>
      <c r="Z26" s="1355" t="str">
        <f>Q26</f>
        <v>平面位置/可视性</v>
      </c>
      <c r="AA26" s="1352">
        <f t="shared" si="3"/>
        <v>1</v>
      </c>
      <c r="AB26" s="1352">
        <f t="shared" si="4"/>
        <v>1</v>
      </c>
      <c r="AC26" s="1352">
        <f t="shared" si="5"/>
        <v>1</v>
      </c>
    </row>
    <row r="27" spans="1:29" s="108" customFormat="1" ht="15">
      <c r="A27" s="382"/>
      <c r="B27" s="402" t="s">
        <v>1782</v>
      </c>
      <c r="C27" s="1955" t="s">
        <v>3404</v>
      </c>
      <c r="D27" s="413">
        <v>100</v>
      </c>
      <c r="E27" s="1955" t="s">
        <v>3404</v>
      </c>
      <c r="F27" s="415">
        <f>SUMIF(90:90,E27,91:91)-SUMIF(90:90,C27,91:91)+100</f>
        <v>100</v>
      </c>
      <c r="G27" s="1955" t="s">
        <v>3404</v>
      </c>
      <c r="H27" s="413">
        <f>SUMIF(90:90,G27,91:91)-SUMIF(90:90,C27,91:91)+100</f>
        <v>100</v>
      </c>
      <c r="I27" s="1955" t="s">
        <v>3404</v>
      </c>
      <c r="J27" s="413">
        <f>SUMIF(90:90,I27,91:91)-SUMIF(90:90,C27,91:91)+100</f>
        <v>100</v>
      </c>
      <c r="K27" s="3453">
        <v>0</v>
      </c>
      <c r="L27" s="2716"/>
      <c r="M27" s="2717"/>
      <c r="N27" s="2717"/>
      <c r="O27" s="2717"/>
      <c r="P27" s="3655"/>
      <c r="Q27" s="1342" t="str">
        <f t="shared" si="11"/>
        <v>人流量</v>
      </c>
      <c r="R27" s="700" t="s">
        <v>14</v>
      </c>
      <c r="S27" s="701">
        <f>F27</f>
        <v>100</v>
      </c>
      <c r="T27" s="700" t="s">
        <v>14</v>
      </c>
      <c r="U27" s="701">
        <f>H27</f>
        <v>100</v>
      </c>
      <c r="V27" s="700" t="s">
        <v>14</v>
      </c>
      <c r="W27" s="701">
        <f>J27</f>
        <v>100</v>
      </c>
      <c r="X27" s="702"/>
      <c r="Y27" s="3657"/>
      <c r="Z27" s="52" t="str">
        <f>Q27</f>
        <v>人流量</v>
      </c>
      <c r="AA27" s="1352">
        <f>D27/F27</f>
        <v>1</v>
      </c>
      <c r="AB27" s="1352">
        <f>D27/H27</f>
        <v>1</v>
      </c>
      <c r="AC27" s="1352">
        <f>D27/J27</f>
        <v>1</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1"/>
      <c r="M28" s="2715"/>
      <c r="N28" s="2715"/>
      <c r="O28" s="2715"/>
      <c r="P28" s="3655"/>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57"/>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5"/>
      <c r="Q29" s="1351">
        <f t="shared" si="11"/>
        <v>111</v>
      </c>
      <c r="R29" s="704" t="s">
        <v>14</v>
      </c>
      <c r="S29" s="705">
        <f t="shared" si="12"/>
        <v>100</v>
      </c>
      <c r="T29" s="704" t="s">
        <v>14</v>
      </c>
      <c r="U29" s="705">
        <f t="shared" si="13"/>
        <v>100</v>
      </c>
      <c r="V29" s="704" t="s">
        <v>14</v>
      </c>
      <c r="W29" s="705">
        <f t="shared" si="14"/>
        <v>100</v>
      </c>
      <c r="X29" s="1354"/>
      <c r="Y29" s="365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5"/>
      <c r="Q30" s="1351">
        <f t="shared" si="11"/>
        <v>111</v>
      </c>
      <c r="R30" s="704" t="s">
        <v>14</v>
      </c>
      <c r="S30" s="705">
        <f t="shared" si="12"/>
        <v>100</v>
      </c>
      <c r="T30" s="704" t="s">
        <v>14</v>
      </c>
      <c r="U30" s="705">
        <f t="shared" si="13"/>
        <v>100</v>
      </c>
      <c r="V30" s="704" t="s">
        <v>14</v>
      </c>
      <c r="W30" s="705">
        <f t="shared" si="14"/>
        <v>100</v>
      </c>
      <c r="X30" s="1354"/>
      <c r="Y30" s="365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5"/>
      <c r="Q31" s="1351">
        <f t="shared" si="11"/>
        <v>111</v>
      </c>
      <c r="R31" s="704" t="s">
        <v>14</v>
      </c>
      <c r="S31" s="705">
        <f t="shared" si="12"/>
        <v>100</v>
      </c>
      <c r="T31" s="704" t="s">
        <v>14</v>
      </c>
      <c r="U31" s="705">
        <f t="shared" si="13"/>
        <v>100</v>
      </c>
      <c r="V31" s="704" t="s">
        <v>14</v>
      </c>
      <c r="W31" s="705">
        <f t="shared" si="14"/>
        <v>100</v>
      </c>
      <c r="X31" s="1354"/>
      <c r="Y31" s="3657"/>
      <c r="Z31" s="1355">
        <f t="shared" si="15"/>
        <v>111</v>
      </c>
      <c r="AA31" s="1352">
        <f t="shared" si="3"/>
        <v>1</v>
      </c>
      <c r="AB31" s="1352">
        <f t="shared" si="4"/>
        <v>1</v>
      </c>
      <c r="AC31" s="1352">
        <f t="shared" si="5"/>
        <v>1</v>
      </c>
    </row>
    <row r="32" spans="1:29" ht="15">
      <c r="A32" s="391" t="s">
        <v>1694</v>
      </c>
      <c r="B32" s="63" t="s">
        <v>1784</v>
      </c>
      <c r="C32" s="1909" t="s">
        <v>3421</v>
      </c>
      <c r="D32" s="418">
        <v>100</v>
      </c>
      <c r="E32" s="1909" t="s">
        <v>3437</v>
      </c>
      <c r="F32" s="412">
        <f>SUMIF(100:100,E32,101:101)-SUMIF(100:100,C32,101:101)+100</f>
        <v>100</v>
      </c>
      <c r="G32" s="1909" t="s">
        <v>3437</v>
      </c>
      <c r="H32" s="386">
        <f>SUMIF(100:100,G32,101:101)-SUMIF(100:100,C32,101:101)+100</f>
        <v>100</v>
      </c>
      <c r="I32" s="1909" t="s">
        <v>3421</v>
      </c>
      <c r="J32" s="418">
        <f>SUMIF(100:100,I32,101:101)-SUMIF(100:100,C32,101:101)+100</f>
        <v>100</v>
      </c>
      <c r="K32" s="561">
        <v>0</v>
      </c>
      <c r="L32" s="2721"/>
      <c r="M32" s="2715"/>
      <c r="N32" s="2715"/>
      <c r="O32" s="2715"/>
      <c r="P32" s="3658" t="s">
        <v>1696</v>
      </c>
      <c r="Q32" s="1351" t="str">
        <f t="shared" si="11"/>
        <v>商业类型</v>
      </c>
      <c r="R32" s="704" t="s">
        <v>14</v>
      </c>
      <c r="S32" s="705">
        <f t="shared" si="12"/>
        <v>100</v>
      </c>
      <c r="T32" s="704" t="s">
        <v>14</v>
      </c>
      <c r="U32" s="705">
        <f t="shared" si="13"/>
        <v>100</v>
      </c>
      <c r="V32" s="704" t="s">
        <v>14</v>
      </c>
      <c r="W32" s="705">
        <f t="shared" si="14"/>
        <v>100</v>
      </c>
      <c r="X32" s="1354"/>
      <c r="Y32" s="366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20"/>
      <c r="M33" s="2722"/>
      <c r="N33" s="2722"/>
      <c r="O33" s="2722"/>
      <c r="P33" s="3659"/>
      <c r="Q33" s="706" t="str">
        <f t="shared" si="11"/>
        <v>项目建筑规模</v>
      </c>
      <c r="R33" s="707" t="s">
        <v>14</v>
      </c>
      <c r="S33" s="708">
        <f t="shared" si="12"/>
        <v>100</v>
      </c>
      <c r="T33" s="707" t="s">
        <v>14</v>
      </c>
      <c r="U33" s="708">
        <f t="shared" si="13"/>
        <v>100</v>
      </c>
      <c r="V33" s="707" t="s">
        <v>14</v>
      </c>
      <c r="W33" s="708">
        <f t="shared" si="14"/>
        <v>100</v>
      </c>
      <c r="X33" s="709"/>
      <c r="Y33" s="3661"/>
      <c r="Z33" s="710" t="str">
        <f t="shared" si="15"/>
        <v>项目建筑规模</v>
      </c>
      <c r="AA33" s="1352">
        <f t="shared" si="3"/>
        <v>1</v>
      </c>
      <c r="AB33" s="1352">
        <f t="shared" si="4"/>
        <v>1</v>
      </c>
      <c r="AC33" s="1352">
        <f t="shared" si="5"/>
        <v>1</v>
      </c>
    </row>
    <row r="34" spans="1:29" ht="15">
      <c r="A34" s="423"/>
      <c r="B34" s="375" t="s">
        <v>1698</v>
      </c>
      <c r="C34" s="1911" t="s">
        <v>3410</v>
      </c>
      <c r="D34" s="386">
        <v>100</v>
      </c>
      <c r="E34" s="1911" t="s">
        <v>3410</v>
      </c>
      <c r="F34" s="412">
        <f>SUMIF(105:105,E34,106:106)-SUMIF(105:105,C34,106:106)+100</f>
        <v>100</v>
      </c>
      <c r="G34" s="1911" t="s">
        <v>3410</v>
      </c>
      <c r="H34" s="386">
        <f>SUMIF(105:105,G34,106:106)-SUMIF(105:105,C34,106:106)+100</f>
        <v>100</v>
      </c>
      <c r="I34" s="1911" t="s">
        <v>3410</v>
      </c>
      <c r="J34" s="386">
        <f>SUMIF(105:105,I34,106:106)-SUMIF(105:105,C34,106:106)+100</f>
        <v>100</v>
      </c>
      <c r="K34" s="561">
        <v>0</v>
      </c>
      <c r="L34" s="2721"/>
      <c r="M34" s="2715"/>
      <c r="N34" s="2715"/>
      <c r="O34" s="2715"/>
      <c r="P34" s="3659"/>
      <c r="Q34" s="1351" t="str">
        <f t="shared" si="11"/>
        <v>建筑结构</v>
      </c>
      <c r="R34" s="704" t="s">
        <v>14</v>
      </c>
      <c r="S34" s="705">
        <f t="shared" si="12"/>
        <v>100</v>
      </c>
      <c r="T34" s="704" t="s">
        <v>14</v>
      </c>
      <c r="U34" s="705">
        <f t="shared" si="13"/>
        <v>100</v>
      </c>
      <c r="V34" s="704" t="s">
        <v>14</v>
      </c>
      <c r="W34" s="705">
        <f t="shared" si="14"/>
        <v>100</v>
      </c>
      <c r="X34" s="1354"/>
      <c r="Y34" s="366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59"/>
      <c r="Q35" s="1351" t="str">
        <f t="shared" si="11"/>
        <v>公共部分装修</v>
      </c>
      <c r="R35" s="704" t="s">
        <v>14</v>
      </c>
      <c r="S35" s="705">
        <f t="shared" si="12"/>
        <v>100</v>
      </c>
      <c r="T35" s="704" t="s">
        <v>14</v>
      </c>
      <c r="U35" s="705">
        <f t="shared" si="13"/>
        <v>100</v>
      </c>
      <c r="V35" s="704" t="s">
        <v>14</v>
      </c>
      <c r="W35" s="705">
        <f t="shared" si="14"/>
        <v>100</v>
      </c>
      <c r="X35" s="1354"/>
      <c r="Y35" s="3661"/>
      <c r="Z35" s="1355" t="str">
        <f t="shared" si="15"/>
        <v>公共部分装修</v>
      </c>
      <c r="AA35" s="1352">
        <f t="shared" si="3"/>
        <v>1</v>
      </c>
      <c r="AB35" s="1352">
        <f t="shared" si="4"/>
        <v>1</v>
      </c>
      <c r="AC35" s="1352">
        <f t="shared" si="5"/>
        <v>1</v>
      </c>
    </row>
    <row r="36" spans="1:29" ht="15">
      <c r="A36" s="423"/>
      <c r="B36" s="375" t="s">
        <v>1786</v>
      </c>
      <c r="C36" s="425">
        <f>'数据-取费表'!N6</f>
        <v>0.83</v>
      </c>
      <c r="D36" s="386">
        <v>100</v>
      </c>
      <c r="E36" s="425">
        <f>C36</f>
        <v>0.83</v>
      </c>
      <c r="F36" s="412">
        <f>LOOKUP(E36,110:110,111:111)-LOOKUP(C36,110:110,111:111)+100</f>
        <v>100</v>
      </c>
      <c r="G36" s="425">
        <f>E36</f>
        <v>0.83</v>
      </c>
      <c r="H36" s="412">
        <f>LOOKUP(G36,110:110,111:111)-LOOKUP(C36,110:110,111:111)+100</f>
        <v>100</v>
      </c>
      <c r="I36" s="425">
        <f>G36</f>
        <v>0.83</v>
      </c>
      <c r="J36" s="386">
        <f>LOOKUP(I36,110:110,111:111)-LOOKUP(C36,110:110,111:111)+100</f>
        <v>100</v>
      </c>
      <c r="K36" s="561">
        <v>1</v>
      </c>
      <c r="L36" s="2721"/>
      <c r="M36" s="2715"/>
      <c r="N36" s="2715"/>
      <c r="O36" s="2715"/>
      <c r="P36" s="3659"/>
      <c r="Q36" s="1351" t="str">
        <f t="shared" si="11"/>
        <v>成新度</v>
      </c>
      <c r="R36" s="704" t="s">
        <v>14</v>
      </c>
      <c r="S36" s="705">
        <f t="shared" si="12"/>
        <v>100</v>
      </c>
      <c r="T36" s="704" t="s">
        <v>14</v>
      </c>
      <c r="U36" s="705">
        <f t="shared" si="13"/>
        <v>100</v>
      </c>
      <c r="V36" s="704" t="s">
        <v>14</v>
      </c>
      <c r="W36" s="705">
        <f t="shared" si="14"/>
        <v>100</v>
      </c>
      <c r="X36" s="1354"/>
      <c r="Y36" s="3661"/>
      <c r="Z36" s="1355" t="str">
        <f t="shared" si="15"/>
        <v>成新度</v>
      </c>
      <c r="AA36" s="1352">
        <f t="shared" si="3"/>
        <v>1</v>
      </c>
      <c r="AB36" s="1352">
        <f t="shared" si="4"/>
        <v>1</v>
      </c>
      <c r="AC36" s="1352">
        <f t="shared" si="5"/>
        <v>1</v>
      </c>
    </row>
    <row r="37" spans="1:29" s="108" customFormat="1" ht="15">
      <c r="A37" s="424"/>
      <c r="B37" s="375" t="s">
        <v>1787</v>
      </c>
      <c r="C37" s="1905" t="s">
        <v>3413</v>
      </c>
      <c r="D37" s="127">
        <v>100</v>
      </c>
      <c r="E37" s="1905" t="s">
        <v>3412</v>
      </c>
      <c r="F37" s="412">
        <f>SUMIF(112:112,E37,113:113)-SUMIF(112:112,C37,113:113)+100</f>
        <v>100</v>
      </c>
      <c r="G37" s="1905" t="s">
        <v>3413</v>
      </c>
      <c r="H37" s="386">
        <f>SUMIF(112:112,G37,113:113)-SUMIF(112:112,C37,113:113)+100</f>
        <v>100</v>
      </c>
      <c r="I37" s="1905" t="s">
        <v>3412</v>
      </c>
      <c r="J37" s="386">
        <f>SUMIF(112:112,I37,113:113)-SUMIF(112:112,C37,113:113)+100</f>
        <v>100</v>
      </c>
      <c r="K37" s="561">
        <v>0</v>
      </c>
      <c r="L37" s="2716"/>
      <c r="M37" s="2717"/>
      <c r="N37" s="2717"/>
      <c r="O37" s="2717"/>
      <c r="P37" s="3659"/>
      <c r="Q37" s="1342" t="str">
        <f t="shared" si="11"/>
        <v>市政基础设施</v>
      </c>
      <c r="R37" s="700" t="s">
        <v>14</v>
      </c>
      <c r="S37" s="701">
        <f t="shared" si="12"/>
        <v>100</v>
      </c>
      <c r="T37" s="700" t="s">
        <v>14</v>
      </c>
      <c r="U37" s="701">
        <f t="shared" si="13"/>
        <v>100</v>
      </c>
      <c r="V37" s="700" t="s">
        <v>14</v>
      </c>
      <c r="W37" s="701">
        <f t="shared" si="14"/>
        <v>100</v>
      </c>
      <c r="X37" s="702"/>
      <c r="Y37" s="3661"/>
      <c r="Z37" s="52" t="str">
        <f t="shared" si="15"/>
        <v>市政基础设施</v>
      </c>
      <c r="AA37" s="703">
        <f t="shared" si="3"/>
        <v>1</v>
      </c>
      <c r="AB37" s="703">
        <f t="shared" si="4"/>
        <v>1</v>
      </c>
      <c r="AC37" s="703">
        <f t="shared" si="5"/>
        <v>1</v>
      </c>
    </row>
    <row r="38" spans="1:29" ht="15">
      <c r="A38" s="423"/>
      <c r="B38" s="375" t="s">
        <v>1788</v>
      </c>
      <c r="C38" s="1905" t="s">
        <v>3419</v>
      </c>
      <c r="D38" s="386">
        <v>100</v>
      </c>
      <c r="E38" s="1905" t="s">
        <v>3417</v>
      </c>
      <c r="F38" s="412">
        <f>SUMIF(114:114,E38,115:115)-SUMIF(114:114,C38,115:115)+100</f>
        <v>100</v>
      </c>
      <c r="G38" s="1905" t="s">
        <v>3419</v>
      </c>
      <c r="H38" s="386">
        <f>SUMIF(114:114,G38,115:115)-SUMIF(114:114,C38,115:115)+100</f>
        <v>100</v>
      </c>
      <c r="I38" s="1905" t="s">
        <v>3417</v>
      </c>
      <c r="J38" s="386">
        <f>SUMIF(114:114,I38,115:115)-SUMIF(114:114,C38,115:115)+100</f>
        <v>100</v>
      </c>
      <c r="K38" s="561">
        <v>0</v>
      </c>
      <c r="L38" s="2721"/>
      <c r="M38" s="2715"/>
      <c r="N38" s="2715"/>
      <c r="O38" s="2715"/>
      <c r="P38" s="3659" t="s">
        <v>1696</v>
      </c>
      <c r="Q38" s="1351" t="str">
        <f t="shared" si="11"/>
        <v>业态</v>
      </c>
      <c r="R38" s="704" t="s">
        <v>14</v>
      </c>
      <c r="S38" s="705">
        <f t="shared" si="12"/>
        <v>100</v>
      </c>
      <c r="T38" s="704" t="s">
        <v>14</v>
      </c>
      <c r="U38" s="705">
        <f t="shared" si="13"/>
        <v>100</v>
      </c>
      <c r="V38" s="704" t="s">
        <v>14</v>
      </c>
      <c r="W38" s="705">
        <f t="shared" si="14"/>
        <v>100</v>
      </c>
      <c r="X38" s="1354"/>
      <c r="Y38" s="3661" t="s">
        <v>1696</v>
      </c>
      <c r="Z38" s="1355" t="str">
        <f t="shared" si="15"/>
        <v>业态</v>
      </c>
      <c r="AA38" s="1352">
        <f t="shared" si="3"/>
        <v>1</v>
      </c>
      <c r="AB38" s="1352">
        <f t="shared" si="4"/>
        <v>1</v>
      </c>
      <c r="AC38" s="1352">
        <f t="shared" si="5"/>
        <v>1</v>
      </c>
    </row>
    <row r="39" spans="1:29" ht="15">
      <c r="A39" s="423"/>
      <c r="B39" s="375" t="s">
        <v>1789</v>
      </c>
      <c r="C39" s="1905" t="s">
        <v>3424</v>
      </c>
      <c r="D39" s="386">
        <v>100</v>
      </c>
      <c r="E39" s="1905" t="s">
        <v>3424</v>
      </c>
      <c r="F39" s="412">
        <f>SUMIF(116:116,E39,117:117)-SUMIF(116:116,C39,117:117)+100</f>
        <v>100</v>
      </c>
      <c r="G39" s="1905" t="s">
        <v>3424</v>
      </c>
      <c r="H39" s="386">
        <f>SUMIF(116:116,G39,117:117)-SUMIF(116:116,C39,117:117)+100</f>
        <v>100</v>
      </c>
      <c r="I39" s="1905" t="s">
        <v>3424</v>
      </c>
      <c r="J39" s="386">
        <f>SUMIF(116:116,I39,117:117)-SUMIF(116:116,C39,117:117)+100</f>
        <v>100</v>
      </c>
      <c r="K39" s="561">
        <v>2</v>
      </c>
      <c r="L39" s="2721"/>
      <c r="M39" s="2715"/>
      <c r="N39" s="2715"/>
      <c r="O39" s="2715"/>
      <c r="P39" s="3659"/>
      <c r="Q39" s="1351" t="str">
        <f t="shared" si="11"/>
        <v>层高</v>
      </c>
      <c r="R39" s="704" t="s">
        <v>14</v>
      </c>
      <c r="S39" s="705">
        <f t="shared" si="12"/>
        <v>100</v>
      </c>
      <c r="T39" s="704" t="s">
        <v>14</v>
      </c>
      <c r="U39" s="705">
        <f t="shared" si="13"/>
        <v>100</v>
      </c>
      <c r="V39" s="704" t="s">
        <v>14</v>
      </c>
      <c r="W39" s="705">
        <f t="shared" si="14"/>
        <v>100</v>
      </c>
      <c r="X39" s="1354"/>
      <c r="Y39" s="3661"/>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59"/>
      <c r="Q40" s="1351" t="str">
        <f t="shared" si="11"/>
        <v>单套建筑面积</v>
      </c>
      <c r="R40" s="704" t="s">
        <v>14</v>
      </c>
      <c r="S40" s="705">
        <f t="shared" si="12"/>
        <v>100</v>
      </c>
      <c r="T40" s="704" t="s">
        <v>14</v>
      </c>
      <c r="U40" s="705">
        <f t="shared" si="13"/>
        <v>100</v>
      </c>
      <c r="V40" s="704" t="s">
        <v>14</v>
      </c>
      <c r="W40" s="705">
        <f t="shared" si="14"/>
        <v>100</v>
      </c>
      <c r="X40" s="1354"/>
      <c r="Y40" s="366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59"/>
      <c r="Q41" s="706" t="str">
        <f t="shared" si="11"/>
        <v>进深比</v>
      </c>
      <c r="R41" s="707" t="s">
        <v>14</v>
      </c>
      <c r="S41" s="708">
        <f t="shared" si="12"/>
        <v>100</v>
      </c>
      <c r="T41" s="707" t="s">
        <v>14</v>
      </c>
      <c r="U41" s="708">
        <f t="shared" si="13"/>
        <v>100</v>
      </c>
      <c r="V41" s="707" t="s">
        <v>14</v>
      </c>
      <c r="W41" s="708">
        <f t="shared" si="14"/>
        <v>100</v>
      </c>
      <c r="X41" s="709"/>
      <c r="Y41" s="3661"/>
      <c r="Z41" s="710" t="str">
        <f t="shared" si="15"/>
        <v>进深比</v>
      </c>
      <c r="AA41" s="1352">
        <f t="shared" si="3"/>
        <v>1</v>
      </c>
      <c r="AB41" s="1352">
        <f t="shared" si="4"/>
        <v>1</v>
      </c>
      <c r="AC41" s="1352">
        <f t="shared" si="5"/>
        <v>1</v>
      </c>
    </row>
    <row r="42" spans="1:29" ht="15">
      <c r="A42" s="423"/>
      <c r="B42" s="375" t="s">
        <v>1792</v>
      </c>
      <c r="C42" s="1905" t="s">
        <v>3426</v>
      </c>
      <c r="D42" s="386">
        <v>100</v>
      </c>
      <c r="E42" s="1905" t="s">
        <v>3426</v>
      </c>
      <c r="F42" s="412">
        <f>SUMIF(122:122,E42,123:123)-SUMIF(122:122,C42,123:123)+100</f>
        <v>100</v>
      </c>
      <c r="G42" s="1905" t="s">
        <v>3426</v>
      </c>
      <c r="H42" s="386">
        <f>SUMIF(122:122,G42,123:123)-SUMIF(122:122,C42,123:123)+100</f>
        <v>100</v>
      </c>
      <c r="I42" s="1905" t="s">
        <v>3426</v>
      </c>
      <c r="J42" s="386">
        <f>SUMIF(122:122,I42,123:123)-SUMIF(122:122,C42,123:123)+100</f>
        <v>100</v>
      </c>
      <c r="K42" s="561">
        <v>2</v>
      </c>
      <c r="L42" s="2721"/>
      <c r="M42" s="2715"/>
      <c r="N42" s="2715"/>
      <c r="O42" s="2715"/>
      <c r="P42" s="3659"/>
      <c r="Q42" s="1351" t="str">
        <f t="shared" si="11"/>
        <v>内部装修</v>
      </c>
      <c r="R42" s="704" t="s">
        <v>14</v>
      </c>
      <c r="S42" s="705">
        <f t="shared" si="12"/>
        <v>100</v>
      </c>
      <c r="T42" s="704" t="s">
        <v>14</v>
      </c>
      <c r="U42" s="705">
        <f t="shared" si="13"/>
        <v>100</v>
      </c>
      <c r="V42" s="704" t="s">
        <v>14</v>
      </c>
      <c r="W42" s="705">
        <f t="shared" si="14"/>
        <v>100</v>
      </c>
      <c r="X42" s="1354"/>
      <c r="Y42" s="3661"/>
      <c r="Z42" s="1355" t="str">
        <f t="shared" si="15"/>
        <v>内部装修</v>
      </c>
      <c r="AA42" s="1352">
        <f t="shared" si="3"/>
        <v>1</v>
      </c>
      <c r="AB42" s="1352">
        <f t="shared" si="4"/>
        <v>1</v>
      </c>
      <c r="AC42" s="1352">
        <f t="shared" si="5"/>
        <v>1</v>
      </c>
    </row>
    <row r="43" spans="1:29" ht="15">
      <c r="A43" s="423"/>
      <c r="B43" s="375" t="s">
        <v>1707</v>
      </c>
      <c r="C43" s="1905" t="s">
        <v>3404</v>
      </c>
      <c r="D43" s="386">
        <v>100</v>
      </c>
      <c r="E43" s="1905" t="s">
        <v>3404</v>
      </c>
      <c r="F43" s="412">
        <f>SUMIF(124:124,E43,125:125)-SUMIF(124:124,C43,125:125)+100</f>
        <v>100</v>
      </c>
      <c r="G43" s="1905" t="s">
        <v>3404</v>
      </c>
      <c r="H43" s="386">
        <f>SUMIF(124:124,G43,125:125)-SUMIF(124:124,C43,125:125)+100</f>
        <v>100</v>
      </c>
      <c r="I43" s="1905" t="s">
        <v>3404</v>
      </c>
      <c r="J43" s="386">
        <f>SUMIF(124:124,I43,125:125)-SUMIF(124:124,C43,125:125)+100</f>
        <v>100</v>
      </c>
      <c r="K43" s="561">
        <v>2</v>
      </c>
      <c r="L43" s="2721"/>
      <c r="M43" s="2715"/>
      <c r="N43" s="2715"/>
      <c r="O43" s="2715"/>
      <c r="P43" s="3659"/>
      <c r="Q43" s="1351" t="str">
        <f t="shared" si="11"/>
        <v>内部装修维护情况</v>
      </c>
      <c r="R43" s="704" t="s">
        <v>14</v>
      </c>
      <c r="S43" s="705">
        <f t="shared" si="12"/>
        <v>100</v>
      </c>
      <c r="T43" s="704" t="s">
        <v>14</v>
      </c>
      <c r="U43" s="705">
        <f t="shared" si="13"/>
        <v>100</v>
      </c>
      <c r="V43" s="704" t="s">
        <v>14</v>
      </c>
      <c r="W43" s="705">
        <f t="shared" si="14"/>
        <v>100</v>
      </c>
      <c r="X43" s="1354"/>
      <c r="Y43" s="3661"/>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9"/>
      <c r="Q44" s="1342">
        <f t="shared" si="11"/>
        <v>111</v>
      </c>
      <c r="R44" s="700" t="s">
        <v>14</v>
      </c>
      <c r="S44" s="701">
        <f t="shared" si="12"/>
        <v>100</v>
      </c>
      <c r="T44" s="700" t="s">
        <v>14</v>
      </c>
      <c r="U44" s="701">
        <f t="shared" si="13"/>
        <v>100</v>
      </c>
      <c r="V44" s="700" t="s">
        <v>14</v>
      </c>
      <c r="W44" s="701">
        <f t="shared" si="14"/>
        <v>100</v>
      </c>
      <c r="X44" s="702"/>
      <c r="Y44" s="3661"/>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9"/>
      <c r="Q45" s="1351">
        <f t="shared" si="11"/>
        <v>111</v>
      </c>
      <c r="R45" s="704" t="s">
        <v>14</v>
      </c>
      <c r="S45" s="705">
        <f t="shared" si="12"/>
        <v>100</v>
      </c>
      <c r="T45" s="704" t="s">
        <v>14</v>
      </c>
      <c r="U45" s="705">
        <f t="shared" si="13"/>
        <v>100</v>
      </c>
      <c r="V45" s="704" t="s">
        <v>14</v>
      </c>
      <c r="W45" s="705">
        <f t="shared" si="14"/>
        <v>100</v>
      </c>
      <c r="X45" s="1354"/>
      <c r="Y45" s="366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0"/>
      <c r="Q46" s="1351">
        <f t="shared" si="11"/>
        <v>111</v>
      </c>
      <c r="R46" s="704" t="s">
        <v>14</v>
      </c>
      <c r="S46" s="705">
        <f t="shared" si="12"/>
        <v>100</v>
      </c>
      <c r="T46" s="704" t="s">
        <v>14</v>
      </c>
      <c r="U46" s="705">
        <f t="shared" si="13"/>
        <v>100</v>
      </c>
      <c r="V46" s="704" t="s">
        <v>14</v>
      </c>
      <c r="W46" s="705">
        <f t="shared" si="14"/>
        <v>100</v>
      </c>
      <c r="X46" s="1354"/>
      <c r="Y46" s="3662"/>
      <c r="Z46" s="1355">
        <f t="shared" si="15"/>
        <v>111</v>
      </c>
      <c r="AA46" s="1352">
        <f t="shared" si="3"/>
        <v>1</v>
      </c>
      <c r="AB46" s="1352">
        <f t="shared" si="4"/>
        <v>1</v>
      </c>
      <c r="AC46" s="1352">
        <f t="shared" si="5"/>
        <v>1</v>
      </c>
    </row>
    <row r="47" spans="1:29" ht="15">
      <c r="A47" s="430" t="s">
        <v>1708</v>
      </c>
      <c r="B47" s="431"/>
      <c r="C47" s="1153" t="s">
        <v>0</v>
      </c>
      <c r="D47" s="1154"/>
      <c r="E47" s="1155">
        <v>30000</v>
      </c>
      <c r="F47" s="1156"/>
      <c r="G47" s="1157">
        <v>30000</v>
      </c>
      <c r="H47" s="1158"/>
      <c r="I47" s="1155">
        <v>30000</v>
      </c>
      <c r="J47" s="1158"/>
      <c r="K47" s="713"/>
      <c r="L47" s="2723"/>
      <c r="M47" s="2724"/>
      <c r="N47" s="2715"/>
      <c r="O47" s="2724"/>
      <c r="P47" s="3649" t="str">
        <f>A47</f>
        <v>成交单价（元/平方米）</v>
      </c>
      <c r="Q47" s="3649"/>
      <c r="R47" s="3663">
        <f>E47</f>
        <v>30000</v>
      </c>
      <c r="S47" s="3663"/>
      <c r="T47" s="3663">
        <f>G47</f>
        <v>30000</v>
      </c>
      <c r="U47" s="3663"/>
      <c r="V47" s="3663">
        <f>I47</f>
        <v>30000</v>
      </c>
      <c r="W47" s="3663"/>
      <c r="X47" s="689"/>
      <c r="Y47" s="711"/>
      <c r="Z47" s="689"/>
      <c r="AA47" s="689"/>
      <c r="AB47" s="689"/>
      <c r="AC47" s="689"/>
    </row>
    <row r="48" spans="1:29" ht="15.75" thickBot="1">
      <c r="A48" s="437" t="s">
        <v>1793</v>
      </c>
      <c r="B48" s="438"/>
      <c r="C48" s="1159">
        <f>R49</f>
        <v>30000</v>
      </c>
      <c r="D48" s="2316" t="s">
        <v>2137</v>
      </c>
      <c r="E48" s="1160">
        <f>R48</f>
        <v>30000</v>
      </c>
      <c r="F48" s="2317"/>
      <c r="G48" s="1159">
        <f>T48</f>
        <v>30000</v>
      </c>
      <c r="H48" s="2317"/>
      <c r="I48" s="1160">
        <f>V48</f>
        <v>30000</v>
      </c>
      <c r="J48" s="2317"/>
      <c r="K48" s="2319">
        <f>F48+H48+J48</f>
        <v>0</v>
      </c>
      <c r="L48" s="2723"/>
      <c r="M48" s="2724"/>
      <c r="N48" s="2715"/>
      <c r="O48" s="2724"/>
      <c r="P48" s="3649" t="str">
        <f>A48</f>
        <v>比较价值（元/平方米）</v>
      </c>
      <c r="Q48" s="3649"/>
      <c r="R48" s="3650">
        <f>IF(F1="售价",ROUND(PRODUCT(R47,AA7:AA46),0),ROUND(PRODUCT(R47,AA7:AA46),1))</f>
        <v>30000</v>
      </c>
      <c r="S48" s="3650"/>
      <c r="T48" s="3650">
        <f>IF(F1="售价",ROUND(PRODUCT(T47,AB7:AB46),0),ROUND(PRODUCT(T47,AB7:AB46),1))</f>
        <v>30000</v>
      </c>
      <c r="U48" s="3650"/>
      <c r="V48" s="3650">
        <f>IF(F1="售价",ROUND(PRODUCT(V47,AC7:AC46),0),ROUND(PRODUCT(V47,AC7:AC46),1))</f>
        <v>30000</v>
      </c>
      <c r="W48" s="3650"/>
      <c r="X48" s="689"/>
      <c r="Y48" s="689"/>
      <c r="Z48" s="689"/>
      <c r="AA48" s="689"/>
      <c r="AB48" s="689"/>
      <c r="AC48" s="689"/>
    </row>
    <row r="49" spans="1:29" ht="15.75" thickBot="1">
      <c r="A49" s="441" t="s">
        <v>1794</v>
      </c>
      <c r="B49" s="442"/>
      <c r="C49" s="1162">
        <f>R49</f>
        <v>30000</v>
      </c>
      <c r="D49" s="1162"/>
      <c r="E49" s="1162"/>
      <c r="F49" s="1162"/>
      <c r="G49" s="1162"/>
      <c r="H49" s="1162"/>
      <c r="I49" s="1162"/>
      <c r="J49" s="1162"/>
      <c r="K49" s="714"/>
      <c r="L49" s="2723"/>
      <c r="M49" s="2724"/>
      <c r="N49" s="2715"/>
      <c r="O49" s="2724"/>
      <c r="P49" s="3651" t="str">
        <f>A49</f>
        <v>估价对象XX用房的比较价值（楼面单价，元/平方米）</v>
      </c>
      <c r="Q49" s="3652"/>
      <c r="R49" s="3653">
        <f>IF(F1="售价",ROUND(IF(D48="简单平均",AVERAGE(R48:V48),R48*F48+T48*H48+V48*J48),0),ROUND(IF(D48="简单平均",AVERAGE(R48:V48),R48*F48+T48*H48+V48*J48),1))</f>
        <v>30000</v>
      </c>
      <c r="S49" s="3653"/>
      <c r="T49" s="3653"/>
      <c r="U49" s="3653"/>
      <c r="V49" s="3653"/>
      <c r="W49" s="365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49" t="s">
        <v>3399</v>
      </c>
      <c r="D86" s="3449" t="s">
        <v>3401</v>
      </c>
      <c r="E86" s="3449" t="s">
        <v>3402</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3403</v>
      </c>
      <c r="D88" s="503" t="s">
        <v>3404</v>
      </c>
      <c r="E88" s="503" t="s">
        <v>3405</v>
      </c>
      <c r="F88" s="1926" t="s">
        <v>3406</v>
      </c>
      <c r="G88" s="503" t="s">
        <v>3407</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3403</v>
      </c>
      <c r="D90" s="503" t="s">
        <v>3404</v>
      </c>
      <c r="E90" s="503" t="s">
        <v>3405</v>
      </c>
      <c r="F90" s="503" t="s">
        <v>3406</v>
      </c>
      <c r="G90" s="503" t="s">
        <v>3407</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3430</v>
      </c>
      <c r="D92" s="503" t="s">
        <v>3431</v>
      </c>
      <c r="E92" s="503" t="s">
        <v>3432</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0" t="s">
        <v>3408</v>
      </c>
      <c r="D100" s="3450" t="s">
        <v>3409</v>
      </c>
      <c r="E100" s="3450" t="s">
        <v>3422</v>
      </c>
      <c r="F100" s="3450" t="s">
        <v>3438</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49" t="s">
        <v>3411</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t="s">
        <v>3412</v>
      </c>
      <c r="D107" s="503" t="s">
        <v>3413</v>
      </c>
      <c r="E107" s="503" t="s">
        <v>3414</v>
      </c>
      <c r="F107" s="532" t="s">
        <v>3415</v>
      </c>
      <c r="G107" s="532" t="s">
        <v>3416</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3412</v>
      </c>
      <c r="D112" s="503" t="s">
        <v>3413</v>
      </c>
      <c r="E112" s="503" t="s">
        <v>3414</v>
      </c>
      <c r="F112" s="503" t="s">
        <v>3415</v>
      </c>
      <c r="G112" s="503" t="s">
        <v>3416</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49" t="s">
        <v>3418</v>
      </c>
      <c r="D114" s="3449" t="s">
        <v>3420</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49" t="s">
        <v>3423</v>
      </c>
      <c r="D116" s="3449" t="s">
        <v>3425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49" t="s">
        <v>3427</v>
      </c>
      <c r="D122" s="3449" t="s">
        <v>3428</v>
      </c>
      <c r="E122" s="3449" t="s">
        <v>3429</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25187.2513</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3513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12906040</v>
      </c>
      <c r="D5" s="211" t="s">
        <v>1469</v>
      </c>
      <c r="E5" s="212" t="s">
        <v>1470</v>
      </c>
      <c r="F5" s="212" t="s">
        <v>1471</v>
      </c>
      <c r="G5" s="213"/>
    </row>
    <row r="6" spans="1:8" s="214" customFormat="1" ht="13.5" customHeight="1">
      <c r="A6" s="777" t="s">
        <v>1472</v>
      </c>
      <c r="B6" s="215" t="s">
        <v>1473</v>
      </c>
      <c r="C6" s="216">
        <f>ROUND(J60,0)</f>
        <v>0</v>
      </c>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12906040</v>
      </c>
      <c r="D8" s="222"/>
      <c r="E8" s="220"/>
      <c r="F8" s="221"/>
      <c r="G8" s="1855" t="s">
        <v>3440</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180</v>
      </c>
      <c r="F9" s="221"/>
      <c r="G9" s="226"/>
    </row>
    <row r="10" spans="1:8" s="214" customFormat="1" ht="13.5" customHeight="1">
      <c r="A10" s="778" t="s">
        <v>356</v>
      </c>
      <c r="B10" s="224" t="s">
        <v>1480</v>
      </c>
      <c r="C10" s="225">
        <f ca="1">ROUND(D10*E10,0)</f>
        <v>12906040</v>
      </c>
      <c r="D10" s="844">
        <f ca="1">IF(B1="",'数据-汇总表'!E6,IF(INDIRECT("'数据-取费表'!c"&amp;$G$1)="住宅",INDIRECT("'数据-取费表'!s"&amp;$G$1),INDIRECT("'数据-取费表'!k"&amp;$G$1)+INDIRECT("'数据-取费表'!s"&amp;$G$1)))</f>
        <v>71700.22</v>
      </c>
      <c r="E10" s="225">
        <f>'数据-取费表'!B28</f>
        <v>180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71700.22</v>
      </c>
      <c r="E19" s="211">
        <f>'数据-取费表'!B31</f>
        <v>200</v>
      </c>
      <c r="F19" s="231"/>
      <c r="G19" s="1855" t="s">
        <v>3441</v>
      </c>
    </row>
    <row r="20" spans="1:7" s="214" customFormat="1" ht="13.5" customHeight="1">
      <c r="A20" s="255" t="s">
        <v>1574</v>
      </c>
      <c r="B20" s="210" t="s">
        <v>1575</v>
      </c>
      <c r="C20" s="232">
        <f ca="1">ROUND((C5+C19)*F20,0)</f>
        <v>258121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680265</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673615</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6650</v>
      </c>
      <c r="D25" s="238"/>
      <c r="E25" s="241"/>
      <c r="F25" s="239"/>
      <c r="G25" s="242" t="s">
        <v>1588</v>
      </c>
    </row>
    <row r="26" spans="1:7" s="214" customFormat="1">
      <c r="A26" s="779"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658208</v>
      </c>
      <c r="D27" s="235">
        <f ca="1">C29</f>
        <v>1E-3</v>
      </c>
      <c r="E27" s="236" t="s">
        <v>1514</v>
      </c>
      <c r="F27" s="246">
        <f ca="1">IF(B1="",'数据-取费表'!Q16,INDIRECT("'数据-取费表'!q"&amp;$G$1))</f>
        <v>0.05</v>
      </c>
      <c r="G27" s="247" t="s">
        <v>1515</v>
      </c>
    </row>
    <row r="28" spans="1:7" s="214" customFormat="1" ht="13.5" customHeight="1">
      <c r="A28" s="779" t="s">
        <v>346</v>
      </c>
      <c r="B28" s="248" t="s">
        <v>1516</v>
      </c>
      <c r="C28" s="249">
        <f ca="1">ROUND((C5+C19+C20)*F27,0)</f>
        <v>658208</v>
      </c>
      <c r="D28" s="235"/>
      <c r="E28" s="236"/>
      <c r="F28" s="246"/>
      <c r="G28" s="247"/>
    </row>
    <row r="29" spans="1:7" s="214" customFormat="1" ht="13.5" customHeight="1">
      <c r="A29" s="779"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15659901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240195737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215100660</v>
      </c>
      <c r="D34" s="217"/>
      <c r="E34" s="220"/>
      <c r="F34" s="257"/>
      <c r="G34" s="219"/>
    </row>
    <row r="35" spans="1:7" ht="13.5" customHeight="1">
      <c r="A35" s="779" t="s">
        <v>351</v>
      </c>
      <c r="B35" s="215" t="s">
        <v>1527</v>
      </c>
      <c r="C35" s="220">
        <f ca="1">ROUND(C34*F35,0)</f>
        <v>6453020</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14340044</v>
      </c>
      <c r="D37" s="217">
        <f ca="1">D19</f>
        <v>71700.22</v>
      </c>
      <c r="E37" s="249">
        <f>'数据-取费表'!B35</f>
        <v>200</v>
      </c>
      <c r="F37" s="259"/>
      <c r="G37" s="261"/>
    </row>
    <row r="38" spans="1:7" ht="13.5" customHeight="1">
      <c r="A38" s="779" t="s">
        <v>354</v>
      </c>
      <c r="B38" s="215" t="s">
        <v>1533</v>
      </c>
      <c r="C38" s="220">
        <f ca="1">ROUND(C34*F38,0)</f>
        <v>4302013</v>
      </c>
      <c r="D38" s="220"/>
      <c r="E38" s="220"/>
      <c r="F38" s="259">
        <f>'数据-取费表'!B36</f>
        <v>0.02</v>
      </c>
      <c r="G38" s="219" t="s">
        <v>1528</v>
      </c>
    </row>
    <row r="39" spans="1:7" s="214" customFormat="1" ht="13.5" customHeight="1">
      <c r="A39" s="255" t="s">
        <v>1534</v>
      </c>
      <c r="B39" s="210" t="s">
        <v>1535</v>
      </c>
      <c r="C39" s="232">
        <f ca="1">ROUND(C33*F20,0)</f>
        <v>4803915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6312413</v>
      </c>
      <c r="D41" s="235">
        <f ca="1">C44</f>
        <v>5.0000000000000001E-4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6188640</v>
      </c>
      <c r="D42" s="238"/>
      <c r="E42" s="238"/>
      <c r="F42" s="239"/>
      <c r="G42" s="3641" t="s">
        <v>1591</v>
      </c>
    </row>
    <row r="43" spans="1:7" ht="13.5" customHeight="1">
      <c r="A43" s="779" t="s">
        <v>347</v>
      </c>
      <c r="B43" s="215" t="s">
        <v>1545</v>
      </c>
      <c r="C43" s="238">
        <f ca="1">ROUND(IF('数据-取费表'!B22&lt;=1,C39*F22*'数据-取费表'!B20/2,C39*(POWER((1+F22),'数据-取费表'!B20/2)-1)),0)</f>
        <v>123773</v>
      </c>
      <c r="D43" s="238"/>
      <c r="E43" s="238"/>
      <c r="F43" s="239"/>
      <c r="G43" s="3642"/>
    </row>
    <row r="44" spans="1:7" ht="13.5" customHeight="1">
      <c r="A44" s="779" t="s">
        <v>348</v>
      </c>
      <c r="B44" s="215" t="s">
        <v>1546</v>
      </c>
      <c r="C44" s="238">
        <f ca="1">ROUND(IF('数据-取费表'!B22&lt;=1,C40*F22*'数据-取费表'!B20/2,C40*(POWER((1+F22),'数据-取费表'!B20/2)-1)),4)</f>
        <v>5.0000000000000001E-4</v>
      </c>
      <c r="D44" s="238"/>
      <c r="E44" s="238"/>
      <c r="F44" s="239"/>
      <c r="G44" s="3643"/>
    </row>
    <row r="45" spans="1:7" s="214" customFormat="1" ht="13.5" customHeight="1">
      <c r="A45" s="255" t="s">
        <v>1547</v>
      </c>
      <c r="B45" s="244" t="s">
        <v>1513</v>
      </c>
      <c r="C45" s="245">
        <f ca="1">C46</f>
        <v>12249983</v>
      </c>
      <c r="D45" s="235">
        <f ca="1">C47</f>
        <v>1E-3</v>
      </c>
      <c r="E45" s="236" t="s">
        <v>1539</v>
      </c>
      <c r="F45" s="246">
        <f ca="1">F27</f>
        <v>0.05</v>
      </c>
      <c r="G45" s="247" t="s">
        <v>1548</v>
      </c>
    </row>
    <row r="46" spans="1:7" s="214" customFormat="1" ht="13.5" customHeight="1">
      <c r="A46" s="779" t="s">
        <v>346</v>
      </c>
      <c r="B46" s="248" t="s">
        <v>1549</v>
      </c>
      <c r="C46" s="249">
        <f ca="1">ROUND((C33+C39)*F27,0)</f>
        <v>12249983</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284593508</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236212612</v>
      </c>
      <c r="D51" s="232"/>
      <c r="E51" s="232"/>
      <c r="F51" s="264"/>
      <c r="G51" s="234" t="s">
        <v>1560</v>
      </c>
    </row>
    <row r="52" spans="1:7" s="208" customFormat="1" ht="16.5" thickBot="1">
      <c r="A52" s="265" t="s">
        <v>1561</v>
      </c>
      <c r="B52" s="266"/>
      <c r="C52" s="267">
        <f ca="1">C31+C51</f>
        <v>251872513</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#N/A</v>
      </c>
      <c r="C2" s="1386" t="s">
        <v>879</v>
      </c>
      <c r="D2" s="1470" t="e">
        <f ca="1">C40+J29+L46</f>
        <v>#N/A</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t="e">
        <f ca="1">C6+C10+C12</f>
        <v>#N/A</v>
      </c>
      <c r="D5" s="1363" t="s">
        <v>889</v>
      </c>
      <c r="E5" s="1070"/>
      <c r="F5" s="1071"/>
      <c r="G5" s="1383"/>
      <c r="H5" s="299">
        <v>1</v>
      </c>
      <c r="I5" s="300" t="s">
        <v>888</v>
      </c>
      <c r="J5" s="1069" t="e">
        <f ca="1">J6+J10+J12</f>
        <v>#N/A</v>
      </c>
      <c r="K5" s="1363" t="s">
        <v>889</v>
      </c>
      <c r="L5" s="1070"/>
      <c r="M5" s="1071"/>
    </row>
    <row r="6" spans="1:37" ht="18" customHeight="1">
      <c r="A6" s="1068" t="s">
        <v>398</v>
      </c>
      <c r="B6" s="3646" t="s">
        <v>694</v>
      </c>
      <c r="C6" s="1073" t="e">
        <f ca="1">ROUND(F6*F8*F7*(1-F9),0)</f>
        <v>#N/A</v>
      </c>
      <c r="D6" s="155" t="s">
        <v>2105</v>
      </c>
      <c r="E6" s="302" t="s">
        <v>696</v>
      </c>
      <c r="F6" s="303" t="e">
        <f ca="1">INDIRECT("'数据-取费表'!u"&amp;$G$1)</f>
        <v>#N/A</v>
      </c>
      <c r="G6" s="1383"/>
      <c r="H6" s="1068" t="s">
        <v>398</v>
      </c>
      <c r="I6" s="3646" t="s">
        <v>694</v>
      </c>
      <c r="J6" s="301" t="e">
        <f ca="1">ROUND(M6*M8*M7*(1-M9),0)</f>
        <v>#N/A</v>
      </c>
      <c r="K6" s="1375" t="s">
        <v>2106</v>
      </c>
      <c r="L6" s="302" t="s">
        <v>696</v>
      </c>
      <c r="M6" s="303" t="e">
        <f ca="1">INDIRECT("'数据-取费表'!z"&amp;$G$1)</f>
        <v>#N/A</v>
      </c>
    </row>
    <row r="7" spans="1:37" ht="18" customHeight="1">
      <c r="A7" s="1072"/>
      <c r="B7" s="3647"/>
      <c r="C7" s="1074"/>
      <c r="D7" s="307"/>
      <c r="E7" s="1075" t="s">
        <v>697</v>
      </c>
      <c r="F7" s="303" t="e">
        <f ca="1">IF(INDIRECT("'数据-取费表'!ah"&amp;$G$1)="",INDIRECT("'数据-取费表'!k"&amp;$G$1),INDIRECT("'数据-取费表'!ah"&amp;$G$1))</f>
        <v>#N/A</v>
      </c>
      <c r="G7" s="1383"/>
      <c r="H7" s="304"/>
      <c r="I7" s="3647"/>
      <c r="J7" s="306"/>
      <c r="K7" s="307"/>
      <c r="L7" s="302" t="s">
        <v>697</v>
      </c>
      <c r="M7" s="303" t="e">
        <f ca="1">F7</f>
        <v>#N/A</v>
      </c>
    </row>
    <row r="8" spans="1:37" ht="18" customHeight="1">
      <c r="A8" s="304"/>
      <c r="B8" s="3647"/>
      <c r="C8" s="306"/>
      <c r="D8" s="307"/>
      <c r="E8" s="302" t="s">
        <v>698</v>
      </c>
      <c r="F8" s="303" t="e">
        <f ca="1">INDIRECT("'数据-取费表'!ai"&amp;$G$1)</f>
        <v>#N/A</v>
      </c>
      <c r="G8" s="1383"/>
      <c r="H8" s="304"/>
      <c r="I8" s="3647"/>
      <c r="J8" s="306"/>
      <c r="K8" s="307"/>
      <c r="L8" s="302" t="s">
        <v>698</v>
      </c>
      <c r="M8" s="303" t="e">
        <f ca="1">INDIRECT("'数据-取费表'!ai"&amp;$G$1)</f>
        <v>#N/A</v>
      </c>
    </row>
    <row r="9" spans="1:37" ht="18" customHeight="1">
      <c r="A9" s="304"/>
      <c r="B9" s="3648"/>
      <c r="C9" s="306"/>
      <c r="D9" s="307"/>
      <c r="E9" s="302" t="s">
        <v>699</v>
      </c>
      <c r="F9" s="312" t="e">
        <f ca="1">INDIRECT("'数据-取费表'!w"&amp;$G$1)</f>
        <v>#N/A</v>
      </c>
      <c r="G9" s="1383"/>
      <c r="H9" s="304"/>
      <c r="I9" s="3648"/>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2115</v>
      </c>
      <c r="E10" s="313" t="s">
        <v>701</v>
      </c>
      <c r="F10" s="1115" t="s">
        <v>3434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ROUND(INDIRECT("'数据-取费表'!l"&amp;$G$1)*F43+'数据-取费表'!L14*INDIRECT("'数据-取费表'!S"&amp;$G$1),0)</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ROUND(INDIRECT("'数据-取费表'!l"&amp;$G$1)*F43*F16,0)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ROUND(F17*(F43+INDIRECT("'数据-取费表'!S"&amp;$G$1)),0)</f>
        <v>#N/A</v>
      </c>
      <c r="D17" s="302" t="s">
        <v>717</v>
      </c>
      <c r="E17" s="302" t="s">
        <v>718</v>
      </c>
      <c r="F17" s="23">
        <f>'数据-取费表'!B35</f>
        <v>200</v>
      </c>
      <c r="G17" s="1395"/>
      <c r="H17" s="981" t="s">
        <v>398</v>
      </c>
      <c r="I17" s="302" t="s">
        <v>719</v>
      </c>
      <c r="J17" s="2315" t="e">
        <f ca="1">ROUND(IF(AND(项目基本情况!B11="自然人",项目基本情况!B10="北京市"),J6*M17/(1+'数据-取费表'!C42),J18+J19+J20),0)</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ROUND(J6*M18/(1+'数据-取费表'!C42),0)</f>
        <v>#N/A</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IF(K19="按租金收入计税",ROUND(J6*M19/(1+'数据-取费表'!C42),0),ROUND(C29*M19*0.7,0))</f>
        <v>#N/A</v>
      </c>
      <c r="K19" s="1369" t="s">
        <v>3338</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ROUND(M20*M21,0)</f>
        <v>#N/A</v>
      </c>
      <c r="K20" s="324" t="s">
        <v>731</v>
      </c>
      <c r="L20" s="302" t="s">
        <v>732</v>
      </c>
      <c r="M20" s="325">
        <f>'数据-取费表'!B52</f>
        <v>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ROUND(J14*M22,0)</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1.5</v>
      </c>
      <c r="G23" s="1395"/>
      <c r="H23" s="981" t="s">
        <v>437</v>
      </c>
      <c r="I23" s="302" t="s">
        <v>742</v>
      </c>
      <c r="J23" s="21" t="e">
        <f ca="1">ROUND(J13*M23,0)</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ROUND(J5*M24,0)</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ht="18" customHeight="1">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ROUND(IF(AND(项目基本情况!B11="自然人",项目基本情况!B10="北京市"),C6*F31/(1+'数据-取费表'!C42),C32+C33+C34),0)</f>
        <v>#N/A</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t="e">
        <f ca="1">IF(项目基本情况!B11="自然人","——",ROUND(C6*F32/(1+'数据-取费表'!C42),0))</f>
        <v>#N/A</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e">
        <f ca="1">IF(项目基本情况!B11="自然人","——",IF(D33="按租金收入计税",ROUND(C6*F33/(1+'数据-取费表'!C42),0),IF(D33="按房产原值计税",ROUND(C29*F33*0.7,0),INDIRECT("'数据-取费表'!Aj"&amp;$G$1))))</f>
        <v>#N/A</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e">
        <f ca="1">IF(项目基本情况!B11="自然人","——",ROUND(F34*F35,0))</f>
        <v>#N/A</v>
      </c>
      <c r="D34" s="324" t="s">
        <v>731</v>
      </c>
      <c r="E34" s="302" t="s">
        <v>732</v>
      </c>
      <c r="F34" s="325">
        <f>'数据-取费表'!B52</f>
        <v>4</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ROUND(C29*F36,0)</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ROUND(C13*F37,0)</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ROUND(C5*F38,0)</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t="e">
        <f ca="1">ROUND((C68-C40)/10000,4)</f>
        <v>#N/A</v>
      </c>
      <c r="D45" s="3431" t="s">
        <v>3355</v>
      </c>
      <c r="E45" s="1399"/>
      <c r="F45" s="1399"/>
      <c r="O45" s="1402" t="s">
        <v>808</v>
      </c>
      <c r="P45" s="1460"/>
      <c r="Q45" s="1460"/>
      <c r="R45" s="1460"/>
    </row>
    <row r="46" spans="1:18" s="1383" customFormat="1" ht="13.5" thickBot="1">
      <c r="A46" s="1403" t="s">
        <v>809</v>
      </c>
      <c r="C46" s="1404" t="e">
        <f ca="1">ROUND(C45,0)</f>
        <v>#N/A</v>
      </c>
      <c r="D46" s="1405" t="str">
        <f>C2</f>
        <v>万元</v>
      </c>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3410</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3435</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ROUND(F49*F51*F50*(1-F52),0)</f>
        <v>#N/A</v>
      </c>
      <c r="D49" s="1054" t="s">
        <v>695</v>
      </c>
      <c r="E49" s="1371" t="s">
        <v>780</v>
      </c>
      <c r="F49" s="1059"/>
      <c r="G49" s="1424"/>
      <c r="H49" s="722"/>
      <c r="I49" s="1420" t="s">
        <v>823</v>
      </c>
      <c r="J49" s="1425">
        <f>'数据-取费表'!N17</f>
        <v>2012</v>
      </c>
      <c r="K49" s="1422" t="s">
        <v>824</v>
      </c>
      <c r="L49" s="1426"/>
      <c r="O49" s="1427" t="s">
        <v>405</v>
      </c>
      <c r="P49" s="1418" t="s">
        <v>825</v>
      </c>
      <c r="Q49" s="1419" t="e">
        <f ca="1">C29</f>
        <v>#N/A</v>
      </c>
      <c r="R49" s="1419" t="s">
        <v>818</v>
      </c>
    </row>
    <row r="50" spans="1:18" s="1383" customFormat="1" ht="13.5" thickBot="1">
      <c r="A50" s="975"/>
      <c r="B50" s="978"/>
      <c r="C50" s="979"/>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48</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t="e">
        <f ca="1">IF(M47="住宅",IF(D1="——",MAX(J51,L48),MAX(J51,L48-'数据-取费表'!B24)),IF(D1="——",MIN(J51,L48),MIN(J51,L48-'数据-取费表'!B24)))</f>
        <v>#N/A</v>
      </c>
      <c r="K53" s="3644" t="s">
        <v>837</v>
      </c>
      <c r="L53" s="3645"/>
      <c r="O53" s="1417" t="s">
        <v>409</v>
      </c>
      <c r="P53" s="1418" t="s">
        <v>838</v>
      </c>
      <c r="Q53" s="1419" t="e">
        <f ca="1">Q47+Q48</f>
        <v>#N/A</v>
      </c>
      <c r="R53" s="1419" t="s">
        <v>410</v>
      </c>
    </row>
    <row r="54" spans="1:18" s="1383" customFormat="1" ht="13.5" thickBot="1">
      <c r="A54" s="974"/>
      <c r="B54" s="1472" t="s">
        <v>891</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36" customHeight="1" thickTop="1" thickBot="1">
      <c r="A56" s="956">
        <v>2</v>
      </c>
      <c r="B56" s="957" t="s">
        <v>704</v>
      </c>
      <c r="C56" s="232" t="e">
        <f ca="1">C13</f>
        <v>#N/A</v>
      </c>
      <c r="D56" s="1446"/>
      <c r="E56" s="1447"/>
      <c r="F56" s="1439"/>
      <c r="I56" s="1448" t="s">
        <v>842</v>
      </c>
      <c r="J56" s="1449" t="s">
        <v>3385</v>
      </c>
      <c r="K56" s="1420" t="s">
        <v>843</v>
      </c>
      <c r="L56" s="1423" t="e">
        <f ca="1">IF(L48&lt;J51,"——",L48-J51)</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892</v>
      </c>
      <c r="L57" s="1423" t="e">
        <f ca="1">IF(L48&lt;J51,"——",IF(L55="比较法",L49,IF(L55="基准地价",L50,L51)))</f>
        <v>#N/A</v>
      </c>
      <c r="O57" s="1417" t="s">
        <v>404</v>
      </c>
      <c r="P57" s="1418" t="s">
        <v>893</v>
      </c>
      <c r="Q57" s="1419" t="e">
        <f ca="1">L60</f>
        <v>#N/A</v>
      </c>
      <c r="R57" s="1419" t="s">
        <v>894</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895</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IF(项目基本情况!B11="自然人","——",ROUND(C48*F60/(1+'数据-取费表'!C42),0))</f>
        <v>#N/A</v>
      </c>
      <c r="D60" s="963" t="s">
        <v>724</v>
      </c>
      <c r="E60" s="949" t="s">
        <v>712</v>
      </c>
      <c r="F60" s="331">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IF(项目基本情况!B11="自然人","——",IF(D61="按租金收入计税",ROUND(C49*F61/(1+'数据-取费表'!C42),0),IF(D61="按房产原值计税",ROUND(C57*F61*0.7,0),INDIRECT("'数据-取费表'!Aj"&amp;$G$1))))</f>
        <v>#N/A</v>
      </c>
      <c r="D61" s="1369" t="s">
        <v>3338</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IF(项目基本情况!B11="自然人","——",ROUND(F62*F63,0))</f>
        <v>#N/A</v>
      </c>
      <c r="D62" s="964" t="s">
        <v>786</v>
      </c>
      <c r="E62" s="949" t="s">
        <v>787</v>
      </c>
      <c r="F62" s="325">
        <f t="shared" si="0"/>
        <v>4</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ROUND(C57*F64,0)</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ROUND(C56*F65,0)</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ROUND(C48*F66,0)</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3361</v>
      </c>
      <c r="E2" s="3443"/>
      <c r="F2" s="2845"/>
      <c r="G2" s="2846"/>
      <c r="H2" s="2847"/>
      <c r="I2" s="2848"/>
      <c r="J2" s="3701" t="s">
        <v>2320</v>
      </c>
      <c r="K2" s="3702"/>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03" t="s">
        <v>2330</v>
      </c>
      <c r="K3" s="3704"/>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03" t="s">
        <v>2332</v>
      </c>
      <c r="K4" s="3704"/>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9" t="s">
        <v>2336</v>
      </c>
      <c r="B6" s="3710"/>
      <c r="C6" s="3711"/>
      <c r="D6" s="2869"/>
      <c r="E6" s="2870"/>
      <c r="F6" s="2871"/>
      <c r="G6" s="2872"/>
      <c r="H6" s="2847"/>
      <c r="I6" s="2848"/>
      <c r="J6" s="3695">
        <v>1</v>
      </c>
      <c r="K6" s="3696"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95"/>
      <c r="K7" s="3697"/>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12" t="s">
        <v>2350</v>
      </c>
      <c r="C8" s="3713"/>
      <c r="D8" s="2888" t="s">
        <v>2351</v>
      </c>
      <c r="E8" s="2889" t="s">
        <v>2352</v>
      </c>
      <c r="F8" s="2890" t="s">
        <v>2353</v>
      </c>
      <c r="G8" s="2891"/>
      <c r="H8" s="2847"/>
      <c r="I8" s="2848"/>
      <c r="J8" s="3695"/>
      <c r="K8" s="3697"/>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12" t="s">
        <v>2356</v>
      </c>
      <c r="C9" s="3713"/>
      <c r="D9" s="2888">
        <f>ROUND(D6*E9,0)</f>
        <v>0</v>
      </c>
      <c r="E9" s="2892"/>
      <c r="F9" s="2893" t="s">
        <v>2357</v>
      </c>
      <c r="G9" s="2872"/>
      <c r="H9" s="2847"/>
      <c r="I9" s="2848"/>
      <c r="J9" s="3695"/>
      <c r="K9" s="3697"/>
      <c r="L9" s="2882" t="s">
        <v>2358</v>
      </c>
      <c r="M9" s="2883"/>
      <c r="N9" s="2859"/>
      <c r="O9" s="2884"/>
      <c r="P9" s="2884"/>
      <c r="Q9" s="2885">
        <v>365</v>
      </c>
      <c r="R9" s="2886">
        <f t="shared" si="0"/>
        <v>0</v>
      </c>
      <c r="S9" s="2840"/>
      <c r="T9" s="2840"/>
      <c r="U9" s="2840"/>
      <c r="V9" s="2848"/>
    </row>
    <row r="10" spans="1:22" s="2852" customFormat="1" ht="13.15" customHeight="1">
      <c r="A10" s="2887">
        <v>2</v>
      </c>
      <c r="B10" s="3712" t="s">
        <v>2359</v>
      </c>
      <c r="C10" s="3713"/>
      <c r="D10" s="2888">
        <f>ROUND(D6*E10,0)</f>
        <v>0</v>
      </c>
      <c r="E10" s="2892"/>
      <c r="F10" s="2893" t="s">
        <v>2360</v>
      </c>
      <c r="G10" s="2872"/>
      <c r="H10" s="2847"/>
      <c r="I10" s="2848"/>
      <c r="J10" s="3695"/>
      <c r="K10" s="3697"/>
      <c r="L10" s="2882" t="s">
        <v>2361</v>
      </c>
      <c r="M10" s="2883"/>
      <c r="N10" s="2859"/>
      <c r="O10" s="2884"/>
      <c r="P10" s="2884"/>
      <c r="Q10" s="2885">
        <v>365</v>
      </c>
      <c r="R10" s="2886">
        <f t="shared" si="0"/>
        <v>0</v>
      </c>
      <c r="S10" s="2840"/>
      <c r="T10" s="2840"/>
      <c r="U10" s="2840"/>
      <c r="V10" s="2848"/>
    </row>
    <row r="11" spans="1:22" s="2852" customFormat="1" ht="13.15" customHeight="1">
      <c r="A11" s="2887">
        <v>3</v>
      </c>
      <c r="B11" s="3712" t="s">
        <v>2362</v>
      </c>
      <c r="C11" s="3713"/>
      <c r="D11" s="2888">
        <f>D12+D14+D15+D16</f>
        <v>0</v>
      </c>
      <c r="E11" s="2894" t="e">
        <f>D11/D6</f>
        <v>#DIV/0!</v>
      </c>
      <c r="F11" s="2890"/>
      <c r="G11" s="2891"/>
      <c r="H11" s="2847"/>
      <c r="I11" s="2848"/>
      <c r="J11" s="3695"/>
      <c r="K11" s="3697"/>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05" t="s">
        <v>2365</v>
      </c>
      <c r="C12" s="3706"/>
      <c r="D12" s="2896">
        <f>ROUND(D13*1.2%*(1-30%),0)</f>
        <v>0</v>
      </c>
      <c r="E12" s="2897">
        <v>1.2E-2</v>
      </c>
      <c r="F12" s="2890" t="s">
        <v>2366</v>
      </c>
      <c r="G12" s="2891"/>
      <c r="H12" s="2847"/>
      <c r="I12" s="2848"/>
      <c r="J12" s="3695"/>
      <c r="K12" s="3697"/>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95"/>
      <c r="K13" s="3697"/>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05" t="s">
        <v>2371</v>
      </c>
      <c r="C14" s="3706"/>
      <c r="D14" s="2896">
        <f>ROUND(E14*B5/10000,0)</f>
        <v>0</v>
      </c>
      <c r="E14" s="2885"/>
      <c r="F14" s="2890" t="s">
        <v>2372</v>
      </c>
      <c r="G14" s="2891"/>
      <c r="H14" s="2847"/>
      <c r="I14" s="2848"/>
      <c r="J14" s="3695"/>
      <c r="K14" s="3698"/>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05" t="s">
        <v>2375</v>
      </c>
      <c r="C15" s="3706"/>
      <c r="D15" s="2896">
        <f>ROUND(D6*E15,0)</f>
        <v>0</v>
      </c>
      <c r="E15" s="2897">
        <v>5.5E-2</v>
      </c>
      <c r="F15" s="2890" t="s">
        <v>2376</v>
      </c>
      <c r="G15" s="2872"/>
      <c r="H15" s="2847"/>
      <c r="I15" s="2848"/>
      <c r="J15" s="3695">
        <v>2</v>
      </c>
      <c r="K15" s="3696"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05" t="s">
        <v>2384</v>
      </c>
      <c r="C16" s="3706"/>
      <c r="D16" s="2907">
        <f>D6*E16</f>
        <v>0</v>
      </c>
      <c r="E16" s="2908"/>
      <c r="F16" s="2893" t="s">
        <v>2385</v>
      </c>
      <c r="G16" s="2872"/>
      <c r="H16" s="2847"/>
      <c r="I16" s="2848"/>
      <c r="J16" s="3695"/>
      <c r="K16" s="3697"/>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07" t="s">
        <v>2387</v>
      </c>
      <c r="C17" s="3708"/>
      <c r="D17" s="2910">
        <f>ROUND(D6*E17,0)</f>
        <v>0</v>
      </c>
      <c r="E17" s="2911"/>
      <c r="F17" s="2912" t="s">
        <v>2388</v>
      </c>
      <c r="G17" s="2872"/>
      <c r="H17" s="2847"/>
      <c r="I17" s="2848"/>
      <c r="J17" s="3695"/>
      <c r="K17" s="3697"/>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95"/>
      <c r="K18" s="3697"/>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95"/>
      <c r="K19" s="3698"/>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5">
        <v>3</v>
      </c>
      <c r="K20" s="3696"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95"/>
      <c r="K21" s="3697"/>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95"/>
      <c r="K22" s="3697"/>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95"/>
      <c r="K23" s="3697"/>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95"/>
      <c r="K24" s="3698"/>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99">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0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01" t="s">
        <v>2320</v>
      </c>
      <c r="K32" s="3702"/>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03" t="s">
        <v>2330</v>
      </c>
      <c r="K33" s="3704"/>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03" t="s">
        <v>2332</v>
      </c>
      <c r="K34" s="370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95">
        <v>1</v>
      </c>
      <c r="K36" s="3696"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95"/>
      <c r="K37" s="3697"/>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5"/>
      <c r="K38" s="3697"/>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95"/>
      <c r="K39" s="3697"/>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95"/>
      <c r="K40" s="3698"/>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9">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0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29373</v>
      </c>
      <c r="C2" s="1871" t="s">
        <v>1651</v>
      </c>
      <c r="D2" s="1872" t="s">
        <v>1652</v>
      </c>
      <c r="E2" s="2606">
        <f>SUM(E6:E13)</f>
        <v>71700.22</v>
      </c>
      <c r="F2" s="2706"/>
      <c r="G2" s="1488"/>
      <c r="H2" s="1488"/>
      <c r="I2" s="1488"/>
      <c r="J2" s="1488"/>
      <c r="K2" s="1488"/>
      <c r="L2" s="1488"/>
      <c r="M2" s="1488"/>
      <c r="N2" s="1488"/>
      <c r="O2" s="1488"/>
      <c r="P2" s="1488"/>
      <c r="Q2" s="1488"/>
      <c r="R2" s="1488"/>
      <c r="S2" s="1488"/>
    </row>
    <row r="3" spans="1:22" ht="15.75">
      <c r="A3" s="1869" t="s">
        <v>686</v>
      </c>
      <c r="B3" s="2600">
        <f ca="1">ROUND(B2*10000/E2,0)</f>
        <v>4097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4" t="s">
        <v>1654</v>
      </c>
      <c r="C5" s="371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29373</v>
      </c>
      <c r="C6" s="1871" t="s">
        <v>1651</v>
      </c>
      <c r="D6" s="2708"/>
      <c r="E6" s="2605">
        <f>IF(OR(A6=0,F6="否"),0,'数据-取费表'!K6+'数据-取费表'!S6)</f>
        <v>71700.22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71700.22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8" t="s">
        <v>1667</v>
      </c>
      <c r="D4" s="3669"/>
      <c r="E4" s="3670" t="s">
        <v>1668</v>
      </c>
      <c r="F4" s="3671"/>
      <c r="G4" s="3668" t="s">
        <v>1669</v>
      </c>
      <c r="H4" s="3669"/>
      <c r="I4" s="3668" t="s">
        <v>1670</v>
      </c>
      <c r="J4" s="3669"/>
      <c r="K4" s="1888" t="s">
        <v>1671</v>
      </c>
      <c r="L4" s="2714"/>
      <c r="M4" s="2715"/>
      <c r="N4" s="2715"/>
      <c r="O4" s="2715"/>
      <c r="P4" s="3672" t="s">
        <v>1672</v>
      </c>
      <c r="Q4" s="3673"/>
      <c r="R4" s="3678" t="s">
        <v>1668</v>
      </c>
      <c r="S4" s="3679"/>
      <c r="T4" s="3678" t="s">
        <v>1669</v>
      </c>
      <c r="U4" s="3679"/>
      <c r="V4" s="3663" t="s">
        <v>1670</v>
      </c>
      <c r="W4" s="3663"/>
      <c r="X4" s="1354"/>
      <c r="Y4" s="3678" t="s">
        <v>1672</v>
      </c>
      <c r="Z4" s="3679"/>
      <c r="AA4" s="3665" t="s">
        <v>1668</v>
      </c>
      <c r="AB4" s="3665" t="s">
        <v>1669</v>
      </c>
      <c r="AC4" s="3665" t="s">
        <v>1670</v>
      </c>
    </row>
    <row r="5" spans="1:29" ht="15">
      <c r="A5" s="358"/>
      <c r="B5" s="359"/>
      <c r="C5" s="3686" t="s">
        <v>1673</v>
      </c>
      <c r="D5" s="3687"/>
      <c r="E5" s="3693" t="s">
        <v>1674</v>
      </c>
      <c r="F5" s="3694"/>
      <c r="G5" s="3686" t="s">
        <v>1675</v>
      </c>
      <c r="H5" s="3687"/>
      <c r="I5" s="3686" t="s">
        <v>1676</v>
      </c>
      <c r="J5" s="3687"/>
      <c r="K5" s="1889"/>
      <c r="L5" s="2714"/>
      <c r="M5" s="2715"/>
      <c r="N5" s="2715"/>
      <c r="O5" s="2715"/>
      <c r="P5" s="3674"/>
      <c r="Q5" s="3675"/>
      <c r="R5" s="3680"/>
      <c r="S5" s="3681"/>
      <c r="T5" s="3680"/>
      <c r="U5" s="3681"/>
      <c r="V5" s="3663"/>
      <c r="W5" s="3663"/>
      <c r="X5" s="1354"/>
      <c r="Y5" s="3680"/>
      <c r="Z5" s="3681"/>
      <c r="AA5" s="3666"/>
      <c r="AB5" s="3666"/>
      <c r="AC5" s="3666"/>
    </row>
    <row r="6" spans="1:29" ht="15.75" thickBot="1">
      <c r="A6" s="360"/>
      <c r="B6" s="361"/>
      <c r="C6" s="3684" t="s">
        <v>1677</v>
      </c>
      <c r="D6" s="3685"/>
      <c r="E6" s="3691" t="s">
        <v>1677</v>
      </c>
      <c r="F6" s="3692"/>
      <c r="G6" s="3684" t="s">
        <v>1677</v>
      </c>
      <c r="H6" s="3685"/>
      <c r="I6" s="3684" t="s">
        <v>1677</v>
      </c>
      <c r="J6" s="3685"/>
      <c r="K6" s="1889" t="s">
        <v>1678</v>
      </c>
      <c r="L6" s="2714"/>
      <c r="M6" s="2715"/>
      <c r="N6" s="2715"/>
      <c r="O6" s="2715"/>
      <c r="P6" s="3676"/>
      <c r="Q6" s="3677"/>
      <c r="R6" s="3680"/>
      <c r="S6" s="3681"/>
      <c r="T6" s="3682"/>
      <c r="U6" s="3683"/>
      <c r="V6" s="3663"/>
      <c r="W6" s="3663"/>
      <c r="X6" s="1354"/>
      <c r="Y6" s="3682"/>
      <c r="Z6" s="3683"/>
      <c r="AA6" s="3667"/>
      <c r="AB6" s="3667"/>
      <c r="AC6" s="3667"/>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8" t="s">
        <v>1680</v>
      </c>
      <c r="Q7" s="3690"/>
      <c r="R7" s="700" t="s">
        <v>20</v>
      </c>
      <c r="S7" s="701">
        <f t="shared" ref="S7:S15" si="0">F7</f>
        <v>0</v>
      </c>
      <c r="T7" s="700" t="s">
        <v>20</v>
      </c>
      <c r="U7" s="701">
        <f t="shared" ref="U7:U15" si="1">H7</f>
        <v>0</v>
      </c>
      <c r="V7" s="700" t="s">
        <v>20</v>
      </c>
      <c r="W7" s="701">
        <f t="shared" ref="W7:W15" si="2">J7</f>
        <v>0</v>
      </c>
      <c r="X7" s="702"/>
      <c r="Y7" s="3688" t="s">
        <v>1680</v>
      </c>
      <c r="Z7" s="368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8" t="s">
        <v>1683</v>
      </c>
      <c r="Q8" s="3689"/>
      <c r="R8" s="700" t="s">
        <v>20</v>
      </c>
      <c r="S8" s="701">
        <f t="shared" si="0"/>
        <v>100</v>
      </c>
      <c r="T8" s="700" t="s">
        <v>20</v>
      </c>
      <c r="U8" s="701">
        <f t="shared" si="1"/>
        <v>100</v>
      </c>
      <c r="V8" s="700" t="s">
        <v>20</v>
      </c>
      <c r="W8" s="701">
        <f t="shared" si="2"/>
        <v>100</v>
      </c>
      <c r="X8" s="702"/>
      <c r="Y8" s="3688" t="s">
        <v>1683</v>
      </c>
      <c r="Z8" s="368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4"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4"/>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4"/>
      <c r="Q11" s="1342" t="str">
        <f t="shared" si="6"/>
        <v>容积率</v>
      </c>
      <c r="R11" s="700" t="s">
        <v>18</v>
      </c>
      <c r="S11" s="701" t="e">
        <f t="shared" si="0"/>
        <v>#N/A</v>
      </c>
      <c r="T11" s="700" t="s">
        <v>18</v>
      </c>
      <c r="U11" s="701" t="e">
        <f t="shared" si="1"/>
        <v>#N/A</v>
      </c>
      <c r="V11" s="700" t="s">
        <v>18</v>
      </c>
      <c r="W11" s="701" t="e">
        <f t="shared" si="2"/>
        <v>#N/A</v>
      </c>
      <c r="X11" s="702"/>
      <c r="Y11" s="354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4"/>
      <c r="Q12" s="1342">
        <f t="shared" si="6"/>
        <v>111</v>
      </c>
      <c r="R12" s="700" t="s">
        <v>18</v>
      </c>
      <c r="S12" s="701">
        <f t="shared" si="0"/>
        <v>100</v>
      </c>
      <c r="T12" s="700" t="s">
        <v>18</v>
      </c>
      <c r="U12" s="701">
        <f t="shared" si="1"/>
        <v>100</v>
      </c>
      <c r="V12" s="700" t="s">
        <v>18</v>
      </c>
      <c r="W12" s="701">
        <f t="shared" si="2"/>
        <v>100</v>
      </c>
      <c r="X12" s="702"/>
      <c r="Y12" s="354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4"/>
      <c r="Q13" s="1342">
        <f t="shared" si="6"/>
        <v>111</v>
      </c>
      <c r="R13" s="700" t="s">
        <v>18</v>
      </c>
      <c r="S13" s="701">
        <f t="shared" si="0"/>
        <v>100</v>
      </c>
      <c r="T13" s="700" t="s">
        <v>18</v>
      </c>
      <c r="U13" s="701">
        <f t="shared" si="1"/>
        <v>100</v>
      </c>
      <c r="V13" s="700" t="s">
        <v>18</v>
      </c>
      <c r="W13" s="701">
        <f t="shared" si="2"/>
        <v>100</v>
      </c>
      <c r="X13" s="702"/>
      <c r="Y13" s="354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4"/>
      <c r="Q14" s="1342">
        <f t="shared" si="6"/>
        <v>111</v>
      </c>
      <c r="R14" s="700" t="s">
        <v>18</v>
      </c>
      <c r="S14" s="701">
        <f t="shared" si="0"/>
        <v>100</v>
      </c>
      <c r="T14" s="700" t="s">
        <v>18</v>
      </c>
      <c r="U14" s="701">
        <f t="shared" si="1"/>
        <v>100</v>
      </c>
      <c r="V14" s="700" t="s">
        <v>18</v>
      </c>
      <c r="W14" s="701">
        <f t="shared" si="2"/>
        <v>100</v>
      </c>
      <c r="X14" s="702"/>
      <c r="Y14" s="3548"/>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4" t="s">
        <v>1691</v>
      </c>
      <c r="Q15" s="1351" t="str">
        <f t="shared" si="6"/>
        <v>居住社区成熟度</v>
      </c>
      <c r="R15" s="704" t="s">
        <v>18</v>
      </c>
      <c r="S15" s="705">
        <f t="shared" si="0"/>
        <v>100</v>
      </c>
      <c r="T15" s="704" t="s">
        <v>18</v>
      </c>
      <c r="U15" s="705">
        <f t="shared" si="1"/>
        <v>100</v>
      </c>
      <c r="V15" s="704" t="s">
        <v>18</v>
      </c>
      <c r="W15" s="705">
        <f t="shared" si="2"/>
        <v>100</v>
      </c>
      <c r="X15" s="1354"/>
      <c r="Y15" s="365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55"/>
      <c r="Q16" s="1351"/>
      <c r="R16" s="704"/>
      <c r="S16" s="705"/>
      <c r="T16" s="704"/>
      <c r="U16" s="705"/>
      <c r="V16" s="704"/>
      <c r="W16" s="705"/>
      <c r="X16" s="1354"/>
      <c r="Y16" s="365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5"/>
      <c r="Q17" s="1351" t="str">
        <f>B17</f>
        <v>交通便捷度</v>
      </c>
      <c r="R17" s="704" t="s">
        <v>18</v>
      </c>
      <c r="S17" s="705">
        <f>F17</f>
        <v>100</v>
      </c>
      <c r="T17" s="704" t="s">
        <v>18</v>
      </c>
      <c r="U17" s="705">
        <f>H17</f>
        <v>100</v>
      </c>
      <c r="V17" s="704" t="s">
        <v>18</v>
      </c>
      <c r="W17" s="705">
        <f>J17</f>
        <v>100</v>
      </c>
      <c r="X17" s="1354"/>
      <c r="Y17" s="365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55"/>
      <c r="Q18" s="1351"/>
      <c r="R18" s="704"/>
      <c r="S18" s="705"/>
      <c r="T18" s="704"/>
      <c r="U18" s="705"/>
      <c r="V18" s="704"/>
      <c r="W18" s="705"/>
      <c r="X18" s="1354"/>
      <c r="Y18" s="365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5"/>
      <c r="Q19" s="1351" t="str">
        <f>B19</f>
        <v>公共配套设施</v>
      </c>
      <c r="R19" s="704" t="s">
        <v>18</v>
      </c>
      <c r="S19" s="705">
        <f>F19</f>
        <v>100</v>
      </c>
      <c r="T19" s="704" t="s">
        <v>18</v>
      </c>
      <c r="U19" s="705">
        <f>H19</f>
        <v>100</v>
      </c>
      <c r="V19" s="704" t="s">
        <v>18</v>
      </c>
      <c r="W19" s="705">
        <f>J19</f>
        <v>100</v>
      </c>
      <c r="X19" s="1354"/>
      <c r="Y19" s="365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55"/>
      <c r="Q20" s="1351"/>
      <c r="R20" s="704"/>
      <c r="S20" s="705"/>
      <c r="T20" s="704"/>
      <c r="U20" s="705"/>
      <c r="V20" s="704"/>
      <c r="W20" s="705"/>
      <c r="X20" s="1354"/>
      <c r="Y20" s="3657"/>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5"/>
      <c r="Q21" s="1351" t="str">
        <f>B21</f>
        <v>基础设施水平</v>
      </c>
      <c r="R21" s="704" t="s">
        <v>14</v>
      </c>
      <c r="S21" s="705">
        <f>F21</f>
        <v>100</v>
      </c>
      <c r="T21" s="704" t="s">
        <v>14</v>
      </c>
      <c r="U21" s="705">
        <f>H21</f>
        <v>100</v>
      </c>
      <c r="V21" s="704" t="s">
        <v>14</v>
      </c>
      <c r="W21" s="705">
        <f>J21</f>
        <v>100</v>
      </c>
      <c r="X21" s="1354"/>
      <c r="Y21" s="365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55"/>
      <c r="Q22" s="1351"/>
      <c r="R22" s="704"/>
      <c r="S22" s="705"/>
      <c r="T22" s="704"/>
      <c r="U22" s="705"/>
      <c r="V22" s="704"/>
      <c r="W22" s="705"/>
      <c r="X22" s="1354"/>
      <c r="Y22" s="365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5"/>
      <c r="Q23" s="1351" t="str">
        <f>B23</f>
        <v>自然及人文环境</v>
      </c>
      <c r="R23" s="704" t="s">
        <v>18</v>
      </c>
      <c r="S23" s="705">
        <f>F23</f>
        <v>100</v>
      </c>
      <c r="T23" s="704" t="s">
        <v>18</v>
      </c>
      <c r="U23" s="705">
        <f>H23</f>
        <v>100</v>
      </c>
      <c r="V23" s="704" t="s">
        <v>18</v>
      </c>
      <c r="W23" s="705">
        <f>J23</f>
        <v>100</v>
      </c>
      <c r="X23" s="1354"/>
      <c r="Y23" s="365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55"/>
      <c r="Q24" s="1351"/>
      <c r="R24" s="704"/>
      <c r="S24" s="705"/>
      <c r="T24" s="704"/>
      <c r="U24" s="705"/>
      <c r="V24" s="704"/>
      <c r="W24" s="705"/>
      <c r="X24" s="1354"/>
      <c r="Y24" s="365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55"/>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5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55"/>
      <c r="Q26" s="1351" t="str">
        <f t="shared" si="11"/>
        <v>朝向</v>
      </c>
      <c r="R26" s="704" t="s">
        <v>18</v>
      </c>
      <c r="S26" s="705">
        <f t="shared" si="12"/>
        <v>100</v>
      </c>
      <c r="T26" s="704" t="s">
        <v>18</v>
      </c>
      <c r="U26" s="705">
        <f t="shared" si="13"/>
        <v>100</v>
      </c>
      <c r="V26" s="704" t="s">
        <v>18</v>
      </c>
      <c r="W26" s="705">
        <f t="shared" si="14"/>
        <v>100</v>
      </c>
      <c r="X26" s="1354"/>
      <c r="Y26" s="365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55"/>
      <c r="Q27" s="1342">
        <f t="shared" si="11"/>
        <v>111</v>
      </c>
      <c r="R27" s="700" t="s">
        <v>18</v>
      </c>
      <c r="S27" s="701">
        <f t="shared" si="12"/>
        <v>100</v>
      </c>
      <c r="T27" s="700" t="s">
        <v>18</v>
      </c>
      <c r="U27" s="701">
        <f t="shared" si="13"/>
        <v>100</v>
      </c>
      <c r="V27" s="700" t="s">
        <v>18</v>
      </c>
      <c r="W27" s="701">
        <f t="shared" si="14"/>
        <v>100</v>
      </c>
      <c r="X27" s="702"/>
      <c r="Y27" s="365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55"/>
      <c r="Q28" s="1351">
        <f t="shared" si="11"/>
        <v>111</v>
      </c>
      <c r="R28" s="704" t="s">
        <v>18</v>
      </c>
      <c r="S28" s="705">
        <f t="shared" si="12"/>
        <v>100</v>
      </c>
      <c r="T28" s="704" t="s">
        <v>18</v>
      </c>
      <c r="U28" s="705">
        <f t="shared" si="13"/>
        <v>100</v>
      </c>
      <c r="V28" s="704" t="s">
        <v>18</v>
      </c>
      <c r="W28" s="705">
        <f t="shared" si="14"/>
        <v>100</v>
      </c>
      <c r="X28" s="1354"/>
      <c r="Y28" s="365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55"/>
      <c r="Q29" s="1351">
        <f t="shared" si="11"/>
        <v>111</v>
      </c>
      <c r="R29" s="704" t="s">
        <v>18</v>
      </c>
      <c r="S29" s="705">
        <f t="shared" si="12"/>
        <v>100</v>
      </c>
      <c r="T29" s="704" t="s">
        <v>18</v>
      </c>
      <c r="U29" s="705">
        <f t="shared" si="13"/>
        <v>100</v>
      </c>
      <c r="V29" s="704" t="s">
        <v>18</v>
      </c>
      <c r="W29" s="705">
        <f t="shared" si="14"/>
        <v>100</v>
      </c>
      <c r="X29" s="1354"/>
      <c r="Y29" s="365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55"/>
      <c r="Q30" s="1351">
        <f t="shared" si="11"/>
        <v>111</v>
      </c>
      <c r="R30" s="704" t="s">
        <v>18</v>
      </c>
      <c r="S30" s="705">
        <f t="shared" si="12"/>
        <v>100</v>
      </c>
      <c r="T30" s="704" t="s">
        <v>18</v>
      </c>
      <c r="U30" s="705">
        <f t="shared" si="13"/>
        <v>100</v>
      </c>
      <c r="V30" s="704" t="s">
        <v>18</v>
      </c>
      <c r="W30" s="705">
        <f t="shared" si="14"/>
        <v>100</v>
      </c>
      <c r="X30" s="1354"/>
      <c r="Y30" s="365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55"/>
      <c r="Q31" s="1351">
        <f t="shared" si="11"/>
        <v>111</v>
      </c>
      <c r="R31" s="704" t="s">
        <v>18</v>
      </c>
      <c r="S31" s="705">
        <f t="shared" si="12"/>
        <v>100</v>
      </c>
      <c r="T31" s="704" t="s">
        <v>18</v>
      </c>
      <c r="U31" s="705">
        <f t="shared" si="13"/>
        <v>100</v>
      </c>
      <c r="V31" s="704" t="s">
        <v>18</v>
      </c>
      <c r="W31" s="705">
        <f t="shared" si="14"/>
        <v>100</v>
      </c>
      <c r="X31" s="1354"/>
      <c r="Y31" s="365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58" t="s">
        <v>1696</v>
      </c>
      <c r="Q32" s="1351" t="str">
        <f t="shared" si="11"/>
        <v>建筑类型</v>
      </c>
      <c r="R32" s="704" t="s">
        <v>18</v>
      </c>
      <c r="S32" s="705">
        <f t="shared" si="12"/>
        <v>100</v>
      </c>
      <c r="T32" s="704" t="s">
        <v>18</v>
      </c>
      <c r="U32" s="705">
        <f t="shared" si="13"/>
        <v>100</v>
      </c>
      <c r="V32" s="704" t="s">
        <v>18</v>
      </c>
      <c r="W32" s="705">
        <f t="shared" si="14"/>
        <v>100</v>
      </c>
      <c r="X32" s="1354"/>
      <c r="Y32" s="366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59"/>
      <c r="Q33" s="706" t="str">
        <f t="shared" si="11"/>
        <v>项目建筑规模</v>
      </c>
      <c r="R33" s="707" t="s">
        <v>18</v>
      </c>
      <c r="S33" s="708" t="e">
        <f t="shared" si="12"/>
        <v>#N/A</v>
      </c>
      <c r="T33" s="707" t="s">
        <v>18</v>
      </c>
      <c r="U33" s="708" t="e">
        <f t="shared" si="13"/>
        <v>#N/A</v>
      </c>
      <c r="V33" s="707" t="s">
        <v>18</v>
      </c>
      <c r="W33" s="708" t="e">
        <f t="shared" si="14"/>
        <v>#N/A</v>
      </c>
      <c r="X33" s="709"/>
      <c r="Y33" s="366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59"/>
      <c r="Q34" s="1351" t="str">
        <f t="shared" si="11"/>
        <v>建筑结构</v>
      </c>
      <c r="R34" s="704" t="s">
        <v>18</v>
      </c>
      <c r="S34" s="705">
        <f t="shared" si="12"/>
        <v>100</v>
      </c>
      <c r="T34" s="704" t="s">
        <v>18</v>
      </c>
      <c r="U34" s="705">
        <f t="shared" si="13"/>
        <v>100</v>
      </c>
      <c r="V34" s="704" t="s">
        <v>18</v>
      </c>
      <c r="W34" s="705">
        <f t="shared" si="14"/>
        <v>100</v>
      </c>
      <c r="X34" s="1354"/>
      <c r="Y34" s="366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59"/>
      <c r="Q35" s="1351" t="str">
        <f t="shared" si="11"/>
        <v>建筑品质</v>
      </c>
      <c r="R35" s="704" t="s">
        <v>18</v>
      </c>
      <c r="S35" s="705">
        <f t="shared" si="12"/>
        <v>100</v>
      </c>
      <c r="T35" s="704" t="s">
        <v>18</v>
      </c>
      <c r="U35" s="705">
        <f t="shared" si="13"/>
        <v>100</v>
      </c>
      <c r="V35" s="704" t="s">
        <v>18</v>
      </c>
      <c r="W35" s="705">
        <f t="shared" si="14"/>
        <v>100</v>
      </c>
      <c r="X35" s="1354"/>
      <c r="Y35" s="366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59"/>
      <c r="Q36" s="1351" t="str">
        <f t="shared" si="11"/>
        <v>公共部分装修</v>
      </c>
      <c r="R36" s="704" t="s">
        <v>18</v>
      </c>
      <c r="S36" s="705">
        <f t="shared" si="12"/>
        <v>100</v>
      </c>
      <c r="T36" s="704" t="s">
        <v>18</v>
      </c>
      <c r="U36" s="705">
        <f t="shared" si="13"/>
        <v>100</v>
      </c>
      <c r="V36" s="704" t="s">
        <v>18</v>
      </c>
      <c r="W36" s="705">
        <f t="shared" si="14"/>
        <v>100</v>
      </c>
      <c r="X36" s="1354"/>
      <c r="Y36" s="366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59"/>
      <c r="Q37" s="1342" t="str">
        <f t="shared" si="11"/>
        <v>成新度</v>
      </c>
      <c r="R37" s="700" t="s">
        <v>18</v>
      </c>
      <c r="S37" s="701" t="e">
        <f t="shared" si="12"/>
        <v>#N/A</v>
      </c>
      <c r="T37" s="700" t="s">
        <v>18</v>
      </c>
      <c r="U37" s="701" t="e">
        <f t="shared" si="13"/>
        <v>#N/A</v>
      </c>
      <c r="V37" s="700" t="s">
        <v>18</v>
      </c>
      <c r="W37" s="701" t="e">
        <f t="shared" si="14"/>
        <v>#N/A</v>
      </c>
      <c r="X37" s="702"/>
      <c r="Y37" s="366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59" t="s">
        <v>1696</v>
      </c>
      <c r="Q38" s="1351" t="str">
        <f t="shared" si="11"/>
        <v>物业管理</v>
      </c>
      <c r="R38" s="704" t="s">
        <v>18</v>
      </c>
      <c r="S38" s="705">
        <f t="shared" si="12"/>
        <v>100</v>
      </c>
      <c r="T38" s="704" t="s">
        <v>18</v>
      </c>
      <c r="U38" s="705">
        <f t="shared" si="13"/>
        <v>100</v>
      </c>
      <c r="V38" s="704" t="s">
        <v>18</v>
      </c>
      <c r="W38" s="705">
        <f t="shared" si="14"/>
        <v>100</v>
      </c>
      <c r="X38" s="1354"/>
      <c r="Y38" s="366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59"/>
      <c r="Q39" s="1351" t="str">
        <f t="shared" si="11"/>
        <v>市政基础设施</v>
      </c>
      <c r="R39" s="704" t="s">
        <v>18</v>
      </c>
      <c r="S39" s="705">
        <f t="shared" si="12"/>
        <v>100</v>
      </c>
      <c r="T39" s="704" t="s">
        <v>18</v>
      </c>
      <c r="U39" s="705">
        <f t="shared" si="13"/>
        <v>100</v>
      </c>
      <c r="V39" s="704" t="s">
        <v>18</v>
      </c>
      <c r="W39" s="705">
        <f t="shared" si="14"/>
        <v>100</v>
      </c>
      <c r="X39" s="1354"/>
      <c r="Y39" s="366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59"/>
      <c r="Q40" s="1351" t="str">
        <f t="shared" si="11"/>
        <v>房型</v>
      </c>
      <c r="R40" s="704" t="s">
        <v>18</v>
      </c>
      <c r="S40" s="705">
        <f t="shared" si="12"/>
        <v>100</v>
      </c>
      <c r="T40" s="704" t="s">
        <v>18</v>
      </c>
      <c r="U40" s="705">
        <f t="shared" si="13"/>
        <v>100</v>
      </c>
      <c r="V40" s="704" t="s">
        <v>18</v>
      </c>
      <c r="W40" s="705">
        <f t="shared" si="14"/>
        <v>100</v>
      </c>
      <c r="X40" s="1354"/>
      <c r="Y40" s="366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59"/>
      <c r="Q41" s="706" t="str">
        <f t="shared" si="11"/>
        <v>单套/主力户型建筑面积</v>
      </c>
      <c r="R41" s="707" t="s">
        <v>18</v>
      </c>
      <c r="S41" s="708">
        <f t="shared" si="12"/>
        <v>100</v>
      </c>
      <c r="T41" s="707" t="s">
        <v>18</v>
      </c>
      <c r="U41" s="708">
        <f t="shared" si="13"/>
        <v>100</v>
      </c>
      <c r="V41" s="707" t="s">
        <v>18</v>
      </c>
      <c r="W41" s="708">
        <f t="shared" si="14"/>
        <v>100</v>
      </c>
      <c r="X41" s="709"/>
      <c r="Y41" s="366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59"/>
      <c r="Q42" s="1351" t="str">
        <f t="shared" si="11"/>
        <v>内部装修</v>
      </c>
      <c r="R42" s="704" t="s">
        <v>18</v>
      </c>
      <c r="S42" s="705">
        <f t="shared" si="12"/>
        <v>100</v>
      </c>
      <c r="T42" s="704" t="s">
        <v>18</v>
      </c>
      <c r="U42" s="705">
        <f t="shared" si="13"/>
        <v>100</v>
      </c>
      <c r="V42" s="704" t="s">
        <v>18</v>
      </c>
      <c r="W42" s="705">
        <f t="shared" si="14"/>
        <v>100</v>
      </c>
      <c r="X42" s="1354"/>
      <c r="Y42" s="366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59"/>
      <c r="Q43" s="1351" t="str">
        <f t="shared" si="11"/>
        <v>内部装修维护情况</v>
      </c>
      <c r="R43" s="704" t="s">
        <v>18</v>
      </c>
      <c r="S43" s="705">
        <f t="shared" si="12"/>
        <v>100</v>
      </c>
      <c r="T43" s="704" t="s">
        <v>18</v>
      </c>
      <c r="U43" s="705">
        <f t="shared" si="13"/>
        <v>100</v>
      </c>
      <c r="V43" s="704" t="s">
        <v>18</v>
      </c>
      <c r="W43" s="705">
        <f t="shared" si="14"/>
        <v>100</v>
      </c>
      <c r="X43" s="1354"/>
      <c r="Y43" s="366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59"/>
      <c r="Q44" s="1342">
        <f t="shared" si="11"/>
        <v>111</v>
      </c>
      <c r="R44" s="700" t="s">
        <v>18</v>
      </c>
      <c r="S44" s="701">
        <f t="shared" si="12"/>
        <v>100</v>
      </c>
      <c r="T44" s="700" t="s">
        <v>18</v>
      </c>
      <c r="U44" s="701">
        <f t="shared" si="13"/>
        <v>100</v>
      </c>
      <c r="V44" s="700" t="s">
        <v>18</v>
      </c>
      <c r="W44" s="701">
        <f t="shared" si="14"/>
        <v>100</v>
      </c>
      <c r="X44" s="702"/>
      <c r="Y44" s="366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59"/>
      <c r="Q45" s="1351">
        <f t="shared" si="11"/>
        <v>111</v>
      </c>
      <c r="R45" s="704" t="s">
        <v>18</v>
      </c>
      <c r="S45" s="705">
        <f t="shared" si="12"/>
        <v>100</v>
      </c>
      <c r="T45" s="704" t="s">
        <v>18</v>
      </c>
      <c r="U45" s="705">
        <f t="shared" si="13"/>
        <v>100</v>
      </c>
      <c r="V45" s="704" t="s">
        <v>18</v>
      </c>
      <c r="W45" s="705">
        <f t="shared" si="14"/>
        <v>100</v>
      </c>
      <c r="X45" s="1354"/>
      <c r="Y45" s="366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60"/>
      <c r="Q46" s="1351">
        <f t="shared" si="11"/>
        <v>111</v>
      </c>
      <c r="R46" s="704" t="s">
        <v>17</v>
      </c>
      <c r="S46" s="705">
        <f t="shared" si="12"/>
        <v>100</v>
      </c>
      <c r="T46" s="704" t="s">
        <v>17</v>
      </c>
      <c r="U46" s="705">
        <f t="shared" si="13"/>
        <v>100</v>
      </c>
      <c r="V46" s="704" t="s">
        <v>17</v>
      </c>
      <c r="W46" s="705">
        <f t="shared" si="14"/>
        <v>100</v>
      </c>
      <c r="X46" s="1354"/>
      <c r="Y46" s="366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49" t="str">
        <f>A47</f>
        <v>成交单价（元/平方米）</v>
      </c>
      <c r="Q47" s="3649"/>
      <c r="R47" s="3650">
        <f>E47</f>
        <v>0</v>
      </c>
      <c r="S47" s="3650"/>
      <c r="T47" s="3650">
        <f>G47</f>
        <v>0</v>
      </c>
      <c r="U47" s="3650"/>
      <c r="V47" s="3650">
        <f>I47</f>
        <v>0</v>
      </c>
      <c r="W47" s="3650"/>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51" t="str">
        <f>A49</f>
        <v>估价对象XX用房的比较价值（楼面单价，元/平方米）</v>
      </c>
      <c r="Q49" s="3652"/>
      <c r="R49" s="3653" t="e">
        <f>IF(F1="售价",ROUND(IF(D48="简单平均",AVERAGE(R48:V48),R48*F48+T48*H48+V48*J48),0),ROUND(IF(D48="简单平均",AVERAGE(R48:V48),R48*F48+T48*H48+V48*J48),1))</f>
        <v>#DIV/0!</v>
      </c>
      <c r="S49" s="3653"/>
      <c r="T49" s="3653"/>
      <c r="U49" s="3653"/>
      <c r="V49" s="3653"/>
      <c r="W49" s="365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71700.22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722" t="s">
        <v>1775</v>
      </c>
      <c r="Q4" s="3723"/>
      <c r="R4" s="3726" t="s">
        <v>1771</v>
      </c>
      <c r="S4" s="3727"/>
      <c r="T4" s="3726" t="s">
        <v>1772</v>
      </c>
      <c r="U4" s="3727"/>
      <c r="V4" s="3728" t="s">
        <v>1773</v>
      </c>
      <c r="W4" s="3728"/>
      <c r="X4" s="1957"/>
      <c r="Y4" s="3726" t="s">
        <v>1775</v>
      </c>
      <c r="Z4" s="3727"/>
      <c r="AA4" s="3730" t="s">
        <v>1771</v>
      </c>
      <c r="AB4" s="3730" t="s">
        <v>1772</v>
      </c>
      <c r="AC4" s="3719" t="s">
        <v>1773</v>
      </c>
    </row>
    <row r="5" spans="1:29" ht="15">
      <c r="A5" s="358"/>
      <c r="B5" s="359"/>
      <c r="C5" s="3686" t="s">
        <v>1673</v>
      </c>
      <c r="D5" s="3687"/>
      <c r="E5" s="3693" t="s">
        <v>1674</v>
      </c>
      <c r="F5" s="3694"/>
      <c r="G5" s="3686" t="s">
        <v>1675</v>
      </c>
      <c r="H5" s="3687"/>
      <c r="I5" s="3686" t="s">
        <v>1676</v>
      </c>
      <c r="J5" s="3687"/>
      <c r="K5" s="559"/>
      <c r="L5" s="2714"/>
      <c r="M5" s="2715"/>
      <c r="N5" s="2715"/>
      <c r="O5" s="2715"/>
      <c r="P5" s="3724"/>
      <c r="Q5" s="3675"/>
      <c r="R5" s="3680"/>
      <c r="S5" s="3681"/>
      <c r="T5" s="3680"/>
      <c r="U5" s="3681"/>
      <c r="V5" s="3663"/>
      <c r="W5" s="3663"/>
      <c r="X5" s="1354"/>
      <c r="Y5" s="3680"/>
      <c r="Z5" s="3681"/>
      <c r="AA5" s="3666"/>
      <c r="AB5" s="3666"/>
      <c r="AC5" s="3720"/>
    </row>
    <row r="6" spans="1:29" ht="15.75" thickBot="1">
      <c r="A6" s="360"/>
      <c r="B6" s="361"/>
      <c r="C6" s="3684" t="s">
        <v>1677</v>
      </c>
      <c r="D6" s="3685"/>
      <c r="E6" s="3691" t="s">
        <v>1677</v>
      </c>
      <c r="F6" s="3692"/>
      <c r="G6" s="3684" t="s">
        <v>1677</v>
      </c>
      <c r="H6" s="3685"/>
      <c r="I6" s="3684" t="s">
        <v>1677</v>
      </c>
      <c r="J6" s="3685"/>
      <c r="K6" s="559" t="s">
        <v>1678</v>
      </c>
      <c r="L6" s="2714"/>
      <c r="M6" s="2715"/>
      <c r="N6" s="2715"/>
      <c r="O6" s="2715"/>
      <c r="P6" s="3725"/>
      <c r="Q6" s="3677"/>
      <c r="R6" s="3680"/>
      <c r="S6" s="3681"/>
      <c r="T6" s="3682"/>
      <c r="U6" s="3683"/>
      <c r="V6" s="3663"/>
      <c r="W6" s="3663"/>
      <c r="X6" s="1354"/>
      <c r="Y6" s="3682"/>
      <c r="Z6" s="3683"/>
      <c r="AA6" s="3667"/>
      <c r="AB6" s="3667"/>
      <c r="AC6" s="3721"/>
    </row>
    <row r="7" spans="1:29" s="108" customFormat="1" ht="15.75" thickBot="1">
      <c r="A7" s="362" t="s">
        <v>1679</v>
      </c>
      <c r="B7" s="363"/>
      <c r="C7" s="364">
        <f>'数据-取费表'!B2</f>
        <v>45429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9" t="s">
        <v>1680</v>
      </c>
      <c r="Q7" s="3690"/>
      <c r="R7" s="700" t="s">
        <v>14</v>
      </c>
      <c r="S7" s="701">
        <f t="shared" ref="S7:S15" si="0">F7</f>
        <v>0</v>
      </c>
      <c r="T7" s="700" t="s">
        <v>14</v>
      </c>
      <c r="U7" s="701">
        <f t="shared" ref="U7:U15" si="1">H7</f>
        <v>0</v>
      </c>
      <c r="V7" s="700" t="s">
        <v>14</v>
      </c>
      <c r="W7" s="701">
        <f t="shared" ref="W7:W15" si="2">J7</f>
        <v>0</v>
      </c>
      <c r="X7" s="702"/>
      <c r="Y7" s="3688" t="s">
        <v>1680</v>
      </c>
      <c r="Z7" s="3689"/>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9" t="s">
        <v>1683</v>
      </c>
      <c r="Q8" s="3689"/>
      <c r="R8" s="700" t="s">
        <v>14</v>
      </c>
      <c r="S8" s="701">
        <f t="shared" si="0"/>
        <v>100</v>
      </c>
      <c r="T8" s="700" t="s">
        <v>14</v>
      </c>
      <c r="U8" s="701">
        <f t="shared" si="1"/>
        <v>100</v>
      </c>
      <c r="V8" s="700" t="s">
        <v>14</v>
      </c>
      <c r="W8" s="701">
        <f t="shared" si="2"/>
        <v>100</v>
      </c>
      <c r="X8" s="702"/>
      <c r="Y8" s="3688" t="s">
        <v>1683</v>
      </c>
      <c r="Z8" s="3689"/>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4"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4"/>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4"/>
      <c r="Q11" s="1342" t="str">
        <f t="shared" si="6"/>
        <v>容积率</v>
      </c>
      <c r="R11" s="700" t="s">
        <v>14</v>
      </c>
      <c r="S11" s="701">
        <f t="shared" si="0"/>
        <v>100</v>
      </c>
      <c r="T11" s="700" t="s">
        <v>14</v>
      </c>
      <c r="U11" s="701">
        <f t="shared" si="1"/>
        <v>100</v>
      </c>
      <c r="V11" s="700" t="s">
        <v>14</v>
      </c>
      <c r="W11" s="701">
        <f t="shared" si="2"/>
        <v>100</v>
      </c>
      <c r="X11" s="702"/>
      <c r="Y11" s="354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4"/>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4"/>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64"/>
      <c r="Q14" s="1342">
        <f t="shared" si="6"/>
        <v>111</v>
      </c>
      <c r="R14" s="700" t="s">
        <v>14</v>
      </c>
      <c r="S14" s="701">
        <f t="shared" si="0"/>
        <v>100</v>
      </c>
      <c r="T14" s="700" t="s">
        <v>14</v>
      </c>
      <c r="U14" s="701">
        <f t="shared" si="1"/>
        <v>100</v>
      </c>
      <c r="V14" s="700" t="s">
        <v>14</v>
      </c>
      <c r="W14" s="701">
        <f t="shared" si="2"/>
        <v>100</v>
      </c>
      <c r="X14" s="702"/>
      <c r="Y14" s="3548"/>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54" t="s">
        <v>1691</v>
      </c>
      <c r="Q15" s="1351" t="str">
        <f t="shared" si="6"/>
        <v>办公集聚程度</v>
      </c>
      <c r="R15" s="704" t="s">
        <v>14</v>
      </c>
      <c r="S15" s="705">
        <f t="shared" si="0"/>
        <v>100</v>
      </c>
      <c r="T15" s="704" t="s">
        <v>14</v>
      </c>
      <c r="U15" s="705">
        <f t="shared" si="1"/>
        <v>100</v>
      </c>
      <c r="V15" s="704" t="s">
        <v>14</v>
      </c>
      <c r="W15" s="705">
        <f t="shared" si="2"/>
        <v>100</v>
      </c>
      <c r="X15" s="1354"/>
      <c r="Y15" s="3656"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55"/>
      <c r="Q16" s="1351"/>
      <c r="R16" s="704"/>
      <c r="S16" s="705"/>
      <c r="T16" s="704"/>
      <c r="U16" s="705"/>
      <c r="V16" s="704"/>
      <c r="W16" s="705"/>
      <c r="X16" s="1354"/>
      <c r="Y16" s="3657"/>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55"/>
      <c r="Q17" s="1351" t="str">
        <f>B17</f>
        <v>交通便捷度</v>
      </c>
      <c r="R17" s="704" t="s">
        <v>14</v>
      </c>
      <c r="S17" s="705">
        <f>F17</f>
        <v>100</v>
      </c>
      <c r="T17" s="704" t="s">
        <v>14</v>
      </c>
      <c r="U17" s="705">
        <f>H17</f>
        <v>100</v>
      </c>
      <c r="V17" s="704" t="s">
        <v>14</v>
      </c>
      <c r="W17" s="705">
        <f>J17</f>
        <v>100</v>
      </c>
      <c r="X17" s="1354"/>
      <c r="Y17" s="3657"/>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55"/>
      <c r="Q18" s="1351"/>
      <c r="R18" s="704"/>
      <c r="S18" s="705"/>
      <c r="T18" s="704"/>
      <c r="U18" s="705"/>
      <c r="V18" s="704"/>
      <c r="W18" s="705"/>
      <c r="X18" s="1354"/>
      <c r="Y18" s="3657"/>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55"/>
      <c r="Q19" s="1351" t="str">
        <f>B19</f>
        <v>公共配套设施</v>
      </c>
      <c r="R19" s="704" t="s">
        <v>14</v>
      </c>
      <c r="S19" s="705">
        <f>F19</f>
        <v>100</v>
      </c>
      <c r="T19" s="704" t="s">
        <v>14</v>
      </c>
      <c r="U19" s="705">
        <f>H19</f>
        <v>100</v>
      </c>
      <c r="V19" s="704" t="s">
        <v>14</v>
      </c>
      <c r="W19" s="705">
        <f>J19</f>
        <v>100</v>
      </c>
      <c r="X19" s="1354"/>
      <c r="Y19" s="3657"/>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55"/>
      <c r="Q20" s="1351"/>
      <c r="R20" s="704"/>
      <c r="S20" s="705"/>
      <c r="T20" s="704"/>
      <c r="U20" s="705"/>
      <c r="V20" s="704"/>
      <c r="W20" s="705"/>
      <c r="X20" s="1354"/>
      <c r="Y20" s="3657"/>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55"/>
      <c r="Q21" s="1351" t="str">
        <f>B21</f>
        <v>基础设施水平</v>
      </c>
      <c r="R21" s="704" t="s">
        <v>14</v>
      </c>
      <c r="S21" s="705">
        <f>F21</f>
        <v>100</v>
      </c>
      <c r="T21" s="704" t="s">
        <v>14</v>
      </c>
      <c r="U21" s="705">
        <f>H21</f>
        <v>100</v>
      </c>
      <c r="V21" s="704" t="s">
        <v>14</v>
      </c>
      <c r="W21" s="705">
        <f>J21</f>
        <v>100</v>
      </c>
      <c r="X21" s="1354"/>
      <c r="Y21" s="3657"/>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55"/>
      <c r="Q22" s="1351"/>
      <c r="R22" s="704"/>
      <c r="S22" s="705"/>
      <c r="T22" s="704"/>
      <c r="U22" s="705"/>
      <c r="V22" s="704"/>
      <c r="W22" s="705"/>
      <c r="X22" s="1354"/>
      <c r="Y22" s="3657"/>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55"/>
      <c r="Q23" s="1351" t="str">
        <f>B23</f>
        <v>环境质量</v>
      </c>
      <c r="R23" s="704" t="s">
        <v>14</v>
      </c>
      <c r="S23" s="705">
        <f>F23</f>
        <v>100</v>
      </c>
      <c r="T23" s="704" t="s">
        <v>14</v>
      </c>
      <c r="U23" s="705">
        <f>H23</f>
        <v>100</v>
      </c>
      <c r="V23" s="704" t="s">
        <v>14</v>
      </c>
      <c r="W23" s="705">
        <f>J23</f>
        <v>100</v>
      </c>
      <c r="X23" s="1354"/>
      <c r="Y23" s="3657"/>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55"/>
      <c r="Q24" s="1351"/>
      <c r="R24" s="704"/>
      <c r="S24" s="705"/>
      <c r="T24" s="704"/>
      <c r="U24" s="705"/>
      <c r="V24" s="704"/>
      <c r="W24" s="705"/>
      <c r="X24" s="1354"/>
      <c r="Y24" s="3657"/>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55"/>
      <c r="Q25" s="1351" t="str">
        <f>B25</f>
        <v>毗邻道路的类型与等级</v>
      </c>
      <c r="R25" s="704" t="s">
        <v>14</v>
      </c>
      <c r="S25" s="705">
        <f>F25</f>
        <v>100</v>
      </c>
      <c r="T25" s="704" t="s">
        <v>14</v>
      </c>
      <c r="U25" s="705">
        <f>H25</f>
        <v>100</v>
      </c>
      <c r="V25" s="704" t="s">
        <v>14</v>
      </c>
      <c r="W25" s="705">
        <f>J25</f>
        <v>100</v>
      </c>
      <c r="X25" s="1354"/>
      <c r="Y25" s="3657"/>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55"/>
      <c r="Q26" s="1351"/>
      <c r="R26" s="704"/>
      <c r="S26" s="705"/>
      <c r="T26" s="704"/>
      <c r="U26" s="705"/>
      <c r="V26" s="704"/>
      <c r="W26" s="705"/>
      <c r="X26" s="1354"/>
      <c r="Y26" s="3657"/>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55"/>
      <c r="Q27" s="1351" t="str">
        <f t="shared" ref="Q27:Q47" si="11">B27</f>
        <v>楼层</v>
      </c>
      <c r="R27" s="704" t="s">
        <v>14</v>
      </c>
      <c r="S27" s="705">
        <f>F27</f>
        <v>100</v>
      </c>
      <c r="T27" s="704" t="s">
        <v>14</v>
      </c>
      <c r="U27" s="705">
        <f>H27</f>
        <v>100</v>
      </c>
      <c r="V27" s="704" t="s">
        <v>14</v>
      </c>
      <c r="W27" s="705">
        <f>J27</f>
        <v>100</v>
      </c>
      <c r="X27" s="1354"/>
      <c r="Y27" s="3657"/>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55"/>
      <c r="Q28" s="1342" t="str">
        <f t="shared" si="11"/>
        <v>朝向</v>
      </c>
      <c r="R28" s="700" t="s">
        <v>14</v>
      </c>
      <c r="S28" s="701">
        <f>F28</f>
        <v>100</v>
      </c>
      <c r="T28" s="700" t="s">
        <v>14</v>
      </c>
      <c r="U28" s="701">
        <f>H28</f>
        <v>100</v>
      </c>
      <c r="V28" s="700" t="s">
        <v>14</v>
      </c>
      <c r="W28" s="701">
        <f>J28</f>
        <v>100</v>
      </c>
      <c r="X28" s="702"/>
      <c r="Y28" s="365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55"/>
      <c r="Q29" s="1351">
        <f t="shared" si="11"/>
        <v>111</v>
      </c>
      <c r="R29" s="704" t="s">
        <v>14</v>
      </c>
      <c r="S29" s="705">
        <f t="shared" ref="S29:S47" si="12">F29</f>
        <v>100</v>
      </c>
      <c r="T29" s="704" t="s">
        <v>14</v>
      </c>
      <c r="U29" s="705">
        <f t="shared" ref="U29:U47" si="13">H29</f>
        <v>100</v>
      </c>
      <c r="V29" s="704" t="s">
        <v>14</v>
      </c>
      <c r="W29" s="705">
        <f t="shared" ref="W29:W47" si="14">J29</f>
        <v>100</v>
      </c>
      <c r="X29" s="1354"/>
      <c r="Y29" s="365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55"/>
      <c r="Q30" s="1351">
        <f t="shared" si="11"/>
        <v>111</v>
      </c>
      <c r="R30" s="704" t="s">
        <v>14</v>
      </c>
      <c r="S30" s="705">
        <f t="shared" si="12"/>
        <v>100</v>
      </c>
      <c r="T30" s="704" t="s">
        <v>14</v>
      </c>
      <c r="U30" s="705">
        <f t="shared" si="13"/>
        <v>100</v>
      </c>
      <c r="V30" s="704" t="s">
        <v>14</v>
      </c>
      <c r="W30" s="705">
        <f t="shared" si="14"/>
        <v>100</v>
      </c>
      <c r="X30" s="1354"/>
      <c r="Y30" s="365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55"/>
      <c r="Q31" s="1351">
        <f t="shared" si="11"/>
        <v>111</v>
      </c>
      <c r="R31" s="704" t="s">
        <v>14</v>
      </c>
      <c r="S31" s="705">
        <f t="shared" si="12"/>
        <v>100</v>
      </c>
      <c r="T31" s="704" t="s">
        <v>14</v>
      </c>
      <c r="U31" s="705">
        <f t="shared" si="13"/>
        <v>100</v>
      </c>
      <c r="V31" s="704" t="s">
        <v>14</v>
      </c>
      <c r="W31" s="705">
        <f t="shared" si="14"/>
        <v>100</v>
      </c>
      <c r="X31" s="1354"/>
      <c r="Y31" s="3657"/>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55"/>
      <c r="Q32" s="1351">
        <f t="shared" si="11"/>
        <v>111</v>
      </c>
      <c r="R32" s="704" t="s">
        <v>14</v>
      </c>
      <c r="S32" s="705">
        <f t="shared" si="12"/>
        <v>100</v>
      </c>
      <c r="T32" s="704" t="s">
        <v>14</v>
      </c>
      <c r="U32" s="705">
        <f t="shared" si="13"/>
        <v>100</v>
      </c>
      <c r="V32" s="704" t="s">
        <v>14</v>
      </c>
      <c r="W32" s="705">
        <f t="shared" si="14"/>
        <v>100</v>
      </c>
      <c r="X32" s="1354"/>
      <c r="Y32" s="365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58" t="s">
        <v>1696</v>
      </c>
      <c r="Q33" s="1351" t="str">
        <f t="shared" si="11"/>
        <v>建筑类型</v>
      </c>
      <c r="R33" s="704" t="s">
        <v>14</v>
      </c>
      <c r="S33" s="705">
        <f t="shared" si="12"/>
        <v>100</v>
      </c>
      <c r="T33" s="704" t="s">
        <v>14</v>
      </c>
      <c r="U33" s="705">
        <f t="shared" si="13"/>
        <v>100</v>
      </c>
      <c r="V33" s="704" t="s">
        <v>14</v>
      </c>
      <c r="W33" s="705">
        <f t="shared" si="14"/>
        <v>100</v>
      </c>
      <c r="X33" s="1354"/>
      <c r="Y33" s="366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59"/>
      <c r="Q34" s="706" t="str">
        <f t="shared" si="11"/>
        <v>项目建筑规模</v>
      </c>
      <c r="R34" s="707" t="s">
        <v>14</v>
      </c>
      <c r="S34" s="708" t="e">
        <f t="shared" si="12"/>
        <v>#N/A</v>
      </c>
      <c r="T34" s="707" t="s">
        <v>14</v>
      </c>
      <c r="U34" s="708" t="e">
        <f t="shared" si="13"/>
        <v>#N/A</v>
      </c>
      <c r="V34" s="707" t="s">
        <v>14</v>
      </c>
      <c r="W34" s="708" t="e">
        <f t="shared" si="14"/>
        <v>#N/A</v>
      </c>
      <c r="X34" s="709"/>
      <c r="Y34" s="3661"/>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59"/>
      <c r="Q35" s="1351" t="str">
        <f t="shared" si="11"/>
        <v>建筑结构</v>
      </c>
      <c r="R35" s="704" t="s">
        <v>14</v>
      </c>
      <c r="S35" s="705">
        <f t="shared" si="12"/>
        <v>100</v>
      </c>
      <c r="T35" s="704" t="s">
        <v>14</v>
      </c>
      <c r="U35" s="705">
        <f t="shared" si="13"/>
        <v>100</v>
      </c>
      <c r="V35" s="704" t="s">
        <v>14</v>
      </c>
      <c r="W35" s="705">
        <f t="shared" si="14"/>
        <v>100</v>
      </c>
      <c r="X35" s="1354"/>
      <c r="Y35" s="366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59"/>
      <c r="Q36" s="1351" t="str">
        <f t="shared" si="11"/>
        <v>公共部分装修</v>
      </c>
      <c r="R36" s="704" t="s">
        <v>14</v>
      </c>
      <c r="S36" s="705">
        <f t="shared" si="12"/>
        <v>100</v>
      </c>
      <c r="T36" s="704" t="s">
        <v>14</v>
      </c>
      <c r="U36" s="705">
        <f t="shared" si="13"/>
        <v>100</v>
      </c>
      <c r="V36" s="704" t="s">
        <v>14</v>
      </c>
      <c r="W36" s="705">
        <f t="shared" si="14"/>
        <v>100</v>
      </c>
      <c r="X36" s="1354"/>
      <c r="Y36" s="366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59"/>
      <c r="Q37" s="1351" t="str">
        <f t="shared" si="11"/>
        <v>成新度</v>
      </c>
      <c r="R37" s="704" t="s">
        <v>14</v>
      </c>
      <c r="S37" s="705" t="e">
        <f t="shared" si="12"/>
        <v>#N/A</v>
      </c>
      <c r="T37" s="704" t="s">
        <v>14</v>
      </c>
      <c r="U37" s="705" t="e">
        <f t="shared" si="13"/>
        <v>#N/A</v>
      </c>
      <c r="V37" s="704" t="s">
        <v>14</v>
      </c>
      <c r="W37" s="705" t="e">
        <f t="shared" si="14"/>
        <v>#N/A</v>
      </c>
      <c r="X37" s="1354"/>
      <c r="Y37" s="366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59"/>
      <c r="Q38" s="1342" t="str">
        <f t="shared" si="11"/>
        <v>写字楼等级</v>
      </c>
      <c r="R38" s="700" t="s">
        <v>14</v>
      </c>
      <c r="S38" s="701">
        <f t="shared" si="12"/>
        <v>100</v>
      </c>
      <c r="T38" s="700" t="s">
        <v>14</v>
      </c>
      <c r="U38" s="701">
        <f t="shared" si="13"/>
        <v>100</v>
      </c>
      <c r="V38" s="700" t="s">
        <v>14</v>
      </c>
      <c r="W38" s="701">
        <f t="shared" si="14"/>
        <v>100</v>
      </c>
      <c r="X38" s="702"/>
      <c r="Y38" s="3661"/>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59" t="s">
        <v>1696</v>
      </c>
      <c r="Q39" s="1351" t="str">
        <f t="shared" si="11"/>
        <v>物业管理</v>
      </c>
      <c r="R39" s="704" t="s">
        <v>14</v>
      </c>
      <c r="S39" s="705">
        <f t="shared" si="12"/>
        <v>100</v>
      </c>
      <c r="T39" s="704" t="s">
        <v>14</v>
      </c>
      <c r="U39" s="705">
        <f t="shared" si="13"/>
        <v>100</v>
      </c>
      <c r="V39" s="704" t="s">
        <v>14</v>
      </c>
      <c r="W39" s="705">
        <f t="shared" si="14"/>
        <v>100</v>
      </c>
      <c r="X39" s="1354"/>
      <c r="Y39" s="366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59"/>
      <c r="Q40" s="1351" t="str">
        <f t="shared" si="11"/>
        <v>市政基础设施</v>
      </c>
      <c r="R40" s="704" t="s">
        <v>14</v>
      </c>
      <c r="S40" s="705">
        <f t="shared" si="12"/>
        <v>100</v>
      </c>
      <c r="T40" s="704" t="s">
        <v>14</v>
      </c>
      <c r="U40" s="705">
        <f t="shared" si="13"/>
        <v>100</v>
      </c>
      <c r="V40" s="704" t="s">
        <v>14</v>
      </c>
      <c r="W40" s="705">
        <f t="shared" si="14"/>
        <v>100</v>
      </c>
      <c r="X40" s="1354"/>
      <c r="Y40" s="366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59"/>
      <c r="Q41" s="1351" t="str">
        <f t="shared" si="11"/>
        <v>层高</v>
      </c>
      <c r="R41" s="704" t="s">
        <v>14</v>
      </c>
      <c r="S41" s="705">
        <f t="shared" si="12"/>
        <v>100</v>
      </c>
      <c r="T41" s="704" t="s">
        <v>14</v>
      </c>
      <c r="U41" s="705">
        <f t="shared" si="13"/>
        <v>100</v>
      </c>
      <c r="V41" s="704" t="s">
        <v>14</v>
      </c>
      <c r="W41" s="705">
        <f t="shared" si="14"/>
        <v>100</v>
      </c>
      <c r="X41" s="1354"/>
      <c r="Y41" s="366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59"/>
      <c r="Q42" s="706" t="str">
        <f t="shared" si="11"/>
        <v>单套建筑面积</v>
      </c>
      <c r="R42" s="707" t="s">
        <v>14</v>
      </c>
      <c r="S42" s="708">
        <f t="shared" si="12"/>
        <v>100</v>
      </c>
      <c r="T42" s="707" t="s">
        <v>14</v>
      </c>
      <c r="U42" s="708">
        <f t="shared" si="13"/>
        <v>100</v>
      </c>
      <c r="V42" s="707" t="s">
        <v>14</v>
      </c>
      <c r="W42" s="708">
        <f t="shared" si="14"/>
        <v>100</v>
      </c>
      <c r="X42" s="709"/>
      <c r="Y42" s="3661"/>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59"/>
      <c r="Q43" s="1351" t="str">
        <f t="shared" si="11"/>
        <v>内部装修</v>
      </c>
      <c r="R43" s="704" t="s">
        <v>14</v>
      </c>
      <c r="S43" s="705">
        <f t="shared" si="12"/>
        <v>100</v>
      </c>
      <c r="T43" s="704" t="s">
        <v>14</v>
      </c>
      <c r="U43" s="705">
        <f t="shared" si="13"/>
        <v>100</v>
      </c>
      <c r="V43" s="704" t="s">
        <v>14</v>
      </c>
      <c r="W43" s="705">
        <f t="shared" si="14"/>
        <v>100</v>
      </c>
      <c r="X43" s="1354"/>
      <c r="Y43" s="366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59"/>
      <c r="Q44" s="1351" t="str">
        <f t="shared" si="11"/>
        <v>内部装修维护情况</v>
      </c>
      <c r="R44" s="704" t="s">
        <v>14</v>
      </c>
      <c r="S44" s="705">
        <f t="shared" si="12"/>
        <v>100</v>
      </c>
      <c r="T44" s="704" t="s">
        <v>14</v>
      </c>
      <c r="U44" s="705">
        <f t="shared" si="13"/>
        <v>100</v>
      </c>
      <c r="V44" s="704" t="s">
        <v>14</v>
      </c>
      <c r="W44" s="705">
        <f t="shared" si="14"/>
        <v>100</v>
      </c>
      <c r="X44" s="1354"/>
      <c r="Y44" s="366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9"/>
      <c r="Q45" s="1342">
        <f t="shared" si="11"/>
        <v>111</v>
      </c>
      <c r="R45" s="700" t="s">
        <v>14</v>
      </c>
      <c r="S45" s="701">
        <f t="shared" si="12"/>
        <v>100</v>
      </c>
      <c r="T45" s="700" t="s">
        <v>14</v>
      </c>
      <c r="U45" s="701">
        <f t="shared" si="13"/>
        <v>100</v>
      </c>
      <c r="V45" s="700" t="s">
        <v>14</v>
      </c>
      <c r="W45" s="701">
        <f t="shared" si="14"/>
        <v>100</v>
      </c>
      <c r="X45" s="702"/>
      <c r="Y45" s="3661"/>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9"/>
      <c r="Q46" s="1351">
        <f t="shared" si="11"/>
        <v>111</v>
      </c>
      <c r="R46" s="704" t="s">
        <v>14</v>
      </c>
      <c r="S46" s="705">
        <f t="shared" si="12"/>
        <v>100</v>
      </c>
      <c r="T46" s="704" t="s">
        <v>14</v>
      </c>
      <c r="U46" s="705">
        <f t="shared" si="13"/>
        <v>100</v>
      </c>
      <c r="V46" s="704" t="s">
        <v>14</v>
      </c>
      <c r="W46" s="705">
        <f t="shared" si="14"/>
        <v>100</v>
      </c>
      <c r="X46" s="1354"/>
      <c r="Y46" s="366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0"/>
      <c r="Q47" s="1351">
        <f t="shared" si="11"/>
        <v>111</v>
      </c>
      <c r="R47" s="704" t="s">
        <v>14</v>
      </c>
      <c r="S47" s="705">
        <f t="shared" si="12"/>
        <v>100</v>
      </c>
      <c r="T47" s="704" t="s">
        <v>14</v>
      </c>
      <c r="U47" s="705">
        <f t="shared" si="13"/>
        <v>100</v>
      </c>
      <c r="V47" s="704" t="s">
        <v>14</v>
      </c>
      <c r="W47" s="705">
        <f t="shared" si="14"/>
        <v>100</v>
      </c>
      <c r="X47" s="1354"/>
      <c r="Y47" s="3662"/>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64" t="str">
        <f>A48</f>
        <v>成交单价（元/平方米）</v>
      </c>
      <c r="Q48" s="3649"/>
      <c r="R48" s="3650">
        <f>E48</f>
        <v>0</v>
      </c>
      <c r="S48" s="3650"/>
      <c r="T48" s="3650">
        <f>G48</f>
        <v>0</v>
      </c>
      <c r="U48" s="3650"/>
      <c r="V48" s="3650">
        <f>I48</f>
        <v>0</v>
      </c>
      <c r="W48" s="3650"/>
      <c r="X48" s="397"/>
      <c r="Y48" s="711"/>
      <c r="Z48" s="397"/>
      <c r="AA48" s="397"/>
      <c r="AB48" s="397"/>
      <c r="AC48" s="577"/>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64" t="str">
        <f>A49</f>
        <v>比较价值（元/平方米）</v>
      </c>
      <c r="Q49" s="3649"/>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71700.22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912"/>
      <c r="M4" s="913"/>
      <c r="N4" s="913"/>
      <c r="O4" s="913"/>
      <c r="P4" s="3672" t="s">
        <v>1775</v>
      </c>
      <c r="Q4" s="3673"/>
      <c r="R4" s="3678" t="s">
        <v>1771</v>
      </c>
      <c r="S4" s="3679"/>
      <c r="T4" s="3678" t="s">
        <v>1772</v>
      </c>
      <c r="U4" s="3679"/>
      <c r="V4" s="3663" t="s">
        <v>1773</v>
      </c>
      <c r="W4" s="3663"/>
      <c r="X4" s="1354"/>
      <c r="Y4" s="3678" t="s">
        <v>1775</v>
      </c>
      <c r="Z4" s="3679"/>
      <c r="AA4" s="3665" t="s">
        <v>1771</v>
      </c>
      <c r="AB4" s="3666" t="s">
        <v>1772</v>
      </c>
      <c r="AC4" s="3665" t="s">
        <v>1773</v>
      </c>
    </row>
    <row r="5" spans="1:29" ht="15">
      <c r="A5" s="358"/>
      <c r="B5" s="359"/>
      <c r="C5" s="3686" t="s">
        <v>1673</v>
      </c>
      <c r="D5" s="3687"/>
      <c r="E5" s="3693" t="s">
        <v>1674</v>
      </c>
      <c r="F5" s="3694"/>
      <c r="G5" s="3686" t="s">
        <v>1675</v>
      </c>
      <c r="H5" s="3687"/>
      <c r="I5" s="3686" t="s">
        <v>1676</v>
      </c>
      <c r="J5" s="3687"/>
      <c r="K5" s="559"/>
      <c r="L5" s="912"/>
      <c r="M5" s="913"/>
      <c r="N5" s="913"/>
      <c r="O5" s="913"/>
      <c r="P5" s="3674"/>
      <c r="Q5" s="3675"/>
      <c r="R5" s="3680"/>
      <c r="S5" s="3681"/>
      <c r="T5" s="3680"/>
      <c r="U5" s="3681"/>
      <c r="V5" s="3663"/>
      <c r="W5" s="3663"/>
      <c r="X5" s="1354"/>
      <c r="Y5" s="3680"/>
      <c r="Z5" s="3681"/>
      <c r="AA5" s="3666"/>
      <c r="AB5" s="3666"/>
      <c r="AC5" s="3666"/>
    </row>
    <row r="6" spans="1:29" ht="15.75" thickBot="1">
      <c r="A6" s="360"/>
      <c r="B6" s="361"/>
      <c r="C6" s="3684" t="s">
        <v>1677</v>
      </c>
      <c r="D6" s="3685"/>
      <c r="E6" s="3691" t="s">
        <v>1677</v>
      </c>
      <c r="F6" s="3692"/>
      <c r="G6" s="3684" t="s">
        <v>1677</v>
      </c>
      <c r="H6" s="3685"/>
      <c r="I6" s="3684" t="s">
        <v>1677</v>
      </c>
      <c r="J6" s="3685"/>
      <c r="K6" s="559" t="s">
        <v>1678</v>
      </c>
      <c r="L6" s="912"/>
      <c r="M6" s="913"/>
      <c r="N6" s="913"/>
      <c r="O6" s="913"/>
      <c r="P6" s="3676"/>
      <c r="Q6" s="3677"/>
      <c r="R6" s="3680"/>
      <c r="S6" s="3681"/>
      <c r="T6" s="3682"/>
      <c r="U6" s="3683"/>
      <c r="V6" s="3663"/>
      <c r="W6" s="3663"/>
      <c r="X6" s="1354"/>
      <c r="Y6" s="3682"/>
      <c r="Z6" s="3683"/>
      <c r="AA6" s="3667"/>
      <c r="AB6" s="3667"/>
      <c r="AC6" s="3667"/>
    </row>
    <row r="7" spans="1:29" s="108" customFormat="1" ht="15.75" thickBot="1">
      <c r="A7" s="362" t="s">
        <v>1679</v>
      </c>
      <c r="B7" s="363"/>
      <c r="C7" s="364">
        <f>'数据-取费表'!B2</f>
        <v>45429</v>
      </c>
      <c r="D7" s="365">
        <v>100</v>
      </c>
      <c r="E7" s="366"/>
      <c r="F7" s="367">
        <f>SUMIF(52:52,YEAR(E7)&amp;"-"&amp;MONTH(E7),53:53)</f>
        <v>0</v>
      </c>
      <c r="G7" s="366"/>
      <c r="H7" s="365">
        <f>SUMIF(52:52,YEAR(G7)&amp;"-"&amp;MONTH(G7),53:53)</f>
        <v>0</v>
      </c>
      <c r="I7" s="366"/>
      <c r="J7" s="365">
        <f>SUMIF(52:52,YEAR(I7)&amp;"-"&amp;MONTH(I7),53:53)</f>
        <v>0</v>
      </c>
      <c r="K7" s="560"/>
      <c r="L7" s="914"/>
      <c r="M7" s="915"/>
      <c r="N7" s="915"/>
      <c r="O7" s="915"/>
      <c r="P7" s="3688" t="s">
        <v>1680</v>
      </c>
      <c r="Q7" s="3690"/>
      <c r="R7" s="700" t="s">
        <v>14</v>
      </c>
      <c r="S7" s="701">
        <f t="shared" ref="S7:S15" si="0">F7</f>
        <v>0</v>
      </c>
      <c r="T7" s="700" t="s">
        <v>14</v>
      </c>
      <c r="U7" s="701">
        <f t="shared" ref="U7:U15" si="1">H7</f>
        <v>0</v>
      </c>
      <c r="V7" s="700" t="s">
        <v>14</v>
      </c>
      <c r="W7" s="701">
        <f t="shared" ref="W7:W15" si="2">J7</f>
        <v>0</v>
      </c>
      <c r="X7" s="702"/>
      <c r="Y7" s="3688" t="s">
        <v>1680</v>
      </c>
      <c r="Z7" s="368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8" t="s">
        <v>1683</v>
      </c>
      <c r="Q8" s="3689"/>
      <c r="R8" s="700" t="s">
        <v>14</v>
      </c>
      <c r="S8" s="701">
        <f t="shared" si="0"/>
        <v>100</v>
      </c>
      <c r="T8" s="700" t="s">
        <v>14</v>
      </c>
      <c r="U8" s="701">
        <f t="shared" si="1"/>
        <v>100</v>
      </c>
      <c r="V8" s="700" t="s">
        <v>14</v>
      </c>
      <c r="W8" s="701">
        <f t="shared" si="2"/>
        <v>100</v>
      </c>
      <c r="X8" s="702"/>
      <c r="Y8" s="3688" t="s">
        <v>1683</v>
      </c>
      <c r="Z8" s="368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49"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49"/>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49"/>
      <c r="Q11" s="1342" t="str">
        <f t="shared" si="6"/>
        <v>容积率</v>
      </c>
      <c r="R11" s="700" t="s">
        <v>14</v>
      </c>
      <c r="S11" s="701">
        <f t="shared" si="0"/>
        <v>100</v>
      </c>
      <c r="T11" s="700" t="s">
        <v>14</v>
      </c>
      <c r="U11" s="701">
        <f t="shared" si="1"/>
        <v>100</v>
      </c>
      <c r="V11" s="700" t="s">
        <v>14</v>
      </c>
      <c r="W11" s="701">
        <f t="shared" si="2"/>
        <v>100</v>
      </c>
      <c r="X11" s="702"/>
      <c r="Y11" s="354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49"/>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49"/>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49"/>
      <c r="Q14" s="1342">
        <f t="shared" si="6"/>
        <v>111</v>
      </c>
      <c r="R14" s="700" t="s">
        <v>14</v>
      </c>
      <c r="S14" s="701">
        <f t="shared" si="0"/>
        <v>100</v>
      </c>
      <c r="T14" s="700" t="s">
        <v>14</v>
      </c>
      <c r="U14" s="701">
        <f t="shared" si="1"/>
        <v>100</v>
      </c>
      <c r="V14" s="700" t="s">
        <v>14</v>
      </c>
      <c r="W14" s="701">
        <f t="shared" si="2"/>
        <v>100</v>
      </c>
      <c r="X14" s="702"/>
      <c r="Y14" s="3548"/>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6" t="s">
        <v>1691</v>
      </c>
      <c r="Q15" s="1351" t="str">
        <f t="shared" si="6"/>
        <v>产业集聚程度</v>
      </c>
      <c r="R15" s="704" t="s">
        <v>14</v>
      </c>
      <c r="S15" s="705">
        <f t="shared" si="0"/>
        <v>100</v>
      </c>
      <c r="T15" s="704" t="s">
        <v>14</v>
      </c>
      <c r="U15" s="705">
        <f t="shared" si="1"/>
        <v>100</v>
      </c>
      <c r="V15" s="704" t="s">
        <v>14</v>
      </c>
      <c r="W15" s="705">
        <f t="shared" si="2"/>
        <v>100</v>
      </c>
      <c r="X15" s="1354"/>
      <c r="Y15" s="365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57"/>
      <c r="Q16" s="1351"/>
      <c r="R16" s="704"/>
      <c r="S16" s="705"/>
      <c r="T16" s="704"/>
      <c r="U16" s="705"/>
      <c r="V16" s="704"/>
      <c r="W16" s="705"/>
      <c r="X16" s="1354"/>
      <c r="Y16" s="365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57"/>
      <c r="Q17" s="1351" t="str">
        <f>B17</f>
        <v>交通便捷度</v>
      </c>
      <c r="R17" s="704" t="s">
        <v>14</v>
      </c>
      <c r="S17" s="705">
        <f>F17</f>
        <v>100</v>
      </c>
      <c r="T17" s="704" t="s">
        <v>14</v>
      </c>
      <c r="U17" s="705">
        <f>H17</f>
        <v>100</v>
      </c>
      <c r="V17" s="704" t="s">
        <v>14</v>
      </c>
      <c r="W17" s="705">
        <f>J17</f>
        <v>100</v>
      </c>
      <c r="X17" s="1354"/>
      <c r="Y17" s="365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57"/>
      <c r="Q18" s="1351"/>
      <c r="R18" s="704"/>
      <c r="S18" s="705"/>
      <c r="T18" s="704"/>
      <c r="U18" s="705"/>
      <c r="V18" s="704"/>
      <c r="W18" s="705"/>
      <c r="X18" s="1354"/>
      <c r="Y18" s="365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57"/>
      <c r="Q19" s="1351" t="str">
        <f>B19</f>
        <v>公共配套设施</v>
      </c>
      <c r="R19" s="704" t="s">
        <v>14</v>
      </c>
      <c r="S19" s="705">
        <f>F19</f>
        <v>100</v>
      </c>
      <c r="T19" s="704" t="s">
        <v>14</v>
      </c>
      <c r="U19" s="705">
        <f>H19</f>
        <v>100</v>
      </c>
      <c r="V19" s="704" t="s">
        <v>14</v>
      </c>
      <c r="W19" s="705">
        <f>J19</f>
        <v>100</v>
      </c>
      <c r="X19" s="1354"/>
      <c r="Y19" s="365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57"/>
      <c r="Q20" s="1351"/>
      <c r="R20" s="704"/>
      <c r="S20" s="705"/>
      <c r="T20" s="704"/>
      <c r="U20" s="705"/>
      <c r="V20" s="704"/>
      <c r="W20" s="705"/>
      <c r="X20" s="1354"/>
      <c r="Y20" s="3657"/>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57"/>
      <c r="Q21" s="1351" t="str">
        <f>B21</f>
        <v>基础设施水平</v>
      </c>
      <c r="R21" s="704" t="s">
        <v>14</v>
      </c>
      <c r="S21" s="705">
        <f>F21</f>
        <v>100</v>
      </c>
      <c r="T21" s="704" t="s">
        <v>14</v>
      </c>
      <c r="U21" s="705">
        <f>H21</f>
        <v>100</v>
      </c>
      <c r="V21" s="704" t="s">
        <v>14</v>
      </c>
      <c r="W21" s="705">
        <f>J21</f>
        <v>100</v>
      </c>
      <c r="X21" s="1354"/>
      <c r="Y21" s="365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57"/>
      <c r="Q22" s="1351"/>
      <c r="R22" s="704"/>
      <c r="S22" s="705"/>
      <c r="T22" s="704"/>
      <c r="U22" s="705"/>
      <c r="V22" s="704"/>
      <c r="W22" s="705"/>
      <c r="X22" s="1354"/>
      <c r="Y22" s="365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57"/>
      <c r="Q23" s="1351" t="str">
        <f>B23</f>
        <v>环境质量</v>
      </c>
      <c r="R23" s="704" t="s">
        <v>14</v>
      </c>
      <c r="S23" s="705">
        <f>F23</f>
        <v>100</v>
      </c>
      <c r="T23" s="704" t="s">
        <v>14</v>
      </c>
      <c r="U23" s="705">
        <f>H23</f>
        <v>100</v>
      </c>
      <c r="V23" s="704" t="s">
        <v>14</v>
      </c>
      <c r="W23" s="705">
        <f>J23</f>
        <v>100</v>
      </c>
      <c r="X23" s="1354"/>
      <c r="Y23" s="365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57"/>
      <c r="Q24" s="1351"/>
      <c r="R24" s="704"/>
      <c r="S24" s="705"/>
      <c r="T24" s="704"/>
      <c r="U24" s="705"/>
      <c r="V24" s="704"/>
      <c r="W24" s="705"/>
      <c r="X24" s="1354"/>
      <c r="Y24" s="365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57"/>
      <c r="Q25" s="1351">
        <f>B25</f>
        <v>111</v>
      </c>
      <c r="R25" s="704" t="s">
        <v>14</v>
      </c>
      <c r="S25" s="705">
        <f>F25</f>
        <v>100</v>
      </c>
      <c r="T25" s="704" t="s">
        <v>14</v>
      </c>
      <c r="U25" s="705">
        <f>H25</f>
        <v>100</v>
      </c>
      <c r="V25" s="704" t="s">
        <v>14</v>
      </c>
      <c r="W25" s="705">
        <f>J25</f>
        <v>100</v>
      </c>
      <c r="X25" s="1354"/>
      <c r="Y25" s="365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57"/>
      <c r="Q26" s="1351">
        <f t="shared" ref="Q26:Q40" si="11">B26</f>
        <v>111</v>
      </c>
      <c r="R26" s="704" t="s">
        <v>14</v>
      </c>
      <c r="S26" s="705">
        <f>F26</f>
        <v>100</v>
      </c>
      <c r="T26" s="704" t="s">
        <v>14</v>
      </c>
      <c r="U26" s="705">
        <f>H26</f>
        <v>100</v>
      </c>
      <c r="V26" s="704" t="s">
        <v>14</v>
      </c>
      <c r="W26" s="705">
        <f>J26</f>
        <v>100</v>
      </c>
      <c r="X26" s="1354"/>
      <c r="Y26" s="365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57"/>
      <c r="Q27" s="1342">
        <f t="shared" si="11"/>
        <v>111</v>
      </c>
      <c r="R27" s="700" t="s">
        <v>14</v>
      </c>
      <c r="S27" s="701">
        <f>F27</f>
        <v>100</v>
      </c>
      <c r="T27" s="700" t="s">
        <v>14</v>
      </c>
      <c r="U27" s="701">
        <f>H27</f>
        <v>100</v>
      </c>
      <c r="V27" s="700" t="s">
        <v>14</v>
      </c>
      <c r="W27" s="701">
        <f>J27</f>
        <v>100</v>
      </c>
      <c r="X27" s="702"/>
      <c r="Y27" s="365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57"/>
      <c r="Q28" s="1351">
        <f t="shared" si="11"/>
        <v>111</v>
      </c>
      <c r="R28" s="704" t="s">
        <v>14</v>
      </c>
      <c r="S28" s="705">
        <f t="shared" ref="S28:S40" si="12">F28</f>
        <v>100</v>
      </c>
      <c r="T28" s="704" t="s">
        <v>14</v>
      </c>
      <c r="U28" s="705">
        <f t="shared" ref="U28:U40" si="13">H28</f>
        <v>100</v>
      </c>
      <c r="V28" s="704" t="s">
        <v>14</v>
      </c>
      <c r="W28" s="705">
        <f t="shared" ref="W28:W40" si="14">J28</f>
        <v>100</v>
      </c>
      <c r="X28" s="1354"/>
      <c r="Y28" s="365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1" t="s">
        <v>1696</v>
      </c>
      <c r="Q29" s="1351" t="str">
        <f t="shared" si="11"/>
        <v>建筑类型</v>
      </c>
      <c r="R29" s="704" t="s">
        <v>14</v>
      </c>
      <c r="S29" s="705">
        <f t="shared" si="12"/>
        <v>100</v>
      </c>
      <c r="T29" s="704" t="s">
        <v>14</v>
      </c>
      <c r="U29" s="705">
        <f t="shared" si="13"/>
        <v>100</v>
      </c>
      <c r="V29" s="704" t="s">
        <v>14</v>
      </c>
      <c r="W29" s="705">
        <f t="shared" si="14"/>
        <v>100</v>
      </c>
      <c r="X29" s="1354"/>
      <c r="Y29" s="366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1"/>
      <c r="Q30" s="706" t="str">
        <f t="shared" si="11"/>
        <v>项目建筑规模</v>
      </c>
      <c r="R30" s="707" t="s">
        <v>14</v>
      </c>
      <c r="S30" s="708" t="e">
        <f t="shared" si="12"/>
        <v>#N/A</v>
      </c>
      <c r="T30" s="707" t="s">
        <v>14</v>
      </c>
      <c r="U30" s="708" t="e">
        <f t="shared" si="13"/>
        <v>#N/A</v>
      </c>
      <c r="V30" s="707" t="s">
        <v>14</v>
      </c>
      <c r="W30" s="708" t="e">
        <f t="shared" si="14"/>
        <v>#N/A</v>
      </c>
      <c r="X30" s="709"/>
      <c r="Y30" s="366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1"/>
      <c r="Q31" s="1351" t="str">
        <f t="shared" si="11"/>
        <v>建筑结构</v>
      </c>
      <c r="R31" s="704" t="s">
        <v>14</v>
      </c>
      <c r="S31" s="705">
        <f t="shared" si="12"/>
        <v>100</v>
      </c>
      <c r="T31" s="704" t="s">
        <v>14</v>
      </c>
      <c r="U31" s="705">
        <f t="shared" si="13"/>
        <v>100</v>
      </c>
      <c r="V31" s="704" t="s">
        <v>14</v>
      </c>
      <c r="W31" s="705">
        <f t="shared" si="14"/>
        <v>100</v>
      </c>
      <c r="X31" s="1354"/>
      <c r="Y31" s="366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1"/>
      <c r="Q32" s="1351" t="str">
        <f t="shared" si="11"/>
        <v>公共部分装修</v>
      </c>
      <c r="R32" s="704" t="s">
        <v>14</v>
      </c>
      <c r="S32" s="705">
        <f t="shared" si="12"/>
        <v>100</v>
      </c>
      <c r="T32" s="704" t="s">
        <v>14</v>
      </c>
      <c r="U32" s="705">
        <f t="shared" si="13"/>
        <v>100</v>
      </c>
      <c r="V32" s="704" t="s">
        <v>14</v>
      </c>
      <c r="W32" s="705">
        <f t="shared" si="14"/>
        <v>100</v>
      </c>
      <c r="X32" s="1354"/>
      <c r="Y32" s="366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1"/>
      <c r="Q33" s="1351" t="str">
        <f t="shared" si="11"/>
        <v>成新度</v>
      </c>
      <c r="R33" s="704" t="s">
        <v>14</v>
      </c>
      <c r="S33" s="705" t="e">
        <f t="shared" si="12"/>
        <v>#N/A</v>
      </c>
      <c r="T33" s="704" t="s">
        <v>14</v>
      </c>
      <c r="U33" s="705" t="e">
        <f t="shared" si="13"/>
        <v>#N/A</v>
      </c>
      <c r="V33" s="704" t="s">
        <v>14</v>
      </c>
      <c r="W33" s="705" t="e">
        <f t="shared" si="14"/>
        <v>#N/A</v>
      </c>
      <c r="X33" s="1354"/>
      <c r="Y33" s="366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1"/>
      <c r="Q34" s="1342" t="str">
        <f t="shared" si="11"/>
        <v>物业管理</v>
      </c>
      <c r="R34" s="700" t="s">
        <v>14</v>
      </c>
      <c r="S34" s="701">
        <f t="shared" si="12"/>
        <v>100</v>
      </c>
      <c r="T34" s="700" t="s">
        <v>14</v>
      </c>
      <c r="U34" s="701">
        <f t="shared" si="13"/>
        <v>100</v>
      </c>
      <c r="V34" s="700" t="s">
        <v>14</v>
      </c>
      <c r="W34" s="701">
        <f t="shared" si="14"/>
        <v>100</v>
      </c>
      <c r="X34" s="702"/>
      <c r="Y34" s="366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1" t="s">
        <v>1696</v>
      </c>
      <c r="Q35" s="1351" t="str">
        <f t="shared" si="11"/>
        <v>市政基础设施</v>
      </c>
      <c r="R35" s="704" t="s">
        <v>14</v>
      </c>
      <c r="S35" s="705">
        <f t="shared" si="12"/>
        <v>100</v>
      </c>
      <c r="T35" s="704" t="s">
        <v>14</v>
      </c>
      <c r="U35" s="705">
        <f t="shared" si="13"/>
        <v>100</v>
      </c>
      <c r="V35" s="704" t="s">
        <v>14</v>
      </c>
      <c r="W35" s="705">
        <f t="shared" si="14"/>
        <v>100</v>
      </c>
      <c r="X35" s="1354"/>
      <c r="Y35" s="366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1"/>
      <c r="Q36" s="1351" t="str">
        <f t="shared" si="11"/>
        <v>内部装修</v>
      </c>
      <c r="R36" s="704" t="s">
        <v>14</v>
      </c>
      <c r="S36" s="705">
        <f t="shared" si="12"/>
        <v>100</v>
      </c>
      <c r="T36" s="704" t="s">
        <v>14</v>
      </c>
      <c r="U36" s="705">
        <f t="shared" si="13"/>
        <v>100</v>
      </c>
      <c r="V36" s="704" t="s">
        <v>14</v>
      </c>
      <c r="W36" s="705">
        <f t="shared" si="14"/>
        <v>100</v>
      </c>
      <c r="X36" s="1354"/>
      <c r="Y36" s="366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1"/>
      <c r="Q37" s="1351" t="str">
        <f t="shared" si="11"/>
        <v>内部装修状况</v>
      </c>
      <c r="R37" s="704" t="s">
        <v>14</v>
      </c>
      <c r="S37" s="705">
        <f t="shared" si="12"/>
        <v>100</v>
      </c>
      <c r="T37" s="704" t="s">
        <v>14</v>
      </c>
      <c r="U37" s="705">
        <f t="shared" si="13"/>
        <v>100</v>
      </c>
      <c r="V37" s="704" t="s">
        <v>14</v>
      </c>
      <c r="W37" s="705">
        <f t="shared" si="14"/>
        <v>100</v>
      </c>
      <c r="X37" s="1354"/>
      <c r="Y37" s="366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1"/>
      <c r="Q38" s="706">
        <f t="shared" si="11"/>
        <v>111</v>
      </c>
      <c r="R38" s="707" t="s">
        <v>14</v>
      </c>
      <c r="S38" s="708">
        <f t="shared" si="12"/>
        <v>100</v>
      </c>
      <c r="T38" s="707" t="s">
        <v>14</v>
      </c>
      <c r="U38" s="708">
        <f t="shared" si="13"/>
        <v>100</v>
      </c>
      <c r="V38" s="707" t="s">
        <v>14</v>
      </c>
      <c r="W38" s="708">
        <f t="shared" si="14"/>
        <v>100</v>
      </c>
      <c r="X38" s="709"/>
      <c r="Y38" s="366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1"/>
      <c r="Q39" s="1351">
        <f t="shared" si="11"/>
        <v>111</v>
      </c>
      <c r="R39" s="704" t="s">
        <v>14</v>
      </c>
      <c r="S39" s="705">
        <f t="shared" si="12"/>
        <v>100</v>
      </c>
      <c r="T39" s="704" t="s">
        <v>14</v>
      </c>
      <c r="U39" s="705">
        <f t="shared" si="13"/>
        <v>100</v>
      </c>
      <c r="V39" s="704" t="s">
        <v>14</v>
      </c>
      <c r="W39" s="705">
        <f t="shared" si="14"/>
        <v>100</v>
      </c>
      <c r="X39" s="1354"/>
      <c r="Y39" s="366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2"/>
      <c r="Q40" s="1351">
        <f t="shared" si="11"/>
        <v>111</v>
      </c>
      <c r="R40" s="704" t="s">
        <v>14</v>
      </c>
      <c r="S40" s="705">
        <f t="shared" si="12"/>
        <v>100</v>
      </c>
      <c r="T40" s="704" t="s">
        <v>14</v>
      </c>
      <c r="U40" s="705">
        <f t="shared" si="13"/>
        <v>100</v>
      </c>
      <c r="V40" s="704" t="s">
        <v>14</v>
      </c>
      <c r="W40" s="705">
        <f t="shared" si="14"/>
        <v>100</v>
      </c>
      <c r="X40" s="1354"/>
      <c r="Y40" s="366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49" t="str">
        <f>A41</f>
        <v>成交单价（元/平方米）</v>
      </c>
      <c r="Q41" s="3649"/>
      <c r="R41" s="3650">
        <f>E41</f>
        <v>0</v>
      </c>
      <c r="S41" s="3650"/>
      <c r="T41" s="3650">
        <f>G41</f>
        <v>0</v>
      </c>
      <c r="U41" s="3650"/>
      <c r="V41" s="3650">
        <f>I41</f>
        <v>0</v>
      </c>
      <c r="W41" s="3650"/>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51" t="str">
        <f>A43</f>
        <v>估价对象XX用房的比较价值（楼面单价，元/平方米）</v>
      </c>
      <c r="Q43" s="3652"/>
      <c r="R43" s="3653" t="e">
        <f>IF(F1="售价",ROUND(IF(D42="简单平均",AVERAGE(R42:V42),R42*F42+T42*H42+V42*J42),0),ROUND(IF(D42="简单平均",AVERAGE(R42:V42),R42*F42+T42*H42+V42*J42),1))</f>
        <v>#DIV/0!</v>
      </c>
      <c r="S43" s="3653"/>
      <c r="T43" s="3653"/>
      <c r="U43" s="3653"/>
      <c r="V43" s="3653"/>
      <c r="W43" s="365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估价对象为北京市房地产，为所有。根据《国有土地使用证》[]，估价对象（分摊）出让国有建设用地使用权面积为73334平方米，建筑面积为71700.22平方米。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估价对象为北京市房地产,属开发建设的工业项目，该项目尚在开发建设中。根据《国有土地使用证》[]，估价对象（分摊）出让国有建设用地使用权面积为73334平方米，规划建筑面积为71700.22平方米。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63" t="s">
        <v>1773</v>
      </c>
      <c r="W4" s="3663"/>
      <c r="X4" s="1354"/>
      <c r="Y4" s="3678" t="s">
        <v>1775</v>
      </c>
      <c r="Z4" s="3679"/>
      <c r="AA4" s="3665" t="s">
        <v>1771</v>
      </c>
      <c r="AB4" s="3666" t="s">
        <v>1772</v>
      </c>
      <c r="AC4" s="3665" t="s">
        <v>1773</v>
      </c>
    </row>
    <row r="5" spans="1:29" ht="15">
      <c r="A5" s="358"/>
      <c r="B5" s="359"/>
      <c r="C5" s="3686" t="s">
        <v>1673</v>
      </c>
      <c r="D5" s="3687"/>
      <c r="E5" s="3693" t="s">
        <v>1674</v>
      </c>
      <c r="F5" s="3694"/>
      <c r="G5" s="3686" t="s">
        <v>1675</v>
      </c>
      <c r="H5" s="3687"/>
      <c r="I5" s="3686" t="s">
        <v>1676</v>
      </c>
      <c r="J5" s="3687"/>
      <c r="K5" s="559"/>
      <c r="L5" s="2714"/>
      <c r="M5" s="2715"/>
      <c r="N5" s="2715"/>
      <c r="O5" s="2715"/>
      <c r="P5" s="3674"/>
      <c r="Q5" s="3675"/>
      <c r="R5" s="3680"/>
      <c r="S5" s="3681"/>
      <c r="T5" s="3680"/>
      <c r="U5" s="3681"/>
      <c r="V5" s="3663"/>
      <c r="W5" s="3663"/>
      <c r="X5" s="1354"/>
      <c r="Y5" s="3680"/>
      <c r="Z5" s="3681"/>
      <c r="AA5" s="3666"/>
      <c r="AB5" s="3666"/>
      <c r="AC5" s="3666"/>
    </row>
    <row r="6" spans="1:29" ht="15.75" thickBot="1">
      <c r="A6" s="360"/>
      <c r="B6" s="361"/>
      <c r="C6" s="3684" t="s">
        <v>1677</v>
      </c>
      <c r="D6" s="3685"/>
      <c r="E6" s="3691" t="s">
        <v>1677</v>
      </c>
      <c r="F6" s="3692"/>
      <c r="G6" s="3684" t="s">
        <v>1677</v>
      </c>
      <c r="H6" s="3685"/>
      <c r="I6" s="3684" t="s">
        <v>1677</v>
      </c>
      <c r="J6" s="3685"/>
      <c r="K6" s="559" t="s">
        <v>1678</v>
      </c>
      <c r="L6" s="2714"/>
      <c r="M6" s="2715"/>
      <c r="N6" s="2715"/>
      <c r="O6" s="2715"/>
      <c r="P6" s="3676"/>
      <c r="Q6" s="3677"/>
      <c r="R6" s="3680"/>
      <c r="S6" s="3681"/>
      <c r="T6" s="3682"/>
      <c r="U6" s="3683"/>
      <c r="V6" s="3663"/>
      <c r="W6" s="3663"/>
      <c r="X6" s="1354"/>
      <c r="Y6" s="3682"/>
      <c r="Z6" s="3683"/>
      <c r="AA6" s="3667"/>
      <c r="AB6" s="3667"/>
      <c r="AC6" s="3667"/>
    </row>
    <row r="7" spans="1:29" s="108" customFormat="1" ht="15.75" thickBot="1">
      <c r="A7" s="362" t="s">
        <v>1679</v>
      </c>
      <c r="B7" s="363"/>
      <c r="C7" s="364">
        <f>'数据-取费表'!B2</f>
        <v>45429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8" t="s">
        <v>1680</v>
      </c>
      <c r="Q7" s="3690"/>
      <c r="R7" s="700" t="s">
        <v>14</v>
      </c>
      <c r="S7" s="701">
        <f t="shared" ref="S7:S14" si="0">F7</f>
        <v>0</v>
      </c>
      <c r="T7" s="700" t="s">
        <v>14</v>
      </c>
      <c r="U7" s="701">
        <f t="shared" ref="U7:U14" si="1">H7</f>
        <v>0</v>
      </c>
      <c r="V7" s="700" t="s">
        <v>14</v>
      </c>
      <c r="W7" s="701">
        <f t="shared" ref="W7:W14" si="2">J7</f>
        <v>0</v>
      </c>
      <c r="X7" s="702"/>
      <c r="Y7" s="3688" t="s">
        <v>1680</v>
      </c>
      <c r="Z7" s="368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8" t="s">
        <v>1683</v>
      </c>
      <c r="Q8" s="3689"/>
      <c r="R8" s="700" t="s">
        <v>14</v>
      </c>
      <c r="S8" s="701">
        <f t="shared" si="0"/>
        <v>100</v>
      </c>
      <c r="T8" s="700" t="s">
        <v>14</v>
      </c>
      <c r="U8" s="701">
        <f t="shared" si="1"/>
        <v>100</v>
      </c>
      <c r="V8" s="700" t="s">
        <v>14</v>
      </c>
      <c r="W8" s="701">
        <f t="shared" si="2"/>
        <v>100</v>
      </c>
      <c r="X8" s="702"/>
      <c r="Y8" s="3688" t="s">
        <v>1683</v>
      </c>
      <c r="Z8" s="3689"/>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9" t="s">
        <v>1686</v>
      </c>
      <c r="Q9" s="1342" t="str">
        <f t="shared" ref="Q9:Q14" si="6">B9</f>
        <v>用途</v>
      </c>
      <c r="R9" s="700" t="s">
        <v>14</v>
      </c>
      <c r="S9" s="701">
        <f t="shared" si="0"/>
        <v>100</v>
      </c>
      <c r="T9" s="700" t="s">
        <v>14</v>
      </c>
      <c r="U9" s="701">
        <f t="shared" si="1"/>
        <v>100</v>
      </c>
      <c r="V9" s="700" t="s">
        <v>14</v>
      </c>
      <c r="W9" s="701">
        <f t="shared" si="2"/>
        <v>100</v>
      </c>
      <c r="X9" s="702"/>
      <c r="Y9" s="3548"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9"/>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9"/>
      <c r="Q11" s="1342">
        <f t="shared" si="6"/>
        <v>111</v>
      </c>
      <c r="R11" s="700" t="s">
        <v>14</v>
      </c>
      <c r="S11" s="701">
        <f t="shared" si="0"/>
        <v>100</v>
      </c>
      <c r="T11" s="700" t="s">
        <v>14</v>
      </c>
      <c r="U11" s="701">
        <f t="shared" si="1"/>
        <v>100</v>
      </c>
      <c r="V11" s="700" t="s">
        <v>14</v>
      </c>
      <c r="W11" s="701">
        <f t="shared" si="2"/>
        <v>100</v>
      </c>
      <c r="X11" s="702"/>
      <c r="Y11" s="354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9"/>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9"/>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6" t="s">
        <v>1691</v>
      </c>
      <c r="Q14" s="1351" t="str">
        <f t="shared" si="6"/>
        <v>交通便捷度</v>
      </c>
      <c r="R14" s="704" t="s">
        <v>14</v>
      </c>
      <c r="S14" s="705">
        <f t="shared" si="0"/>
        <v>100</v>
      </c>
      <c r="T14" s="704" t="s">
        <v>14</v>
      </c>
      <c r="U14" s="705">
        <f t="shared" si="1"/>
        <v>100</v>
      </c>
      <c r="V14" s="704" t="s">
        <v>14</v>
      </c>
      <c r="W14" s="705">
        <f t="shared" si="2"/>
        <v>100</v>
      </c>
      <c r="X14" s="1354"/>
      <c r="Y14" s="3656"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57"/>
      <c r="Q15" s="1351"/>
      <c r="R15" s="704"/>
      <c r="S15" s="705"/>
      <c r="T15" s="704"/>
      <c r="U15" s="705"/>
      <c r="V15" s="704"/>
      <c r="W15" s="705"/>
      <c r="X15" s="1354"/>
      <c r="Y15" s="3657"/>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7"/>
      <c r="Q16" s="1351" t="str">
        <f>B16</f>
        <v>公共配套设施</v>
      </c>
      <c r="R16" s="704" t="s">
        <v>14</v>
      </c>
      <c r="S16" s="705">
        <f>F16</f>
        <v>100</v>
      </c>
      <c r="T16" s="704" t="s">
        <v>14</v>
      </c>
      <c r="U16" s="705">
        <f>H16</f>
        <v>100</v>
      </c>
      <c r="V16" s="704" t="s">
        <v>14</v>
      </c>
      <c r="W16" s="705">
        <f>J16</f>
        <v>100</v>
      </c>
      <c r="X16" s="1354"/>
      <c r="Y16" s="3657"/>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57"/>
      <c r="Q17" s="1351"/>
      <c r="R17" s="704"/>
      <c r="S17" s="705"/>
      <c r="T17" s="704"/>
      <c r="U17" s="705"/>
      <c r="V17" s="704"/>
      <c r="W17" s="705"/>
      <c r="X17" s="1354"/>
      <c r="Y17" s="3657"/>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7"/>
      <c r="Q18" s="1351" t="str">
        <f>B18</f>
        <v>基础设施水平</v>
      </c>
      <c r="R18" s="704" t="s">
        <v>14</v>
      </c>
      <c r="S18" s="705">
        <f>F18</f>
        <v>100</v>
      </c>
      <c r="T18" s="704" t="s">
        <v>14</v>
      </c>
      <c r="U18" s="705">
        <f>H18</f>
        <v>100</v>
      </c>
      <c r="V18" s="704" t="s">
        <v>14</v>
      </c>
      <c r="W18" s="705">
        <f>J18</f>
        <v>100</v>
      </c>
      <c r="X18" s="1354"/>
      <c r="Y18" s="3657"/>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57"/>
      <c r="Q19" s="1351"/>
      <c r="R19" s="704"/>
      <c r="S19" s="705"/>
      <c r="T19" s="704"/>
      <c r="U19" s="705"/>
      <c r="V19" s="704"/>
      <c r="W19" s="705"/>
      <c r="X19" s="1354"/>
      <c r="Y19" s="3657"/>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7"/>
      <c r="Q20" s="1351" t="str">
        <f>B20</f>
        <v>自然及人文环境</v>
      </c>
      <c r="R20" s="704" t="s">
        <v>14</v>
      </c>
      <c r="S20" s="705">
        <f>F20</f>
        <v>100</v>
      </c>
      <c r="T20" s="704" t="s">
        <v>14</v>
      </c>
      <c r="U20" s="705">
        <f>H20</f>
        <v>100</v>
      </c>
      <c r="V20" s="704" t="s">
        <v>14</v>
      </c>
      <c r="W20" s="705">
        <f>J20</f>
        <v>100</v>
      </c>
      <c r="X20" s="1354"/>
      <c r="Y20" s="3657"/>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57"/>
      <c r="Q21" s="1351"/>
      <c r="R21" s="704"/>
      <c r="S21" s="705"/>
      <c r="T21" s="704"/>
      <c r="U21" s="705"/>
      <c r="V21" s="704"/>
      <c r="W21" s="705"/>
      <c r="X21" s="1354"/>
      <c r="Y21" s="3657"/>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7"/>
      <c r="Q22" s="1351" t="str">
        <f>B22</f>
        <v>楼层</v>
      </c>
      <c r="R22" s="704" t="s">
        <v>14</v>
      </c>
      <c r="S22" s="705">
        <f>F22</f>
        <v>100</v>
      </c>
      <c r="T22" s="704" t="s">
        <v>14</v>
      </c>
      <c r="U22" s="705">
        <f>H22</f>
        <v>100</v>
      </c>
      <c r="V22" s="704" t="s">
        <v>14</v>
      </c>
      <c r="W22" s="705">
        <f>J22</f>
        <v>100</v>
      </c>
      <c r="X22" s="1354"/>
      <c r="Y22" s="3657"/>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7"/>
      <c r="Q23" s="1351">
        <f>B23</f>
        <v>111</v>
      </c>
      <c r="R23" s="704" t="s">
        <v>14</v>
      </c>
      <c r="S23" s="705">
        <f>F23</f>
        <v>100</v>
      </c>
      <c r="T23" s="704" t="s">
        <v>14</v>
      </c>
      <c r="U23" s="705">
        <f>H23</f>
        <v>100</v>
      </c>
      <c r="V23" s="704" t="s">
        <v>14</v>
      </c>
      <c r="W23" s="705">
        <f>J23</f>
        <v>100</v>
      </c>
      <c r="X23" s="1354"/>
      <c r="Y23" s="3657"/>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7"/>
      <c r="Q24" s="1351">
        <f t="shared" ref="Q24:Q36" si="11">B24</f>
        <v>111</v>
      </c>
      <c r="R24" s="704" t="s">
        <v>14</v>
      </c>
      <c r="S24" s="705">
        <f>F24</f>
        <v>100</v>
      </c>
      <c r="T24" s="704" t="s">
        <v>14</v>
      </c>
      <c r="U24" s="705">
        <f>H24</f>
        <v>100</v>
      </c>
      <c r="V24" s="704" t="s">
        <v>14</v>
      </c>
      <c r="W24" s="705">
        <f>J24</f>
        <v>100</v>
      </c>
      <c r="X24" s="1354"/>
      <c r="Y24" s="3657"/>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57"/>
      <c r="Q25" s="1342">
        <f t="shared" si="11"/>
        <v>111</v>
      </c>
      <c r="R25" s="700" t="s">
        <v>14</v>
      </c>
      <c r="S25" s="701">
        <f>F25</f>
        <v>100</v>
      </c>
      <c r="T25" s="700" t="s">
        <v>14</v>
      </c>
      <c r="U25" s="701">
        <f>H25</f>
        <v>100</v>
      </c>
      <c r="V25" s="700" t="s">
        <v>14</v>
      </c>
      <c r="W25" s="701">
        <f>J25</f>
        <v>100</v>
      </c>
      <c r="X25" s="702"/>
      <c r="Y25" s="3657"/>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1"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61"/>
      <c r="Q27" s="706" t="str">
        <f t="shared" si="11"/>
        <v>项目停车位配比</v>
      </c>
      <c r="R27" s="707" t="s">
        <v>14</v>
      </c>
      <c r="S27" s="708">
        <f t="shared" si="12"/>
        <v>100</v>
      </c>
      <c r="T27" s="707" t="s">
        <v>14</v>
      </c>
      <c r="U27" s="708">
        <f t="shared" si="13"/>
        <v>100</v>
      </c>
      <c r="V27" s="707" t="s">
        <v>14</v>
      </c>
      <c r="W27" s="708">
        <f t="shared" si="14"/>
        <v>100</v>
      </c>
      <c r="X27" s="709"/>
      <c r="Y27" s="3661"/>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1"/>
      <c r="Q28" s="1351" t="str">
        <f t="shared" si="11"/>
        <v>公共部分装修</v>
      </c>
      <c r="R28" s="704" t="s">
        <v>14</v>
      </c>
      <c r="S28" s="705">
        <f t="shared" si="12"/>
        <v>100</v>
      </c>
      <c r="T28" s="704" t="s">
        <v>14</v>
      </c>
      <c r="U28" s="705">
        <f t="shared" si="13"/>
        <v>100</v>
      </c>
      <c r="V28" s="704" t="s">
        <v>14</v>
      </c>
      <c r="W28" s="705">
        <f t="shared" si="14"/>
        <v>100</v>
      </c>
      <c r="X28" s="1354"/>
      <c r="Y28" s="3661"/>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1"/>
      <c r="Q29" s="1351" t="str">
        <f t="shared" si="11"/>
        <v>成新率</v>
      </c>
      <c r="R29" s="704" t="s">
        <v>14</v>
      </c>
      <c r="S29" s="705" t="e">
        <f t="shared" si="12"/>
        <v>#N/A</v>
      </c>
      <c r="T29" s="704" t="s">
        <v>14</v>
      </c>
      <c r="U29" s="705" t="e">
        <f t="shared" si="13"/>
        <v>#N/A</v>
      </c>
      <c r="V29" s="704" t="s">
        <v>14</v>
      </c>
      <c r="W29" s="705" t="e">
        <f t="shared" si="14"/>
        <v>#N/A</v>
      </c>
      <c r="X29" s="1354"/>
      <c r="Y29" s="3661"/>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61"/>
      <c r="Q30" s="1351" t="str">
        <f t="shared" si="11"/>
        <v>物业等级</v>
      </c>
      <c r="R30" s="704" t="s">
        <v>14</v>
      </c>
      <c r="S30" s="705">
        <f t="shared" si="12"/>
        <v>100</v>
      </c>
      <c r="T30" s="704" t="s">
        <v>14</v>
      </c>
      <c r="U30" s="705">
        <f t="shared" si="13"/>
        <v>100</v>
      </c>
      <c r="V30" s="704" t="s">
        <v>14</v>
      </c>
      <c r="W30" s="705">
        <f t="shared" si="14"/>
        <v>100</v>
      </c>
      <c r="X30" s="1354"/>
      <c r="Y30" s="3661"/>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1"/>
      <c r="Q31" s="1342" t="str">
        <f t="shared" si="11"/>
        <v>停车位面积</v>
      </c>
      <c r="R31" s="700" t="s">
        <v>14</v>
      </c>
      <c r="S31" s="701" t="e">
        <f t="shared" si="12"/>
        <v>#N/A</v>
      </c>
      <c r="T31" s="700" t="s">
        <v>14</v>
      </c>
      <c r="U31" s="701" t="e">
        <f t="shared" si="13"/>
        <v>#N/A</v>
      </c>
      <c r="V31" s="700" t="s">
        <v>14</v>
      </c>
      <c r="W31" s="701" t="e">
        <f t="shared" si="14"/>
        <v>#N/A</v>
      </c>
      <c r="X31" s="702"/>
      <c r="Y31" s="3661"/>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1" t="s">
        <v>1696</v>
      </c>
      <c r="Q32" s="1351" t="str">
        <f t="shared" si="11"/>
        <v>车位类型</v>
      </c>
      <c r="R32" s="704" t="s">
        <v>14</v>
      </c>
      <c r="S32" s="705">
        <f t="shared" si="12"/>
        <v>100</v>
      </c>
      <c r="T32" s="704" t="s">
        <v>14</v>
      </c>
      <c r="U32" s="705">
        <f t="shared" si="13"/>
        <v>100</v>
      </c>
      <c r="V32" s="704" t="s">
        <v>14</v>
      </c>
      <c r="W32" s="705">
        <f t="shared" si="14"/>
        <v>100</v>
      </c>
      <c r="X32" s="1354"/>
      <c r="Y32" s="3661"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1"/>
      <c r="Q33" s="1351" t="str">
        <f t="shared" si="11"/>
        <v>是否直接入户</v>
      </c>
      <c r="R33" s="704" t="s">
        <v>14</v>
      </c>
      <c r="S33" s="705">
        <f t="shared" si="12"/>
        <v>100</v>
      </c>
      <c r="T33" s="704" t="s">
        <v>14</v>
      </c>
      <c r="U33" s="705">
        <f t="shared" si="13"/>
        <v>100</v>
      </c>
      <c r="V33" s="704" t="s">
        <v>14</v>
      </c>
      <c r="W33" s="705">
        <f t="shared" si="14"/>
        <v>100</v>
      </c>
      <c r="X33" s="1354"/>
      <c r="Y33" s="3661"/>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1"/>
      <c r="Q34" s="1351">
        <f t="shared" si="11"/>
        <v>111</v>
      </c>
      <c r="R34" s="704" t="s">
        <v>14</v>
      </c>
      <c r="S34" s="705">
        <f t="shared" si="12"/>
        <v>100</v>
      </c>
      <c r="T34" s="704" t="s">
        <v>14</v>
      </c>
      <c r="U34" s="705">
        <f t="shared" si="13"/>
        <v>100</v>
      </c>
      <c r="V34" s="704" t="s">
        <v>14</v>
      </c>
      <c r="W34" s="705">
        <f t="shared" si="14"/>
        <v>100</v>
      </c>
      <c r="X34" s="1354"/>
      <c r="Y34" s="3661"/>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1"/>
      <c r="Q35" s="706">
        <f t="shared" si="11"/>
        <v>111</v>
      </c>
      <c r="R35" s="707" t="s">
        <v>14</v>
      </c>
      <c r="S35" s="708">
        <f t="shared" si="12"/>
        <v>100</v>
      </c>
      <c r="T35" s="707" t="s">
        <v>14</v>
      </c>
      <c r="U35" s="708">
        <f t="shared" si="13"/>
        <v>100</v>
      </c>
      <c r="V35" s="707" t="s">
        <v>14</v>
      </c>
      <c r="W35" s="708">
        <f t="shared" si="14"/>
        <v>100</v>
      </c>
      <c r="X35" s="709"/>
      <c r="Y35" s="3661"/>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1"/>
      <c r="Q36" s="1351">
        <f t="shared" si="11"/>
        <v>111</v>
      </c>
      <c r="R36" s="704" t="s">
        <v>14</v>
      </c>
      <c r="S36" s="705">
        <f t="shared" si="12"/>
        <v>100</v>
      </c>
      <c r="T36" s="704" t="s">
        <v>14</v>
      </c>
      <c r="U36" s="705">
        <f t="shared" si="13"/>
        <v>100</v>
      </c>
      <c r="V36" s="704" t="s">
        <v>14</v>
      </c>
      <c r="W36" s="705">
        <f t="shared" si="14"/>
        <v>100</v>
      </c>
      <c r="X36" s="1354"/>
      <c r="Y36" s="3661"/>
      <c r="Z36" s="1355">
        <f t="shared" si="15"/>
        <v>111</v>
      </c>
      <c r="AA36" s="1352">
        <f t="shared" si="3"/>
        <v>1</v>
      </c>
      <c r="AB36" s="1352">
        <f t="shared" si="4"/>
        <v>1</v>
      </c>
      <c r="AC36" s="1352">
        <f t="shared" si="5"/>
        <v>1</v>
      </c>
    </row>
    <row r="37" spans="1:29" ht="15">
      <c r="A37" s="430" t="s">
        <v>1844</v>
      </c>
      <c r="B37" s="1972" t="s">
        <v>3356</v>
      </c>
      <c r="C37" s="1153" t="s">
        <v>0</v>
      </c>
      <c r="D37" s="1154"/>
      <c r="E37" s="1155"/>
      <c r="F37" s="1156"/>
      <c r="G37" s="1157"/>
      <c r="H37" s="1158"/>
      <c r="I37" s="1155"/>
      <c r="J37" s="1158"/>
      <c r="K37" s="567"/>
      <c r="L37" s="2723"/>
      <c r="M37" s="2724"/>
      <c r="N37" s="2715"/>
      <c r="O37" s="2724"/>
      <c r="P37" s="3649" t="str">
        <f>A37</f>
        <v>成交单价</v>
      </c>
      <c r="Q37" s="3649"/>
      <c r="R37" s="3650">
        <f>E37</f>
        <v>0</v>
      </c>
      <c r="S37" s="3650"/>
      <c r="T37" s="3650">
        <f>G37</f>
        <v>0</v>
      </c>
      <c r="U37" s="3650"/>
      <c r="V37" s="3650">
        <f>I37</f>
        <v>0</v>
      </c>
      <c r="W37" s="3650"/>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51" t="str">
        <f>A39</f>
        <v>估价对象XX用房的比较价值（楼面单价，元/平方米）</v>
      </c>
      <c r="Q39" s="3652"/>
      <c r="R39" s="3732" t="e">
        <f>IF(F1="售价",ROUND(IF(D38="简单平均",AVERAGE(R38:W38),R38*F38+T38*H38+V38*J38),0),ROUND(IF(D38="简单平均",AVERAGE(R38:V38),R38*F38+T38*H38+V38*J38),1))</f>
        <v>#DIV/0!</v>
      </c>
      <c r="S39" s="3732"/>
      <c r="T39" s="3732"/>
      <c r="U39" s="3732"/>
      <c r="V39" s="3732"/>
      <c r="W39" s="373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63" t="s">
        <v>1773</v>
      </c>
      <c r="W4" s="3663"/>
      <c r="X4" s="1354"/>
      <c r="Y4" s="3678" t="s">
        <v>1775</v>
      </c>
      <c r="Z4" s="3679"/>
      <c r="AA4" s="3665" t="s">
        <v>1771</v>
      </c>
      <c r="AB4" s="3666" t="s">
        <v>1772</v>
      </c>
      <c r="AC4" s="3665" t="s">
        <v>1773</v>
      </c>
    </row>
    <row r="5" spans="1:29" ht="15">
      <c r="A5" s="358"/>
      <c r="B5" s="359"/>
      <c r="C5" s="3686" t="s">
        <v>1673</v>
      </c>
      <c r="D5" s="3687"/>
      <c r="E5" s="3693" t="s">
        <v>1674</v>
      </c>
      <c r="F5" s="3694"/>
      <c r="G5" s="3686" t="s">
        <v>1675</v>
      </c>
      <c r="H5" s="3687"/>
      <c r="I5" s="3686" t="s">
        <v>1676</v>
      </c>
      <c r="J5" s="3687"/>
      <c r="K5" s="559"/>
      <c r="L5" s="2714"/>
      <c r="M5" s="2715"/>
      <c r="N5" s="2715"/>
      <c r="O5" s="2715"/>
      <c r="P5" s="3674"/>
      <c r="Q5" s="3675"/>
      <c r="R5" s="3680"/>
      <c r="S5" s="3681"/>
      <c r="T5" s="3680"/>
      <c r="U5" s="3681"/>
      <c r="V5" s="3663"/>
      <c r="W5" s="3663"/>
      <c r="X5" s="1354"/>
      <c r="Y5" s="3680"/>
      <c r="Z5" s="3681"/>
      <c r="AA5" s="3666"/>
      <c r="AB5" s="3666"/>
      <c r="AC5" s="3666"/>
    </row>
    <row r="6" spans="1:29" ht="15.75" thickBot="1">
      <c r="A6" s="360"/>
      <c r="B6" s="361"/>
      <c r="C6" s="3684" t="s">
        <v>1677</v>
      </c>
      <c r="D6" s="3685"/>
      <c r="E6" s="3691" t="s">
        <v>1677</v>
      </c>
      <c r="F6" s="3692"/>
      <c r="G6" s="3684" t="s">
        <v>1677</v>
      </c>
      <c r="H6" s="3685"/>
      <c r="I6" s="3684" t="s">
        <v>1677</v>
      </c>
      <c r="J6" s="3685"/>
      <c r="K6" s="559" t="s">
        <v>1678</v>
      </c>
      <c r="L6" s="2714"/>
      <c r="M6" s="2715"/>
      <c r="N6" s="2715"/>
      <c r="O6" s="2715"/>
      <c r="P6" s="3676"/>
      <c r="Q6" s="3677"/>
      <c r="R6" s="3680"/>
      <c r="S6" s="3681"/>
      <c r="T6" s="3682"/>
      <c r="U6" s="3683"/>
      <c r="V6" s="3663"/>
      <c r="W6" s="3663"/>
      <c r="X6" s="1354"/>
      <c r="Y6" s="3682"/>
      <c r="Z6" s="3683"/>
      <c r="AA6" s="3667"/>
      <c r="AB6" s="3667"/>
      <c r="AC6" s="3667"/>
    </row>
    <row r="7" spans="1:29" s="108" customFormat="1" ht="15.75" thickBot="1">
      <c r="A7" s="362" t="s">
        <v>1679</v>
      </c>
      <c r="B7" s="363"/>
      <c r="C7" s="364">
        <f>'数据-取费表'!B2</f>
        <v>45429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8" t="s">
        <v>1680</v>
      </c>
      <c r="Q7" s="3690"/>
      <c r="R7" s="700" t="s">
        <v>14</v>
      </c>
      <c r="S7" s="701">
        <f t="shared" ref="S7:S14" si="0">F7</f>
        <v>0</v>
      </c>
      <c r="T7" s="700" t="s">
        <v>14</v>
      </c>
      <c r="U7" s="701">
        <f t="shared" ref="U7:U14" si="1">H7</f>
        <v>0</v>
      </c>
      <c r="V7" s="700" t="s">
        <v>14</v>
      </c>
      <c r="W7" s="701">
        <f t="shared" ref="W7:W14" si="2">J7</f>
        <v>0</v>
      </c>
      <c r="X7" s="702"/>
      <c r="Y7" s="3688" t="s">
        <v>1680</v>
      </c>
      <c r="Z7" s="368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8" t="s">
        <v>1683</v>
      </c>
      <c r="Q8" s="3689"/>
      <c r="R8" s="700" t="s">
        <v>14</v>
      </c>
      <c r="S8" s="701">
        <f t="shared" si="0"/>
        <v>100</v>
      </c>
      <c r="T8" s="700" t="s">
        <v>14</v>
      </c>
      <c r="U8" s="701">
        <f t="shared" si="1"/>
        <v>100</v>
      </c>
      <c r="V8" s="700" t="s">
        <v>14</v>
      </c>
      <c r="W8" s="701">
        <f t="shared" si="2"/>
        <v>100</v>
      </c>
      <c r="X8" s="702"/>
      <c r="Y8" s="3688" t="s">
        <v>1683</v>
      </c>
      <c r="Z8" s="368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9" t="s">
        <v>1686</v>
      </c>
      <c r="Q9" s="1342" t="str">
        <f t="shared" ref="Q9:Q14" si="6">B9</f>
        <v>用途</v>
      </c>
      <c r="R9" s="700" t="s">
        <v>14</v>
      </c>
      <c r="S9" s="701">
        <f t="shared" si="0"/>
        <v>100</v>
      </c>
      <c r="T9" s="700" t="s">
        <v>14</v>
      </c>
      <c r="U9" s="701">
        <f t="shared" si="1"/>
        <v>100</v>
      </c>
      <c r="V9" s="700" t="s">
        <v>14</v>
      </c>
      <c r="W9" s="701">
        <f t="shared" si="2"/>
        <v>100</v>
      </c>
      <c r="X9" s="702"/>
      <c r="Y9" s="3548"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9"/>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9"/>
      <c r="Q11" s="1342">
        <f t="shared" si="6"/>
        <v>111</v>
      </c>
      <c r="R11" s="700" t="s">
        <v>14</v>
      </c>
      <c r="S11" s="701">
        <f t="shared" si="0"/>
        <v>100</v>
      </c>
      <c r="T11" s="700" t="s">
        <v>14</v>
      </c>
      <c r="U11" s="701">
        <f t="shared" si="1"/>
        <v>100</v>
      </c>
      <c r="V11" s="700" t="s">
        <v>14</v>
      </c>
      <c r="W11" s="701">
        <f t="shared" si="2"/>
        <v>100</v>
      </c>
      <c r="X11" s="702"/>
      <c r="Y11" s="354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9"/>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49"/>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6" t="s">
        <v>1691</v>
      </c>
      <c r="Q14" s="1351" t="str">
        <f t="shared" si="6"/>
        <v>交通便捷度</v>
      </c>
      <c r="R14" s="704" t="s">
        <v>14</v>
      </c>
      <c r="S14" s="705">
        <f t="shared" si="0"/>
        <v>100</v>
      </c>
      <c r="T14" s="704" t="s">
        <v>14</v>
      </c>
      <c r="U14" s="705">
        <f t="shared" si="1"/>
        <v>100</v>
      </c>
      <c r="V14" s="704" t="s">
        <v>14</v>
      </c>
      <c r="W14" s="705">
        <f t="shared" si="2"/>
        <v>100</v>
      </c>
      <c r="X14" s="1354"/>
      <c r="Y14" s="365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57"/>
      <c r="Q15" s="1351"/>
      <c r="R15" s="704"/>
      <c r="S15" s="705"/>
      <c r="T15" s="704"/>
      <c r="U15" s="705"/>
      <c r="V15" s="704"/>
      <c r="W15" s="705"/>
      <c r="X15" s="1354"/>
      <c r="Y15" s="365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7"/>
      <c r="Q16" s="1351" t="str">
        <f>B16</f>
        <v>公共配套设施</v>
      </c>
      <c r="R16" s="704" t="s">
        <v>14</v>
      </c>
      <c r="S16" s="705">
        <f>F16</f>
        <v>100</v>
      </c>
      <c r="T16" s="704" t="s">
        <v>14</v>
      </c>
      <c r="U16" s="705">
        <f>H16</f>
        <v>100</v>
      </c>
      <c r="V16" s="704" t="s">
        <v>14</v>
      </c>
      <c r="W16" s="705">
        <f>J16</f>
        <v>100</v>
      </c>
      <c r="X16" s="1354"/>
      <c r="Y16" s="365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57"/>
      <c r="Q17" s="1351"/>
      <c r="R17" s="704"/>
      <c r="S17" s="705"/>
      <c r="T17" s="704"/>
      <c r="U17" s="705"/>
      <c r="V17" s="704"/>
      <c r="W17" s="705"/>
      <c r="X17" s="1354"/>
      <c r="Y17" s="3657"/>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7"/>
      <c r="Q18" s="1351" t="str">
        <f>B18</f>
        <v>基础设施水平</v>
      </c>
      <c r="R18" s="704" t="s">
        <v>14</v>
      </c>
      <c r="S18" s="705">
        <f>F18</f>
        <v>100</v>
      </c>
      <c r="T18" s="704" t="s">
        <v>14</v>
      </c>
      <c r="U18" s="705">
        <f>H18</f>
        <v>100</v>
      </c>
      <c r="V18" s="704" t="s">
        <v>14</v>
      </c>
      <c r="W18" s="705">
        <f>J18</f>
        <v>100</v>
      </c>
      <c r="X18" s="1354"/>
      <c r="Y18" s="365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57"/>
      <c r="Q19" s="1351"/>
      <c r="R19" s="704"/>
      <c r="S19" s="705"/>
      <c r="T19" s="704"/>
      <c r="U19" s="705"/>
      <c r="V19" s="704"/>
      <c r="W19" s="705"/>
      <c r="X19" s="1354"/>
      <c r="Y19" s="365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7"/>
      <c r="Q20" s="1351" t="str">
        <f>B20</f>
        <v>自然及人文环境</v>
      </c>
      <c r="R20" s="704" t="s">
        <v>14</v>
      </c>
      <c r="S20" s="705">
        <f>F20</f>
        <v>100</v>
      </c>
      <c r="T20" s="704" t="s">
        <v>14</v>
      </c>
      <c r="U20" s="705">
        <f>H20</f>
        <v>100</v>
      </c>
      <c r="V20" s="704" t="s">
        <v>14</v>
      </c>
      <c r="W20" s="705">
        <f>J20</f>
        <v>100</v>
      </c>
      <c r="X20" s="1354"/>
      <c r="Y20" s="365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57"/>
      <c r="Q21" s="1351"/>
      <c r="R21" s="704"/>
      <c r="S21" s="705"/>
      <c r="T21" s="704"/>
      <c r="U21" s="705"/>
      <c r="V21" s="704"/>
      <c r="W21" s="705"/>
      <c r="X21" s="1354"/>
      <c r="Y21" s="365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7"/>
      <c r="Q22" s="1351" t="str">
        <f>B22</f>
        <v>楼层</v>
      </c>
      <c r="R22" s="704" t="s">
        <v>14</v>
      </c>
      <c r="S22" s="705">
        <f>F22</f>
        <v>100</v>
      </c>
      <c r="T22" s="704" t="s">
        <v>14</v>
      </c>
      <c r="U22" s="705">
        <f>H22</f>
        <v>100</v>
      </c>
      <c r="V22" s="704" t="s">
        <v>14</v>
      </c>
      <c r="W22" s="705">
        <f>J22</f>
        <v>100</v>
      </c>
      <c r="X22" s="1354"/>
      <c r="Y22" s="365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7"/>
      <c r="Q23" s="1351">
        <f>B23</f>
        <v>111</v>
      </c>
      <c r="R23" s="704" t="s">
        <v>14</v>
      </c>
      <c r="S23" s="705">
        <f>F23</f>
        <v>100</v>
      </c>
      <c r="T23" s="704" t="s">
        <v>14</v>
      </c>
      <c r="U23" s="705">
        <f>H23</f>
        <v>100</v>
      </c>
      <c r="V23" s="704" t="s">
        <v>14</v>
      </c>
      <c r="W23" s="705">
        <f>J23</f>
        <v>100</v>
      </c>
      <c r="X23" s="1354"/>
      <c r="Y23" s="365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7"/>
      <c r="Q24" s="1351">
        <f t="shared" ref="Q24:Q34" si="11">B24</f>
        <v>111</v>
      </c>
      <c r="R24" s="704" t="s">
        <v>14</v>
      </c>
      <c r="S24" s="705">
        <f>F24</f>
        <v>100</v>
      </c>
      <c r="T24" s="704" t="s">
        <v>14</v>
      </c>
      <c r="U24" s="705">
        <f>H24</f>
        <v>100</v>
      </c>
      <c r="V24" s="704" t="s">
        <v>14</v>
      </c>
      <c r="W24" s="705">
        <f>J24</f>
        <v>100</v>
      </c>
      <c r="X24" s="1354"/>
      <c r="Y24" s="3657"/>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57"/>
      <c r="Q25" s="1342">
        <f t="shared" si="11"/>
        <v>111</v>
      </c>
      <c r="R25" s="700" t="s">
        <v>14</v>
      </c>
      <c r="S25" s="701">
        <f>F25</f>
        <v>100</v>
      </c>
      <c r="T25" s="700" t="s">
        <v>14</v>
      </c>
      <c r="U25" s="701">
        <f>H25</f>
        <v>100</v>
      </c>
      <c r="V25" s="700" t="s">
        <v>14</v>
      </c>
      <c r="W25" s="701">
        <f>J25</f>
        <v>100</v>
      </c>
      <c r="X25" s="702"/>
      <c r="Y25" s="3657"/>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3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1"/>
      <c r="Q27" s="706" t="str">
        <f t="shared" si="11"/>
        <v>成新率</v>
      </c>
      <c r="R27" s="707" t="s">
        <v>14</v>
      </c>
      <c r="S27" s="708" t="e">
        <f t="shared" si="12"/>
        <v>#N/A</v>
      </c>
      <c r="T27" s="707" t="s">
        <v>14</v>
      </c>
      <c r="U27" s="708" t="e">
        <f t="shared" si="13"/>
        <v>#N/A</v>
      </c>
      <c r="V27" s="707" t="s">
        <v>14</v>
      </c>
      <c r="W27" s="708" t="e">
        <f t="shared" si="14"/>
        <v>#N/A</v>
      </c>
      <c r="X27" s="709"/>
      <c r="Y27" s="366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1"/>
      <c r="Q28" s="1351" t="str">
        <f t="shared" si="11"/>
        <v>物业等级</v>
      </c>
      <c r="R28" s="704" t="s">
        <v>14</v>
      </c>
      <c r="S28" s="705">
        <f t="shared" si="12"/>
        <v>100</v>
      </c>
      <c r="T28" s="704" t="s">
        <v>14</v>
      </c>
      <c r="U28" s="705">
        <f t="shared" si="13"/>
        <v>100</v>
      </c>
      <c r="V28" s="704" t="s">
        <v>14</v>
      </c>
      <c r="W28" s="705">
        <f t="shared" si="14"/>
        <v>100</v>
      </c>
      <c r="X28" s="1354"/>
      <c r="Y28" s="3661"/>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61"/>
      <c r="Q29" s="1351" t="str">
        <f t="shared" si="11"/>
        <v>有无电梯</v>
      </c>
      <c r="R29" s="704" t="s">
        <v>14</v>
      </c>
      <c r="S29" s="705">
        <f t="shared" si="12"/>
        <v>100</v>
      </c>
      <c r="T29" s="704" t="s">
        <v>14</v>
      </c>
      <c r="U29" s="705">
        <f t="shared" si="13"/>
        <v>100</v>
      </c>
      <c r="V29" s="704" t="s">
        <v>14</v>
      </c>
      <c r="W29" s="705">
        <f t="shared" si="14"/>
        <v>100</v>
      </c>
      <c r="X29" s="1354"/>
      <c r="Y29" s="366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1"/>
      <c r="Q30" s="1351" t="str">
        <f t="shared" si="11"/>
        <v>建筑面积</v>
      </c>
      <c r="R30" s="704" t="s">
        <v>14</v>
      </c>
      <c r="S30" s="705" t="e">
        <f t="shared" si="12"/>
        <v>#N/A</v>
      </c>
      <c r="T30" s="704" t="s">
        <v>14</v>
      </c>
      <c r="U30" s="705" t="e">
        <f t="shared" si="13"/>
        <v>#N/A</v>
      </c>
      <c r="V30" s="704" t="s">
        <v>14</v>
      </c>
      <c r="W30" s="705" t="e">
        <f t="shared" si="14"/>
        <v>#N/A</v>
      </c>
      <c r="X30" s="1354"/>
      <c r="Y30" s="3661"/>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61"/>
      <c r="Q31" s="1342" t="str">
        <f t="shared" si="11"/>
        <v>是否封闭</v>
      </c>
      <c r="R31" s="700" t="s">
        <v>14</v>
      </c>
      <c r="S31" s="701">
        <f t="shared" si="12"/>
        <v>100</v>
      </c>
      <c r="T31" s="700" t="s">
        <v>14</v>
      </c>
      <c r="U31" s="701">
        <f t="shared" si="13"/>
        <v>100</v>
      </c>
      <c r="V31" s="700" t="s">
        <v>14</v>
      </c>
      <c r="W31" s="701">
        <f t="shared" si="14"/>
        <v>100</v>
      </c>
      <c r="X31" s="702"/>
      <c r="Y31" s="366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1" t="s">
        <v>1696</v>
      </c>
      <c r="Q32" s="1351">
        <f t="shared" si="11"/>
        <v>111</v>
      </c>
      <c r="R32" s="704" t="s">
        <v>14</v>
      </c>
      <c r="S32" s="705">
        <f t="shared" si="12"/>
        <v>100</v>
      </c>
      <c r="T32" s="704" t="s">
        <v>14</v>
      </c>
      <c r="U32" s="705">
        <f t="shared" si="13"/>
        <v>100</v>
      </c>
      <c r="V32" s="704" t="s">
        <v>14</v>
      </c>
      <c r="W32" s="705">
        <f t="shared" si="14"/>
        <v>100</v>
      </c>
      <c r="X32" s="1354"/>
      <c r="Y32" s="366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1"/>
      <c r="Q33" s="1351">
        <f t="shared" si="11"/>
        <v>111</v>
      </c>
      <c r="R33" s="704" t="s">
        <v>14</v>
      </c>
      <c r="S33" s="705">
        <f t="shared" si="12"/>
        <v>100</v>
      </c>
      <c r="T33" s="704" t="s">
        <v>14</v>
      </c>
      <c r="U33" s="705">
        <f t="shared" si="13"/>
        <v>100</v>
      </c>
      <c r="V33" s="704" t="s">
        <v>14</v>
      </c>
      <c r="W33" s="705">
        <f t="shared" si="14"/>
        <v>100</v>
      </c>
      <c r="X33" s="1354"/>
      <c r="Y33" s="366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1"/>
      <c r="Q34" s="1351">
        <f t="shared" si="11"/>
        <v>111</v>
      </c>
      <c r="R34" s="704" t="s">
        <v>14</v>
      </c>
      <c r="S34" s="705">
        <f t="shared" si="12"/>
        <v>100</v>
      </c>
      <c r="T34" s="704" t="s">
        <v>14</v>
      </c>
      <c r="U34" s="705">
        <f t="shared" si="13"/>
        <v>100</v>
      </c>
      <c r="V34" s="704" t="s">
        <v>14</v>
      </c>
      <c r="W34" s="705">
        <f t="shared" si="14"/>
        <v>100</v>
      </c>
      <c r="X34" s="1354"/>
      <c r="Y34" s="366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49" t="str">
        <f>A35</f>
        <v>成交单价（元/平方米）</v>
      </c>
      <c r="Q35" s="3649"/>
      <c r="R35" s="3650">
        <f>E35</f>
        <v>0</v>
      </c>
      <c r="S35" s="3650"/>
      <c r="T35" s="3650">
        <f>G35</f>
        <v>0</v>
      </c>
      <c r="U35" s="3650"/>
      <c r="V35" s="3650">
        <f>I35</f>
        <v>0</v>
      </c>
      <c r="W35" s="3650"/>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51" t="str">
        <f>A37</f>
        <v>估价对象XX用房的比较价值（楼面单价，元/平方米）</v>
      </c>
      <c r="Q37" s="3652"/>
      <c r="R37" s="3732" t="e">
        <f>IF(F1="售价",ROUND(IF(D36="简单平均",AVERAGE(R36:W36),R36*F36+T36*H36+V36*J36),0),ROUND(IF(D36="简单平均",AVERAGE(R36:V36),R36*F36+T36*H36+V36*J36),1))</f>
        <v>#DIV/0!</v>
      </c>
      <c r="S37" s="3732"/>
      <c r="T37" s="3732"/>
      <c r="U37" s="3732"/>
      <c r="V37" s="3732"/>
      <c r="W37" s="373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63" t="s">
        <v>1773</v>
      </c>
      <c r="W4" s="3663"/>
      <c r="X4" s="1354"/>
      <c r="Y4" s="3678" t="s">
        <v>1775</v>
      </c>
      <c r="Z4" s="3679"/>
      <c r="AA4" s="3665" t="s">
        <v>1771</v>
      </c>
      <c r="AB4" s="3666" t="s">
        <v>1772</v>
      </c>
      <c r="AC4" s="3665" t="s">
        <v>1773</v>
      </c>
    </row>
    <row r="5" spans="1:30" ht="15">
      <c r="A5" s="358"/>
      <c r="B5" s="359"/>
      <c r="C5" s="3686" t="s">
        <v>1673</v>
      </c>
      <c r="D5" s="3687"/>
      <c r="E5" s="3693" t="s">
        <v>1674</v>
      </c>
      <c r="F5" s="3694"/>
      <c r="G5" s="3686" t="s">
        <v>1675</v>
      </c>
      <c r="H5" s="3687"/>
      <c r="I5" s="3686" t="s">
        <v>1676</v>
      </c>
      <c r="J5" s="3687"/>
      <c r="K5" s="559"/>
      <c r="L5" s="2714"/>
      <c r="M5" s="2715"/>
      <c r="N5" s="2715"/>
      <c r="O5" s="2715"/>
      <c r="P5" s="3674"/>
      <c r="Q5" s="3675"/>
      <c r="R5" s="3680"/>
      <c r="S5" s="3681"/>
      <c r="T5" s="3680"/>
      <c r="U5" s="3681"/>
      <c r="V5" s="3663"/>
      <c r="W5" s="3663"/>
      <c r="X5" s="1354"/>
      <c r="Y5" s="3680"/>
      <c r="Z5" s="3681"/>
      <c r="AA5" s="3666"/>
      <c r="AB5" s="3666"/>
      <c r="AC5" s="3666"/>
    </row>
    <row r="6" spans="1:30" ht="15.75" thickBot="1">
      <c r="A6" s="360"/>
      <c r="B6" s="361"/>
      <c r="C6" s="3684" t="s">
        <v>1677</v>
      </c>
      <c r="D6" s="3685"/>
      <c r="E6" s="3691" t="s">
        <v>1677</v>
      </c>
      <c r="F6" s="3692"/>
      <c r="G6" s="3684" t="s">
        <v>1677</v>
      </c>
      <c r="H6" s="3685"/>
      <c r="I6" s="3684" t="s">
        <v>1677</v>
      </c>
      <c r="J6" s="3685"/>
      <c r="K6" s="559" t="s">
        <v>1678</v>
      </c>
      <c r="L6" s="2714"/>
      <c r="M6" s="2715"/>
      <c r="N6" s="2715"/>
      <c r="O6" s="2715"/>
      <c r="P6" s="3676"/>
      <c r="Q6" s="3677"/>
      <c r="R6" s="3680"/>
      <c r="S6" s="3681"/>
      <c r="T6" s="3682"/>
      <c r="U6" s="3683"/>
      <c r="V6" s="3663"/>
      <c r="W6" s="3663"/>
      <c r="X6" s="1354"/>
      <c r="Y6" s="3682"/>
      <c r="Z6" s="3683"/>
      <c r="AA6" s="3667"/>
      <c r="AB6" s="3667"/>
      <c r="AC6" s="3667"/>
    </row>
    <row r="7" spans="1:30" s="108" customFormat="1" ht="15.75" thickBot="1">
      <c r="A7" s="362" t="s">
        <v>1679</v>
      </c>
      <c r="B7" s="363"/>
      <c r="C7" s="364">
        <f>'数据-取费表'!B2</f>
        <v>45429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8" t="s">
        <v>1680</v>
      </c>
      <c r="Q7" s="3690"/>
      <c r="R7" s="700" t="s">
        <v>14</v>
      </c>
      <c r="S7" s="701">
        <f t="shared" ref="S7:S15" si="0">F7</f>
        <v>0</v>
      </c>
      <c r="T7" s="700" t="s">
        <v>14</v>
      </c>
      <c r="U7" s="701">
        <f t="shared" ref="U7:U15" si="1">H7</f>
        <v>0</v>
      </c>
      <c r="V7" s="700" t="s">
        <v>14</v>
      </c>
      <c r="W7" s="701">
        <f t="shared" ref="W7:W15" si="2">J7</f>
        <v>0</v>
      </c>
      <c r="X7" s="702"/>
      <c r="Y7" s="3688" t="s">
        <v>1680</v>
      </c>
      <c r="Z7" s="368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8" t="s">
        <v>1683</v>
      </c>
      <c r="Q8" s="3689"/>
      <c r="R8" s="700" t="s">
        <v>14</v>
      </c>
      <c r="S8" s="701">
        <f t="shared" si="0"/>
        <v>0</v>
      </c>
      <c r="T8" s="700" t="s">
        <v>14</v>
      </c>
      <c r="U8" s="701">
        <f t="shared" si="1"/>
        <v>0</v>
      </c>
      <c r="V8" s="700" t="s">
        <v>14</v>
      </c>
      <c r="W8" s="701">
        <f t="shared" si="2"/>
        <v>0</v>
      </c>
      <c r="X8" s="702"/>
      <c r="Y8" s="3688" t="s">
        <v>1683</v>
      </c>
      <c r="Z8" s="368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49"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19"/>
      <c r="L10" s="2718"/>
      <c r="M10" s="2719"/>
      <c r="N10" s="2719"/>
      <c r="O10" s="2772"/>
      <c r="P10" s="3649"/>
      <c r="Q10" s="1342" t="str">
        <f t="shared" si="6"/>
        <v>土地使用年限（年）</v>
      </c>
      <c r="R10" s="700" t="s">
        <v>14</v>
      </c>
      <c r="S10" s="701">
        <f t="shared" si="0"/>
        <v>110</v>
      </c>
      <c r="T10" s="700" t="s">
        <v>14</v>
      </c>
      <c r="U10" s="701">
        <f t="shared" si="1"/>
        <v>110</v>
      </c>
      <c r="V10" s="700" t="s">
        <v>14</v>
      </c>
      <c r="W10" s="701">
        <f t="shared" si="2"/>
        <v>110</v>
      </c>
      <c r="X10" s="702"/>
      <c r="Y10" s="3548"/>
      <c r="Z10" s="52" t="str">
        <f t="shared" si="7"/>
        <v>土地使用年限（年）</v>
      </c>
      <c r="AA10" s="703">
        <f t="shared" si="3"/>
        <v>0.90909090909090906</v>
      </c>
      <c r="AB10" s="703">
        <f t="shared" si="4"/>
        <v>0.90909090909090906</v>
      </c>
      <c r="AC10" s="703">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49"/>
      <c r="Q11" s="1342" t="str">
        <f t="shared" si="6"/>
        <v>容积率</v>
      </c>
      <c r="R11" s="700" t="s">
        <v>14</v>
      </c>
      <c r="S11" s="701" t="e">
        <f t="shared" si="0"/>
        <v>#N/A</v>
      </c>
      <c r="T11" s="700" t="s">
        <v>14</v>
      </c>
      <c r="U11" s="701" t="e">
        <f t="shared" si="1"/>
        <v>#N/A</v>
      </c>
      <c r="V11" s="700" t="s">
        <v>14</v>
      </c>
      <c r="W11" s="701" t="e">
        <f t="shared" si="2"/>
        <v>#N/A</v>
      </c>
      <c r="X11" s="702"/>
      <c r="Y11" s="3548"/>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49"/>
      <c r="Q12" s="1342" t="str">
        <f t="shared" si="6"/>
        <v>配建</v>
      </c>
      <c r="R12" s="700" t="s">
        <v>14</v>
      </c>
      <c r="S12" s="701">
        <f t="shared" si="0"/>
        <v>100</v>
      </c>
      <c r="T12" s="700" t="s">
        <v>14</v>
      </c>
      <c r="U12" s="701">
        <f t="shared" si="1"/>
        <v>100</v>
      </c>
      <c r="V12" s="700" t="s">
        <v>14</v>
      </c>
      <c r="W12" s="701">
        <f t="shared" si="2"/>
        <v>100</v>
      </c>
      <c r="X12" s="702"/>
      <c r="Y12" s="354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49"/>
      <c r="Q13" s="1342">
        <f t="shared" si="6"/>
        <v>111</v>
      </c>
      <c r="R13" s="700" t="s">
        <v>14</v>
      </c>
      <c r="S13" s="701">
        <f t="shared" si="0"/>
        <v>100</v>
      </c>
      <c r="T13" s="700" t="s">
        <v>14</v>
      </c>
      <c r="U13" s="701">
        <f t="shared" si="1"/>
        <v>100</v>
      </c>
      <c r="V13" s="700" t="s">
        <v>14</v>
      </c>
      <c r="W13" s="701">
        <f t="shared" si="2"/>
        <v>100</v>
      </c>
      <c r="X13" s="702"/>
      <c r="Y13" s="354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49"/>
      <c r="Q14" s="1342">
        <f t="shared" si="6"/>
        <v>111</v>
      </c>
      <c r="R14" s="700" t="s">
        <v>14</v>
      </c>
      <c r="S14" s="701">
        <f t="shared" si="0"/>
        <v>100</v>
      </c>
      <c r="T14" s="700" t="s">
        <v>14</v>
      </c>
      <c r="U14" s="701">
        <f t="shared" si="1"/>
        <v>100</v>
      </c>
      <c r="V14" s="700" t="s">
        <v>14</v>
      </c>
      <c r="W14" s="701">
        <f t="shared" si="2"/>
        <v>100</v>
      </c>
      <c r="X14" s="702"/>
      <c r="Y14" s="3548"/>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56" t="s">
        <v>1691</v>
      </c>
      <c r="Q15" s="1351" t="str">
        <f t="shared" si="6"/>
        <v>居住社区成熟度</v>
      </c>
      <c r="R15" s="704" t="s">
        <v>14</v>
      </c>
      <c r="S15" s="705">
        <f t="shared" si="0"/>
        <v>100</v>
      </c>
      <c r="T15" s="704" t="s">
        <v>14</v>
      </c>
      <c r="U15" s="705">
        <f t="shared" si="1"/>
        <v>100</v>
      </c>
      <c r="V15" s="704" t="s">
        <v>14</v>
      </c>
      <c r="W15" s="705">
        <f t="shared" si="2"/>
        <v>100</v>
      </c>
      <c r="X15" s="1354"/>
      <c r="Y15" s="365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57"/>
      <c r="Q16" s="1351"/>
      <c r="R16" s="704"/>
      <c r="S16" s="705"/>
      <c r="T16" s="704"/>
      <c r="U16" s="705"/>
      <c r="V16" s="704"/>
      <c r="W16" s="705"/>
      <c r="X16" s="1354"/>
      <c r="Y16" s="365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57"/>
      <c r="Q17" s="1351" t="str">
        <f>B17</f>
        <v>商业繁华度</v>
      </c>
      <c r="R17" s="704" t="s">
        <v>14</v>
      </c>
      <c r="S17" s="705">
        <f>F17</f>
        <v>100</v>
      </c>
      <c r="T17" s="704" t="s">
        <v>14</v>
      </c>
      <c r="U17" s="705">
        <f>H17</f>
        <v>100</v>
      </c>
      <c r="V17" s="704" t="s">
        <v>14</v>
      </c>
      <c r="W17" s="705">
        <f>J17</f>
        <v>100</v>
      </c>
      <c r="X17" s="1354"/>
      <c r="Y17" s="365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57"/>
      <c r="Q18" s="1351"/>
      <c r="R18" s="704"/>
      <c r="S18" s="705"/>
      <c r="T18" s="704"/>
      <c r="U18" s="705"/>
      <c r="V18" s="704"/>
      <c r="W18" s="705"/>
      <c r="X18" s="1354"/>
      <c r="Y18" s="365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57"/>
      <c r="Q19" s="1351" t="str">
        <f>B19</f>
        <v>办公集聚程度</v>
      </c>
      <c r="R19" s="704" t="s">
        <v>14</v>
      </c>
      <c r="S19" s="705">
        <f>F19</f>
        <v>100</v>
      </c>
      <c r="T19" s="704" t="s">
        <v>14</v>
      </c>
      <c r="U19" s="705">
        <f>H19</f>
        <v>100</v>
      </c>
      <c r="V19" s="704" t="s">
        <v>14</v>
      </c>
      <c r="W19" s="705">
        <f>J19</f>
        <v>100</v>
      </c>
      <c r="X19" s="1354"/>
      <c r="Y19" s="365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57"/>
      <c r="Q20" s="1351"/>
      <c r="R20" s="704"/>
      <c r="S20" s="705"/>
      <c r="T20" s="704"/>
      <c r="U20" s="705"/>
      <c r="V20" s="704"/>
      <c r="W20" s="705"/>
      <c r="X20" s="1354"/>
      <c r="Y20" s="365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57"/>
      <c r="Q21" s="1351" t="str">
        <f>B21</f>
        <v>交通便捷度</v>
      </c>
      <c r="R21" s="704" t="s">
        <v>14</v>
      </c>
      <c r="S21" s="705">
        <f>F21</f>
        <v>100</v>
      </c>
      <c r="T21" s="704" t="s">
        <v>14</v>
      </c>
      <c r="U21" s="705">
        <f>H21</f>
        <v>100</v>
      </c>
      <c r="V21" s="704" t="s">
        <v>14</v>
      </c>
      <c r="W21" s="705">
        <f>J21</f>
        <v>100</v>
      </c>
      <c r="X21" s="1354"/>
      <c r="Y21" s="365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57"/>
      <c r="Q22" s="1351"/>
      <c r="R22" s="704"/>
      <c r="S22" s="705"/>
      <c r="T22" s="704"/>
      <c r="U22" s="705"/>
      <c r="V22" s="704"/>
      <c r="W22" s="705"/>
      <c r="X22" s="1354"/>
      <c r="Y22" s="365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57"/>
      <c r="Q23" s="1351" t="str">
        <f t="shared" ref="Q23:Q37" si="8">B23</f>
        <v>区域土地利用方向</v>
      </c>
      <c r="R23" s="704" t="s">
        <v>14</v>
      </c>
      <c r="S23" s="705">
        <f>F23</f>
        <v>100</v>
      </c>
      <c r="T23" s="704" t="s">
        <v>14</v>
      </c>
      <c r="U23" s="705">
        <f>H23</f>
        <v>100</v>
      </c>
      <c r="V23" s="704" t="s">
        <v>14</v>
      </c>
      <c r="W23" s="705">
        <f>J23</f>
        <v>100</v>
      </c>
      <c r="X23" s="1354"/>
      <c r="Y23" s="365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57"/>
      <c r="Q24" s="1351"/>
      <c r="R24" s="704"/>
      <c r="S24" s="705"/>
      <c r="T24" s="704"/>
      <c r="U24" s="705"/>
      <c r="V24" s="704"/>
      <c r="W24" s="705"/>
      <c r="X24" s="1354"/>
      <c r="Y24" s="3657"/>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57"/>
      <c r="Q25" s="1351" t="str">
        <f t="shared" si="8"/>
        <v>自然及人文环境状况</v>
      </c>
      <c r="R25" s="704" t="s">
        <v>14</v>
      </c>
      <c r="S25" s="705">
        <f>F25</f>
        <v>100</v>
      </c>
      <c r="T25" s="704" t="s">
        <v>14</v>
      </c>
      <c r="U25" s="705">
        <f>H25</f>
        <v>100</v>
      </c>
      <c r="V25" s="704" t="s">
        <v>14</v>
      </c>
      <c r="W25" s="705">
        <f>J25</f>
        <v>100</v>
      </c>
      <c r="X25" s="1354"/>
      <c r="Y25" s="365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57"/>
      <c r="Q26" s="1351"/>
      <c r="R26" s="704"/>
      <c r="S26" s="705"/>
      <c r="T26" s="704"/>
      <c r="U26" s="705"/>
      <c r="V26" s="704"/>
      <c r="W26" s="705"/>
      <c r="X26" s="1354"/>
      <c r="Y26" s="3657"/>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57"/>
      <c r="Q27" s="1342" t="str">
        <f t="shared" si="8"/>
        <v>公共配套设施</v>
      </c>
      <c r="R27" s="700" t="s">
        <v>14</v>
      </c>
      <c r="S27" s="701">
        <f>F27</f>
        <v>100</v>
      </c>
      <c r="T27" s="700" t="s">
        <v>14</v>
      </c>
      <c r="U27" s="701">
        <f>H27</f>
        <v>100</v>
      </c>
      <c r="V27" s="700" t="s">
        <v>14</v>
      </c>
      <c r="W27" s="701">
        <f>J27</f>
        <v>100</v>
      </c>
      <c r="X27" s="702"/>
      <c r="Y27" s="3657"/>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57"/>
      <c r="Q28" s="1342"/>
      <c r="R28" s="700"/>
      <c r="S28" s="701"/>
      <c r="T28" s="700"/>
      <c r="U28" s="701"/>
      <c r="V28" s="700"/>
      <c r="W28" s="701"/>
      <c r="X28" s="702"/>
      <c r="Y28" s="3657"/>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57"/>
      <c r="Q29" s="1342" t="str">
        <f t="shared" ref="Q29" si="9">B29</f>
        <v>基础设施水平</v>
      </c>
      <c r="R29" s="700" t="s">
        <v>14</v>
      </c>
      <c r="S29" s="701">
        <f>F29</f>
        <v>100</v>
      </c>
      <c r="T29" s="700" t="s">
        <v>14</v>
      </c>
      <c r="U29" s="701">
        <f>H29</f>
        <v>100</v>
      </c>
      <c r="V29" s="700" t="s">
        <v>14</v>
      </c>
      <c r="W29" s="701">
        <f>J29</f>
        <v>100</v>
      </c>
      <c r="X29" s="702"/>
      <c r="Y29" s="3657"/>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57"/>
      <c r="Q30" s="1342"/>
      <c r="R30" s="700"/>
      <c r="S30" s="701"/>
      <c r="T30" s="700"/>
      <c r="U30" s="701"/>
      <c r="V30" s="700"/>
      <c r="W30" s="701"/>
      <c r="X30" s="702"/>
      <c r="Y30" s="3657"/>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5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5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57"/>
      <c r="Q32" s="1351" t="str">
        <f t="shared" si="8"/>
        <v>毗邻道路的类型与等级</v>
      </c>
      <c r="R32" s="704" t="s">
        <v>14</v>
      </c>
      <c r="S32" s="705">
        <f t="shared" si="10"/>
        <v>100</v>
      </c>
      <c r="T32" s="704" t="s">
        <v>14</v>
      </c>
      <c r="U32" s="705">
        <f t="shared" si="11"/>
        <v>100</v>
      </c>
      <c r="V32" s="704" t="s">
        <v>14</v>
      </c>
      <c r="W32" s="705">
        <f t="shared" si="12"/>
        <v>100</v>
      </c>
      <c r="X32" s="1354"/>
      <c r="Y32" s="365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57"/>
      <c r="Q33" s="1351"/>
      <c r="R33" s="704"/>
      <c r="S33" s="705"/>
      <c r="T33" s="704"/>
      <c r="U33" s="705"/>
      <c r="V33" s="704"/>
      <c r="W33" s="705"/>
      <c r="X33" s="1354"/>
      <c r="Y33" s="3657"/>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57"/>
      <c r="Q34" s="1351" t="str">
        <f t="shared" si="8"/>
        <v>土地级别</v>
      </c>
      <c r="R34" s="704" t="s">
        <v>14</v>
      </c>
      <c r="S34" s="705">
        <f t="shared" si="10"/>
        <v>100</v>
      </c>
      <c r="T34" s="704" t="s">
        <v>14</v>
      </c>
      <c r="U34" s="705">
        <f t="shared" si="11"/>
        <v>100</v>
      </c>
      <c r="V34" s="704" t="s">
        <v>14</v>
      </c>
      <c r="W34" s="705">
        <f t="shared" si="12"/>
        <v>100</v>
      </c>
      <c r="X34" s="1354"/>
      <c r="Y34" s="3657"/>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57"/>
      <c r="Q35" s="1351">
        <f t="shared" si="8"/>
        <v>111</v>
      </c>
      <c r="R35" s="704" t="s">
        <v>14</v>
      </c>
      <c r="S35" s="705">
        <f t="shared" si="10"/>
        <v>100</v>
      </c>
      <c r="T35" s="704" t="s">
        <v>14</v>
      </c>
      <c r="U35" s="705">
        <f t="shared" si="11"/>
        <v>100</v>
      </c>
      <c r="V35" s="704" t="s">
        <v>14</v>
      </c>
      <c r="W35" s="705">
        <f t="shared" si="12"/>
        <v>100</v>
      </c>
      <c r="X35" s="1354"/>
      <c r="Y35" s="3657"/>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31" t="s">
        <v>1696</v>
      </c>
      <c r="Q36" s="1351">
        <f t="shared" si="8"/>
        <v>111</v>
      </c>
      <c r="R36" s="704" t="s">
        <v>14</v>
      </c>
      <c r="S36" s="705">
        <f t="shared" si="10"/>
        <v>100</v>
      </c>
      <c r="T36" s="704" t="s">
        <v>14</v>
      </c>
      <c r="U36" s="705">
        <f t="shared" si="11"/>
        <v>100</v>
      </c>
      <c r="V36" s="704" t="s">
        <v>14</v>
      </c>
      <c r="W36" s="705">
        <f t="shared" si="12"/>
        <v>100</v>
      </c>
      <c r="X36" s="1354"/>
      <c r="Y36" s="3661"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61"/>
      <c r="Q37" s="1351">
        <f t="shared" si="8"/>
        <v>111</v>
      </c>
      <c r="R37" s="707" t="s">
        <v>14</v>
      </c>
      <c r="S37" s="708">
        <f t="shared" si="10"/>
        <v>100</v>
      </c>
      <c r="T37" s="707" t="s">
        <v>14</v>
      </c>
      <c r="U37" s="708">
        <f t="shared" si="11"/>
        <v>100</v>
      </c>
      <c r="V37" s="707" t="s">
        <v>14</v>
      </c>
      <c r="W37" s="708">
        <f t="shared" si="12"/>
        <v>100</v>
      </c>
      <c r="X37" s="709"/>
      <c r="Y37" s="3661"/>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61"/>
      <c r="Q38" s="1351" t="str">
        <f>B38</f>
        <v>宗地面积</v>
      </c>
      <c r="R38" s="704" t="s">
        <v>14</v>
      </c>
      <c r="S38" s="705" t="e">
        <f t="shared" si="10"/>
        <v>#N/A</v>
      </c>
      <c r="T38" s="704" t="s">
        <v>14</v>
      </c>
      <c r="U38" s="705" t="e">
        <f t="shared" si="11"/>
        <v>#N/A</v>
      </c>
      <c r="V38" s="704" t="s">
        <v>14</v>
      </c>
      <c r="W38" s="705" t="e">
        <f t="shared" si="12"/>
        <v>#N/A</v>
      </c>
      <c r="X38" s="1354"/>
      <c r="Y38" s="366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1"/>
      <c r="Q39" s="1351" t="str">
        <f t="shared" ref="Q39:Q45" si="14">B39</f>
        <v>宗地形状</v>
      </c>
      <c r="R39" s="704" t="s">
        <v>14</v>
      </c>
      <c r="S39" s="705">
        <f t="shared" si="10"/>
        <v>100</v>
      </c>
      <c r="T39" s="704" t="s">
        <v>14</v>
      </c>
      <c r="U39" s="705">
        <f t="shared" si="11"/>
        <v>100</v>
      </c>
      <c r="V39" s="704" t="s">
        <v>14</v>
      </c>
      <c r="W39" s="705">
        <f t="shared" si="12"/>
        <v>100</v>
      </c>
      <c r="X39" s="1354"/>
      <c r="Y39" s="366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1"/>
      <c r="Q40" s="1351" t="str">
        <f t="shared" si="14"/>
        <v>临街宽度及深度</v>
      </c>
      <c r="R40" s="704" t="s">
        <v>14</v>
      </c>
      <c r="S40" s="705">
        <f t="shared" si="10"/>
        <v>100</v>
      </c>
      <c r="T40" s="704" t="s">
        <v>14</v>
      </c>
      <c r="U40" s="705">
        <f t="shared" si="11"/>
        <v>100</v>
      </c>
      <c r="V40" s="704" t="s">
        <v>14</v>
      </c>
      <c r="W40" s="705">
        <f t="shared" si="12"/>
        <v>100</v>
      </c>
      <c r="X40" s="1354"/>
      <c r="Y40" s="366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1"/>
      <c r="Q41" s="1351" t="str">
        <f t="shared" si="14"/>
        <v>宗地开发程度</v>
      </c>
      <c r="R41" s="700" t="s">
        <v>14</v>
      </c>
      <c r="S41" s="701">
        <f t="shared" si="10"/>
        <v>100</v>
      </c>
      <c r="T41" s="700" t="s">
        <v>14</v>
      </c>
      <c r="U41" s="701">
        <f t="shared" si="11"/>
        <v>100</v>
      </c>
      <c r="V41" s="700" t="s">
        <v>14</v>
      </c>
      <c r="W41" s="701">
        <f t="shared" si="12"/>
        <v>100</v>
      </c>
      <c r="X41" s="702"/>
      <c r="Y41" s="366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1" t="s">
        <v>1696</v>
      </c>
      <c r="Q42" s="1351" t="str">
        <f t="shared" si="14"/>
        <v>工程地质条件</v>
      </c>
      <c r="R42" s="704" t="s">
        <v>14</v>
      </c>
      <c r="S42" s="705">
        <f t="shared" si="10"/>
        <v>100</v>
      </c>
      <c r="T42" s="704" t="s">
        <v>14</v>
      </c>
      <c r="U42" s="705">
        <f t="shared" si="11"/>
        <v>100</v>
      </c>
      <c r="V42" s="704" t="s">
        <v>14</v>
      </c>
      <c r="W42" s="705">
        <f t="shared" si="12"/>
        <v>100</v>
      </c>
      <c r="X42" s="1354"/>
      <c r="Y42" s="3661"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61"/>
      <c r="Q43" s="1351">
        <f t="shared" si="14"/>
        <v>111</v>
      </c>
      <c r="R43" s="704" t="s">
        <v>14</v>
      </c>
      <c r="S43" s="705">
        <f t="shared" si="10"/>
        <v>100</v>
      </c>
      <c r="T43" s="704" t="s">
        <v>14</v>
      </c>
      <c r="U43" s="705">
        <f t="shared" si="11"/>
        <v>100</v>
      </c>
      <c r="V43" s="704" t="s">
        <v>14</v>
      </c>
      <c r="W43" s="705">
        <f t="shared" si="12"/>
        <v>100</v>
      </c>
      <c r="X43" s="1354"/>
      <c r="Y43" s="3661"/>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61"/>
      <c r="Q44" s="1351">
        <f t="shared" si="14"/>
        <v>111</v>
      </c>
      <c r="R44" s="704" t="s">
        <v>14</v>
      </c>
      <c r="S44" s="705">
        <f t="shared" si="10"/>
        <v>100</v>
      </c>
      <c r="T44" s="704" t="s">
        <v>14</v>
      </c>
      <c r="U44" s="705">
        <f t="shared" si="11"/>
        <v>100</v>
      </c>
      <c r="V44" s="704" t="s">
        <v>14</v>
      </c>
      <c r="W44" s="705">
        <f t="shared" si="12"/>
        <v>100</v>
      </c>
      <c r="X44" s="1354"/>
      <c r="Y44" s="3661"/>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61"/>
      <c r="Q45" s="1351">
        <f t="shared" si="14"/>
        <v>111</v>
      </c>
      <c r="R45" s="707" t="s">
        <v>14</v>
      </c>
      <c r="S45" s="708">
        <f t="shared" si="10"/>
        <v>100</v>
      </c>
      <c r="T45" s="707" t="s">
        <v>14</v>
      </c>
      <c r="U45" s="708">
        <f t="shared" si="11"/>
        <v>100</v>
      </c>
      <c r="V45" s="707" t="s">
        <v>14</v>
      </c>
      <c r="W45" s="708">
        <f t="shared" si="12"/>
        <v>100</v>
      </c>
      <c r="X45" s="709"/>
      <c r="Y45" s="3661"/>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49" t="str">
        <f>A46</f>
        <v>成交单价</v>
      </c>
      <c r="Q46" s="3649"/>
      <c r="R46" s="3663">
        <f>E46</f>
        <v>0</v>
      </c>
      <c r="S46" s="3663"/>
      <c r="T46" s="3663">
        <f>G46</f>
        <v>0</v>
      </c>
      <c r="U46" s="3663"/>
      <c r="V46" s="3663">
        <f>I46</f>
        <v>0</v>
      </c>
      <c r="W46" s="3663"/>
      <c r="X46" s="689"/>
      <c r="Y46" s="711"/>
      <c r="Z46" s="689"/>
      <c r="AA46" s="689"/>
      <c r="AB46" s="689"/>
      <c r="AC46" s="689"/>
    </row>
    <row r="47" spans="1:29" ht="15.75" thickBot="1">
      <c r="A47" s="437" t="s">
        <v>1793</v>
      </c>
      <c r="B47" s="630"/>
      <c r="C47" s="440" t="e">
        <f>R48</f>
        <v>#DIV/0!</v>
      </c>
      <c r="D47" s="2316" t="s">
        <v>2137</v>
      </c>
      <c r="E47" s="440" t="e">
        <f>R47</f>
        <v>#DIV/0!</v>
      </c>
      <c r="F47" s="2317"/>
      <c r="G47" s="439" t="e">
        <f>T47</f>
        <v>#DIV/0!</v>
      </c>
      <c r="H47" s="2317"/>
      <c r="I47" s="440" t="e">
        <f>V47</f>
        <v>#DIV/0!</v>
      </c>
      <c r="J47" s="2317"/>
      <c r="K47" s="2319">
        <f>F47+H47+J47</f>
        <v>0</v>
      </c>
      <c r="L47" s="2723"/>
      <c r="M47" s="2724"/>
      <c r="N47" s="2724"/>
      <c r="O47" s="2724"/>
      <c r="P47" s="3649" t="str">
        <f>A47</f>
        <v>比较价值（元/平方米）</v>
      </c>
      <c r="Q47" s="3649"/>
      <c r="R47" s="3733" t="e">
        <f>ROUND(PRODUCT(R46,AA7:AA45),0)</f>
        <v>#DIV/0!</v>
      </c>
      <c r="S47" s="3733"/>
      <c r="T47" s="3733" t="e">
        <f>ROUND(PRODUCT(T46,AB7:AB45),0)</f>
        <v>#DIV/0!</v>
      </c>
      <c r="U47" s="3733"/>
      <c r="V47" s="3733" t="e">
        <f>ROUND(PRODUCT(V46,AC7:AC45),0)</f>
        <v>#DIV/0!</v>
      </c>
      <c r="W47" s="373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51" t="str">
        <f>A48</f>
        <v>估价对象XX用房的比较价值（楼面单价，元/平方米）</v>
      </c>
      <c r="Q48" s="3652"/>
      <c r="R48" s="3734" t="e">
        <f>ROUND(IF(D47="简单平均",AVERAGE(R47:W47),R47*F47+T47*H47+V47*J47),0)</f>
        <v>#DIV/0!</v>
      </c>
      <c r="S48" s="3734"/>
      <c r="T48" s="3734"/>
      <c r="U48" s="3734"/>
      <c r="V48" s="3734"/>
      <c r="W48" s="373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8" t="s">
        <v>1887</v>
      </c>
      <c r="H55" s="373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71700.22</v>
      </c>
      <c r="F56" s="885" t="e">
        <f t="shared" ref="F56:F64" si="15">ROUND(B56*E56/10000,0)</f>
        <v>#DIV/0!</v>
      </c>
      <c r="G56" s="3664"/>
      <c r="H56" s="3649"/>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71700.22</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C43" sqref="C4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f>F61</f>
        <v>4561</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ROUND(IF(D3="",B2*10000/'数据-汇总表'!E3,B2*10000/D3),0)</f>
        <v>636</v>
      </c>
      <c r="C3" s="203" t="s">
        <v>1869</v>
      </c>
      <c r="D3" s="1192">
        <f>'数据-汇总表'!E19</f>
        <v>71700.22</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63" t="s">
        <v>1773</v>
      </c>
      <c r="W4" s="3663"/>
      <c r="X4" s="1354"/>
      <c r="Y4" s="3678" t="s">
        <v>1775</v>
      </c>
      <c r="Z4" s="3679"/>
      <c r="AA4" s="3665" t="s">
        <v>1771</v>
      </c>
      <c r="AB4" s="3666" t="s">
        <v>1772</v>
      </c>
      <c r="AC4" s="3665" t="s">
        <v>1773</v>
      </c>
    </row>
    <row r="5" spans="1:29" ht="15">
      <c r="A5" s="358"/>
      <c r="B5" s="359"/>
      <c r="C5" s="3686" t="s">
        <v>1673</v>
      </c>
      <c r="D5" s="3687"/>
      <c r="E5" s="3693" t="str">
        <f>案例信息!A3</f>
        <v>廊坊开发区岳洋路东侧、万福路西侧</v>
      </c>
      <c r="F5" s="3694"/>
      <c r="G5" s="3686" t="str">
        <f>案例信息!A4</f>
        <v>廊坊经济技术开发区纬五道北侧、廊坊华安盛翔汽车科技有限公司东侧</v>
      </c>
      <c r="H5" s="3687"/>
      <c r="I5" s="3686" t="str">
        <f>案例信息!A5</f>
        <v>廊坊开发区三号路南侧、桐西路东侧</v>
      </c>
      <c r="J5" s="3687"/>
      <c r="K5" s="559"/>
      <c r="L5" s="2714"/>
      <c r="M5" s="2715"/>
      <c r="N5" s="2715"/>
      <c r="O5" s="2715"/>
      <c r="P5" s="3674"/>
      <c r="Q5" s="3675"/>
      <c r="R5" s="3680"/>
      <c r="S5" s="3681"/>
      <c r="T5" s="3680"/>
      <c r="U5" s="3681"/>
      <c r="V5" s="3663"/>
      <c r="W5" s="3663"/>
      <c r="X5" s="1354"/>
      <c r="Y5" s="3680"/>
      <c r="Z5" s="3681"/>
      <c r="AA5" s="3666"/>
      <c r="AB5" s="3666"/>
      <c r="AC5" s="3666"/>
    </row>
    <row r="6" spans="1:29" ht="15.75" thickBot="1">
      <c r="A6" s="360"/>
      <c r="B6" s="361"/>
      <c r="C6" s="3736" t="s">
        <v>1919</v>
      </c>
      <c r="D6" s="3737"/>
      <c r="E6" s="3738" t="s">
        <v>1919</v>
      </c>
      <c r="F6" s="3739"/>
      <c r="G6" s="3736" t="s">
        <v>1919</v>
      </c>
      <c r="H6" s="3737"/>
      <c r="I6" s="3736" t="s">
        <v>1919</v>
      </c>
      <c r="J6" s="3737"/>
      <c r="K6" s="559" t="s">
        <v>1678</v>
      </c>
      <c r="L6" s="2714"/>
      <c r="M6" s="2715"/>
      <c r="N6" s="2715"/>
      <c r="O6" s="2715"/>
      <c r="P6" s="3676"/>
      <c r="Q6" s="3677"/>
      <c r="R6" s="3680"/>
      <c r="S6" s="3681"/>
      <c r="T6" s="3682"/>
      <c r="U6" s="3683"/>
      <c r="V6" s="3663"/>
      <c r="W6" s="3663"/>
      <c r="X6" s="1354"/>
      <c r="Y6" s="3682"/>
      <c r="Z6" s="3683"/>
      <c r="AA6" s="3667"/>
      <c r="AB6" s="3667"/>
      <c r="AC6" s="3667"/>
    </row>
    <row r="7" spans="1:29" s="108" customFormat="1" ht="15.75" thickBot="1">
      <c r="A7" s="362" t="s">
        <v>1679</v>
      </c>
      <c r="B7" s="363"/>
      <c r="C7" s="364">
        <f>'数据-取费表'!B2</f>
        <v>45429</v>
      </c>
      <c r="D7" s="365">
        <v>100</v>
      </c>
      <c r="E7" s="366">
        <f>案例信息!K3</f>
        <v>45377.000497685185</v>
      </c>
      <c r="F7" s="367">
        <f>SUMIF(65:65,YEAR(E7)&amp;"-"&amp;INT((MONTH(E7)+2)/3),66:66)</f>
        <v>99.5</v>
      </c>
      <c r="G7" s="1973">
        <f>案例信息!K4</f>
        <v>45350.000497685185</v>
      </c>
      <c r="H7" s="365">
        <f>SUMIF(65:65,YEAR(G7)&amp;"-"&amp;INT((MONTH(G7)+2)/3),66:66)</f>
        <v>99.5</v>
      </c>
      <c r="I7" s="1973">
        <f>案例信息!K5</f>
        <v>45350.000497685185</v>
      </c>
      <c r="J7" s="365">
        <f>SUMIF(65:65,YEAR(I7)&amp;"-"&amp;INT((MONTH(I7)+2)/3),66:66)</f>
        <v>99.5</v>
      </c>
      <c r="K7" s="560"/>
      <c r="L7" s="2716"/>
      <c r="M7" s="2717"/>
      <c r="N7" s="2717"/>
      <c r="O7" s="2717"/>
      <c r="P7" s="3688" t="s">
        <v>1680</v>
      </c>
      <c r="Q7" s="3690"/>
      <c r="R7" s="700" t="s">
        <v>14</v>
      </c>
      <c r="S7" s="701">
        <f t="shared" ref="S7:S15" si="0">F7</f>
        <v>99.5</v>
      </c>
      <c r="T7" s="700" t="s">
        <v>14</v>
      </c>
      <c r="U7" s="701">
        <f t="shared" ref="U7:U15" si="1">H7</f>
        <v>99.5</v>
      </c>
      <c r="V7" s="700" t="s">
        <v>14</v>
      </c>
      <c r="W7" s="701">
        <f t="shared" ref="W7:W15" si="2">J7</f>
        <v>99.5</v>
      </c>
      <c r="X7" s="702"/>
      <c r="Y7" s="3688" t="s">
        <v>1680</v>
      </c>
      <c r="Z7" s="3689"/>
      <c r="AA7" s="703">
        <f>D7/F7</f>
        <v>1.0050251256281406</v>
      </c>
      <c r="AB7" s="703">
        <f>D7/H7</f>
        <v>1.0050251256281406</v>
      </c>
      <c r="AC7" s="703">
        <f>D7/J7</f>
        <v>1.0050251256281406</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88" t="s">
        <v>1683</v>
      </c>
      <c r="Q8" s="3689"/>
      <c r="R8" s="700" t="s">
        <v>14</v>
      </c>
      <c r="S8" s="701">
        <f t="shared" si="0"/>
        <v>100</v>
      </c>
      <c r="T8" s="700" t="s">
        <v>14</v>
      </c>
      <c r="U8" s="701">
        <f t="shared" si="1"/>
        <v>100</v>
      </c>
      <c r="V8" s="700" t="s">
        <v>14</v>
      </c>
      <c r="W8" s="701">
        <f t="shared" si="2"/>
        <v>100</v>
      </c>
      <c r="X8" s="702"/>
      <c r="Y8" s="3688" t="s">
        <v>1683</v>
      </c>
      <c r="Z8" s="3689"/>
      <c r="AA8" s="703">
        <f t="shared" ref="AA8:AA40" si="3">D8/F8</f>
        <v>1</v>
      </c>
      <c r="AB8" s="703">
        <f t="shared" ref="AB8:AB40" si="4">D8/H8</f>
        <v>1</v>
      </c>
      <c r="AC8" s="703">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49" t="s">
        <v>1686</v>
      </c>
      <c r="Q9" s="1342" t="str">
        <f t="shared" ref="Q9:Q15" si="6">B9</f>
        <v>用途</v>
      </c>
      <c r="R9" s="700" t="s">
        <v>14</v>
      </c>
      <c r="S9" s="701">
        <f t="shared" si="0"/>
        <v>100</v>
      </c>
      <c r="T9" s="700" t="s">
        <v>14</v>
      </c>
      <c r="U9" s="701">
        <f t="shared" si="1"/>
        <v>100</v>
      </c>
      <c r="V9" s="700" t="s">
        <v>14</v>
      </c>
      <c r="W9" s="701">
        <f t="shared" si="2"/>
        <v>100</v>
      </c>
      <c r="X9" s="702"/>
      <c r="Y9" s="354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19"/>
      <c r="L10" s="2718"/>
      <c r="M10" s="2719"/>
      <c r="N10" s="2719"/>
      <c r="O10" s="2772"/>
      <c r="P10" s="3649"/>
      <c r="Q10" s="1342" t="str">
        <f t="shared" si="6"/>
        <v>土地使用年限（年）</v>
      </c>
      <c r="R10" s="700" t="s">
        <v>14</v>
      </c>
      <c r="S10" s="701">
        <f t="shared" si="0"/>
        <v>110</v>
      </c>
      <c r="T10" s="700" t="s">
        <v>14</v>
      </c>
      <c r="U10" s="701">
        <f t="shared" si="1"/>
        <v>110</v>
      </c>
      <c r="V10" s="700" t="s">
        <v>14</v>
      </c>
      <c r="W10" s="701">
        <f t="shared" si="2"/>
        <v>110</v>
      </c>
      <c r="X10" s="702"/>
      <c r="Y10" s="3548"/>
      <c r="Z10" s="52" t="str">
        <f t="shared" si="7"/>
        <v>土地使用年限（年）</v>
      </c>
      <c r="AA10" s="703">
        <f t="shared" si="3"/>
        <v>0.90909090909090906</v>
      </c>
      <c r="AB10" s="703">
        <f t="shared" si="4"/>
        <v>0.90909090909090906</v>
      </c>
      <c r="AC10" s="703">
        <f t="shared" si="5"/>
        <v>0.90909090909090906</v>
      </c>
    </row>
    <row r="11" spans="1:29" ht="15">
      <c r="A11" s="379"/>
      <c r="B11" s="375" t="s">
        <v>1689</v>
      </c>
      <c r="C11" s="380">
        <f>'数据-汇总表'!I5</f>
        <v>0.98</v>
      </c>
      <c r="D11" s="127">
        <v>100</v>
      </c>
      <c r="E11" s="380">
        <v>1</v>
      </c>
      <c r="F11" s="127">
        <f>LOOKUP(E11,75:75,76:76)-LOOKUP(C11,75:75,76:76)+100</f>
        <v>101</v>
      </c>
      <c r="G11" s="381">
        <v>1</v>
      </c>
      <c r="H11" s="127">
        <f>LOOKUP(G11,75:75,76:76)-LOOKUP(C11,75:75,76:76)+100</f>
        <v>101</v>
      </c>
      <c r="I11" s="380">
        <v>1</v>
      </c>
      <c r="J11" s="127">
        <f>LOOKUP(I11,75:75,76:76)-LOOKUP(C11,75:75,76:76)+100</f>
        <v>101</v>
      </c>
      <c r="K11" s="620">
        <v>1</v>
      </c>
      <c r="L11" s="2720"/>
      <c r="M11" s="2715"/>
      <c r="N11" s="2715"/>
      <c r="O11" s="2773"/>
      <c r="P11" s="3649"/>
      <c r="Q11" s="1342" t="str">
        <f t="shared" si="6"/>
        <v>容积率</v>
      </c>
      <c r="R11" s="700" t="s">
        <v>14</v>
      </c>
      <c r="S11" s="701">
        <f t="shared" si="0"/>
        <v>101</v>
      </c>
      <c r="T11" s="700" t="s">
        <v>14</v>
      </c>
      <c r="U11" s="701">
        <f t="shared" si="1"/>
        <v>101</v>
      </c>
      <c r="V11" s="700" t="s">
        <v>14</v>
      </c>
      <c r="W11" s="701">
        <f t="shared" si="2"/>
        <v>101</v>
      </c>
      <c r="X11" s="702"/>
      <c r="Y11" s="3548"/>
      <c r="Z11" s="52" t="str">
        <f t="shared" si="7"/>
        <v>容积率</v>
      </c>
      <c r="AA11" s="703">
        <f t="shared" si="3"/>
        <v>0.99009900990099009</v>
      </c>
      <c r="AB11" s="703">
        <f t="shared" si="4"/>
        <v>0.99009900990099009</v>
      </c>
      <c r="AC11" s="703">
        <f t="shared" si="5"/>
        <v>0.99009900990099009</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49"/>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49"/>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49"/>
      <c r="Q14" s="1342">
        <f t="shared" si="6"/>
        <v>111</v>
      </c>
      <c r="R14" s="700" t="s">
        <v>14</v>
      </c>
      <c r="S14" s="701">
        <f t="shared" si="0"/>
        <v>100</v>
      </c>
      <c r="T14" s="700" t="s">
        <v>14</v>
      </c>
      <c r="U14" s="701">
        <f t="shared" si="1"/>
        <v>100</v>
      </c>
      <c r="V14" s="700" t="s">
        <v>14</v>
      </c>
      <c r="W14" s="701">
        <f t="shared" si="2"/>
        <v>100</v>
      </c>
      <c r="X14" s="702"/>
      <c r="Y14" s="3548"/>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21"/>
      <c r="M15" s="2715"/>
      <c r="N15" s="2715"/>
      <c r="O15" s="2773"/>
      <c r="P15" s="3656" t="s">
        <v>1691</v>
      </c>
      <c r="Q15" s="1351" t="str">
        <f t="shared" si="6"/>
        <v>产业集聚程度</v>
      </c>
      <c r="R15" s="704" t="s">
        <v>14</v>
      </c>
      <c r="S15" s="705">
        <f t="shared" si="0"/>
        <v>100</v>
      </c>
      <c r="T15" s="704" t="s">
        <v>14</v>
      </c>
      <c r="U15" s="705">
        <f t="shared" si="1"/>
        <v>100</v>
      </c>
      <c r="V15" s="704" t="s">
        <v>14</v>
      </c>
      <c r="W15" s="705">
        <f t="shared" si="2"/>
        <v>100</v>
      </c>
      <c r="X15" s="1354"/>
      <c r="Y15" s="3656" t="s">
        <v>1691</v>
      </c>
      <c r="Z15" s="1355" t="str">
        <f t="shared" si="7"/>
        <v>产业集聚程度</v>
      </c>
      <c r="AA15" s="1352">
        <f t="shared" si="3"/>
        <v>1</v>
      </c>
      <c r="AB15" s="1352">
        <f t="shared" si="4"/>
        <v>1</v>
      </c>
      <c r="AC15" s="1352">
        <f t="shared" si="5"/>
        <v>1</v>
      </c>
    </row>
    <row r="16" spans="1:29" ht="15">
      <c r="A16" s="379"/>
      <c r="B16" s="577"/>
      <c r="C16" s="398" t="s">
        <v>3404</v>
      </c>
      <c r="D16" s="399"/>
      <c r="E16" s="398" t="s">
        <v>3404</v>
      </c>
      <c r="F16" s="399"/>
      <c r="G16" s="398" t="s">
        <v>3404</v>
      </c>
      <c r="H16" s="401"/>
      <c r="I16" s="398" t="s">
        <v>3404</v>
      </c>
      <c r="J16" s="399"/>
      <c r="K16" s="619"/>
      <c r="L16" s="2721"/>
      <c r="M16" s="2715"/>
      <c r="N16" s="2715"/>
      <c r="O16" s="2773"/>
      <c r="P16" s="3657"/>
      <c r="Q16" s="1351"/>
      <c r="R16" s="704"/>
      <c r="S16" s="705"/>
      <c r="T16" s="704"/>
      <c r="U16" s="705"/>
      <c r="V16" s="704"/>
      <c r="W16" s="705"/>
      <c r="X16" s="1354"/>
      <c r="Y16" s="3657"/>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21"/>
      <c r="M17" s="2715"/>
      <c r="N17" s="2715"/>
      <c r="O17" s="2773"/>
      <c r="P17" s="3657"/>
      <c r="Q17" s="1351" t="str">
        <f>B17</f>
        <v>交通便捷度</v>
      </c>
      <c r="R17" s="704" t="s">
        <v>14</v>
      </c>
      <c r="S17" s="705">
        <f>F17</f>
        <v>100</v>
      </c>
      <c r="T17" s="704" t="s">
        <v>14</v>
      </c>
      <c r="U17" s="705">
        <f>H17</f>
        <v>100</v>
      </c>
      <c r="V17" s="704" t="s">
        <v>14</v>
      </c>
      <c r="W17" s="705">
        <f>J17</f>
        <v>100</v>
      </c>
      <c r="X17" s="1354"/>
      <c r="Y17" s="3657"/>
      <c r="Z17" s="1355" t="str">
        <f>Q17</f>
        <v>交通便捷度</v>
      </c>
      <c r="AA17" s="1352">
        <f t="shared" si="3"/>
        <v>1</v>
      </c>
      <c r="AB17" s="1352">
        <f t="shared" si="4"/>
        <v>1</v>
      </c>
      <c r="AC17" s="1352">
        <f t="shared" si="5"/>
        <v>1</v>
      </c>
    </row>
    <row r="18" spans="1:29" ht="15">
      <c r="A18" s="379"/>
      <c r="B18" s="579"/>
      <c r="C18" s="398" t="s">
        <v>3404</v>
      </c>
      <c r="D18" s="399"/>
      <c r="E18" s="398" t="s">
        <v>3404</v>
      </c>
      <c r="F18" s="399"/>
      <c r="G18" s="398" t="s">
        <v>3404</v>
      </c>
      <c r="H18" s="399"/>
      <c r="I18" s="398" t="s">
        <v>3404</v>
      </c>
      <c r="J18" s="399"/>
      <c r="K18" s="619"/>
      <c r="L18" s="2721"/>
      <c r="M18" s="2715"/>
      <c r="N18" s="2715"/>
      <c r="O18" s="2773"/>
      <c r="P18" s="3657"/>
      <c r="Q18" s="1351"/>
      <c r="R18" s="704"/>
      <c r="S18" s="705"/>
      <c r="T18" s="704"/>
      <c r="U18" s="705"/>
      <c r="V18" s="704"/>
      <c r="W18" s="705"/>
      <c r="X18" s="1354"/>
      <c r="Y18" s="3657"/>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21</v>
      </c>
      <c r="L19" s="2721"/>
      <c r="M19" s="2715"/>
      <c r="N19" s="2715"/>
      <c r="O19" s="2773"/>
      <c r="P19" s="3657"/>
      <c r="Q19" s="1351" t="str">
        <f t="shared" ref="Q19:Q33" si="8">B19</f>
        <v>区域土地利用方向</v>
      </c>
      <c r="R19" s="704" t="s">
        <v>14</v>
      </c>
      <c r="S19" s="705">
        <f>F19</f>
        <v>100</v>
      </c>
      <c r="T19" s="704" t="s">
        <v>14</v>
      </c>
      <c r="U19" s="705">
        <f>H19</f>
        <v>100</v>
      </c>
      <c r="V19" s="704" t="s">
        <v>14</v>
      </c>
      <c r="W19" s="705">
        <f>J19</f>
        <v>100</v>
      </c>
      <c r="X19" s="1354"/>
      <c r="Y19" s="3657"/>
      <c r="Z19" s="1355" t="str">
        <f>Q19</f>
        <v>区域土地利用方向</v>
      </c>
      <c r="AA19" s="1352">
        <f t="shared" si="3"/>
        <v>1</v>
      </c>
      <c r="AB19" s="1352">
        <f t="shared" si="4"/>
        <v>1</v>
      </c>
      <c r="AC19" s="1352">
        <f t="shared" si="5"/>
        <v>1</v>
      </c>
    </row>
    <row r="20" spans="1:29" ht="15">
      <c r="A20" s="358"/>
      <c r="B20" s="579"/>
      <c r="C20" s="398" t="s">
        <v>3404</v>
      </c>
      <c r="D20" s="399"/>
      <c r="E20" s="398" t="s">
        <v>3404</v>
      </c>
      <c r="F20" s="399"/>
      <c r="G20" s="398" t="s">
        <v>3404</v>
      </c>
      <c r="H20" s="399"/>
      <c r="I20" s="398" t="s">
        <v>3404</v>
      </c>
      <c r="J20" s="399"/>
      <c r="K20" s="739"/>
      <c r="L20" s="2721"/>
      <c r="M20" s="2715"/>
      <c r="N20" s="2715"/>
      <c r="O20" s="2773"/>
      <c r="P20" s="3657"/>
      <c r="Q20" s="1351"/>
      <c r="R20" s="704"/>
      <c r="S20" s="705"/>
      <c r="T20" s="704"/>
      <c r="U20" s="705"/>
      <c r="V20" s="704"/>
      <c r="W20" s="705"/>
      <c r="X20" s="1354"/>
      <c r="Y20" s="3657"/>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21"/>
      <c r="M21" s="2715"/>
      <c r="N21" s="2715"/>
      <c r="O21" s="2773"/>
      <c r="P21" s="3657"/>
      <c r="Q21" s="1351" t="str">
        <f t="shared" si="8"/>
        <v>环境状况</v>
      </c>
      <c r="R21" s="704" t="s">
        <v>14</v>
      </c>
      <c r="S21" s="705">
        <f>F21</f>
        <v>100</v>
      </c>
      <c r="T21" s="704" t="s">
        <v>14</v>
      </c>
      <c r="U21" s="705">
        <f>H21</f>
        <v>100</v>
      </c>
      <c r="V21" s="704" t="s">
        <v>14</v>
      </c>
      <c r="W21" s="705">
        <f>J21</f>
        <v>100</v>
      </c>
      <c r="X21" s="1354"/>
      <c r="Y21" s="3657"/>
      <c r="Z21" s="1355" t="str">
        <f>Q21</f>
        <v>环境状况</v>
      </c>
      <c r="AA21" s="1352">
        <f t="shared" si="3"/>
        <v>1</v>
      </c>
      <c r="AB21" s="1352">
        <f t="shared" si="4"/>
        <v>1</v>
      </c>
      <c r="AC21" s="1352">
        <f t="shared" si="5"/>
        <v>1</v>
      </c>
    </row>
    <row r="22" spans="1:29" ht="15">
      <c r="A22" s="358"/>
      <c r="B22" s="579"/>
      <c r="C22" s="398" t="s">
        <v>3404</v>
      </c>
      <c r="D22" s="399"/>
      <c r="E22" s="398" t="s">
        <v>3404</v>
      </c>
      <c r="F22" s="399"/>
      <c r="G22" s="398" t="s">
        <v>3404</v>
      </c>
      <c r="H22" s="399"/>
      <c r="I22" s="398" t="s">
        <v>3404</v>
      </c>
      <c r="J22" s="399"/>
      <c r="K22" s="619"/>
      <c r="L22" s="2721"/>
      <c r="M22" s="2715"/>
      <c r="N22" s="2715"/>
      <c r="O22" s="2773"/>
      <c r="P22" s="3657"/>
      <c r="Q22" s="1351"/>
      <c r="R22" s="704"/>
      <c r="S22" s="705"/>
      <c r="T22" s="704"/>
      <c r="U22" s="705"/>
      <c r="V22" s="704"/>
      <c r="W22" s="705"/>
      <c r="X22" s="1354"/>
      <c r="Y22" s="3657"/>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6"/>
      <c r="M23" s="2717"/>
      <c r="N23" s="2717"/>
      <c r="O23" s="2771"/>
      <c r="P23" s="3657"/>
      <c r="Q23" s="1342" t="str">
        <f t="shared" si="8"/>
        <v>公共配套设施</v>
      </c>
      <c r="R23" s="700" t="s">
        <v>14</v>
      </c>
      <c r="S23" s="701">
        <f>F23</f>
        <v>100</v>
      </c>
      <c r="T23" s="700" t="s">
        <v>14</v>
      </c>
      <c r="U23" s="701">
        <f>H23</f>
        <v>100</v>
      </c>
      <c r="V23" s="700" t="s">
        <v>14</v>
      </c>
      <c r="W23" s="701">
        <f>J23</f>
        <v>100</v>
      </c>
      <c r="X23" s="702"/>
      <c r="Y23" s="3657"/>
      <c r="Z23" s="52" t="str">
        <f>Q23</f>
        <v>公共配套设施</v>
      </c>
      <c r="AA23" s="1352">
        <f>D23/F23</f>
        <v>1</v>
      </c>
      <c r="AB23" s="1352">
        <f>D23/H23</f>
        <v>1</v>
      </c>
      <c r="AC23" s="1352">
        <f>D23/J23</f>
        <v>1</v>
      </c>
    </row>
    <row r="24" spans="1:29" s="108" customFormat="1" ht="15">
      <c r="A24" s="596"/>
      <c r="B24" s="579"/>
      <c r="C24" s="398" t="s">
        <v>3404</v>
      </c>
      <c r="D24" s="399"/>
      <c r="E24" s="398" t="s">
        <v>3404</v>
      </c>
      <c r="F24" s="399"/>
      <c r="G24" s="398" t="s">
        <v>3404</v>
      </c>
      <c r="H24" s="399"/>
      <c r="I24" s="398" t="s">
        <v>3404</v>
      </c>
      <c r="J24" s="399"/>
      <c r="K24" s="619"/>
      <c r="L24" s="2716"/>
      <c r="M24" s="2717"/>
      <c r="N24" s="2717"/>
      <c r="O24" s="2771"/>
      <c r="P24" s="3657"/>
      <c r="Q24" s="1342"/>
      <c r="R24" s="700"/>
      <c r="S24" s="701"/>
      <c r="T24" s="700"/>
      <c r="U24" s="701"/>
      <c r="V24" s="700"/>
      <c r="W24" s="701"/>
      <c r="X24" s="702"/>
      <c r="Y24" s="3657"/>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6"/>
      <c r="M25" s="2717"/>
      <c r="N25" s="2717"/>
      <c r="O25" s="2771"/>
      <c r="P25" s="3657"/>
      <c r="Q25" s="1342" t="str">
        <f t="shared" ref="Q25" si="9">B25</f>
        <v>基础设施水平</v>
      </c>
      <c r="R25" s="700" t="s">
        <v>14</v>
      </c>
      <c r="S25" s="701">
        <f>F25</f>
        <v>100</v>
      </c>
      <c r="T25" s="700" t="s">
        <v>14</v>
      </c>
      <c r="U25" s="701">
        <f>H25</f>
        <v>100</v>
      </c>
      <c r="V25" s="700" t="s">
        <v>14</v>
      </c>
      <c r="W25" s="701">
        <f>J25</f>
        <v>100</v>
      </c>
      <c r="X25" s="702"/>
      <c r="Y25" s="3657"/>
      <c r="Z25" s="52" t="str">
        <f>Q25</f>
        <v>基础设施水平</v>
      </c>
      <c r="AA25" s="1352">
        <f>D25/F25</f>
        <v>1</v>
      </c>
      <c r="AB25" s="1352">
        <f>D25/H25</f>
        <v>1</v>
      </c>
      <c r="AC25" s="1352">
        <f>D25/J25</f>
        <v>1</v>
      </c>
    </row>
    <row r="26" spans="1:29" s="108" customFormat="1" ht="15">
      <c r="A26" s="596"/>
      <c r="B26" s="579"/>
      <c r="C26" s="1977" t="s">
        <v>3412</v>
      </c>
      <c r="D26" s="399"/>
      <c r="E26" s="1977" t="s">
        <v>3412</v>
      </c>
      <c r="F26" s="399"/>
      <c r="G26" s="1977" t="s">
        <v>3412</v>
      </c>
      <c r="H26" s="399"/>
      <c r="I26" s="1977" t="s">
        <v>3412</v>
      </c>
      <c r="J26" s="399"/>
      <c r="K26" s="619"/>
      <c r="L26" s="2716"/>
      <c r="M26" s="2717"/>
      <c r="N26" s="2717"/>
      <c r="O26" s="2771"/>
      <c r="P26" s="3657"/>
      <c r="Q26" s="1342"/>
      <c r="R26" s="700"/>
      <c r="S26" s="701"/>
      <c r="T26" s="700"/>
      <c r="U26" s="701"/>
      <c r="V26" s="700"/>
      <c r="W26" s="701"/>
      <c r="X26" s="702"/>
      <c r="Y26" s="3657"/>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v>2</v>
      </c>
      <c r="L27" s="2721"/>
      <c r="M27" s="2715"/>
      <c r="N27" s="2715"/>
      <c r="O27" s="2773"/>
      <c r="P27" s="365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57"/>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21"/>
      <c r="M28" s="2715"/>
      <c r="N28" s="2715"/>
      <c r="O28" s="2773"/>
      <c r="P28" s="3657"/>
      <c r="Q28" s="1351" t="str">
        <f t="shared" si="8"/>
        <v>毗邻道路的类型与等级</v>
      </c>
      <c r="R28" s="704" t="s">
        <v>14</v>
      </c>
      <c r="S28" s="705">
        <f t="shared" si="10"/>
        <v>100</v>
      </c>
      <c r="T28" s="704" t="s">
        <v>14</v>
      </c>
      <c r="U28" s="705">
        <f t="shared" si="11"/>
        <v>100</v>
      </c>
      <c r="V28" s="704" t="s">
        <v>14</v>
      </c>
      <c r="W28" s="705">
        <f t="shared" si="12"/>
        <v>100</v>
      </c>
      <c r="X28" s="1354"/>
      <c r="Y28" s="3657"/>
      <c r="Z28" s="1355" t="str">
        <f t="shared" si="13"/>
        <v>毗邻道路的类型与等级</v>
      </c>
      <c r="AA28" s="1352">
        <f t="shared" si="3"/>
        <v>1</v>
      </c>
      <c r="AB28" s="1352">
        <f t="shared" si="4"/>
        <v>1</v>
      </c>
      <c r="AC28" s="1352">
        <f t="shared" si="5"/>
        <v>1</v>
      </c>
    </row>
    <row r="29" spans="1:29" ht="15">
      <c r="A29" s="379"/>
      <c r="B29" s="579"/>
      <c r="C29" s="398" t="s">
        <v>3646</v>
      </c>
      <c r="D29" s="399"/>
      <c r="E29" s="398" t="s">
        <v>3646</v>
      </c>
      <c r="F29" s="399"/>
      <c r="G29" s="398" t="s">
        <v>3646</v>
      </c>
      <c r="H29" s="399"/>
      <c r="I29" s="398" t="s">
        <v>3646</v>
      </c>
      <c r="J29" s="399"/>
      <c r="K29" s="562"/>
      <c r="L29" s="2721"/>
      <c r="M29" s="2715"/>
      <c r="N29" s="2715"/>
      <c r="O29" s="2773"/>
      <c r="P29" s="3657"/>
      <c r="Q29" s="1351"/>
      <c r="R29" s="704"/>
      <c r="S29" s="705"/>
      <c r="T29" s="704"/>
      <c r="U29" s="705"/>
      <c r="V29" s="704"/>
      <c r="W29" s="705"/>
      <c r="X29" s="1354"/>
      <c r="Y29" s="3657"/>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57"/>
      <c r="Q30" s="1351" t="str">
        <f t="shared" si="8"/>
        <v>土地级别</v>
      </c>
      <c r="R30" s="704" t="s">
        <v>14</v>
      </c>
      <c r="S30" s="705">
        <f t="shared" si="10"/>
        <v>100</v>
      </c>
      <c r="T30" s="704" t="s">
        <v>14</v>
      </c>
      <c r="U30" s="705">
        <f t="shared" si="11"/>
        <v>100</v>
      </c>
      <c r="V30" s="704" t="s">
        <v>14</v>
      </c>
      <c r="W30" s="705">
        <f t="shared" si="12"/>
        <v>100</v>
      </c>
      <c r="X30" s="1354"/>
      <c r="Y30" s="3657"/>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7"/>
      <c r="Q31" s="1351">
        <f t="shared" si="8"/>
        <v>111</v>
      </c>
      <c r="R31" s="704" t="s">
        <v>14</v>
      </c>
      <c r="S31" s="705">
        <f t="shared" si="10"/>
        <v>100</v>
      </c>
      <c r="T31" s="704" t="s">
        <v>14</v>
      </c>
      <c r="U31" s="705">
        <f t="shared" si="11"/>
        <v>100</v>
      </c>
      <c r="V31" s="704" t="s">
        <v>14</v>
      </c>
      <c r="W31" s="705">
        <f t="shared" si="12"/>
        <v>100</v>
      </c>
      <c r="X31" s="1354"/>
      <c r="Y31" s="3657"/>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31" t="s">
        <v>1696</v>
      </c>
      <c r="Q32" s="1351">
        <f t="shared" si="8"/>
        <v>111</v>
      </c>
      <c r="R32" s="704" t="s">
        <v>14</v>
      </c>
      <c r="S32" s="705">
        <f t="shared" si="10"/>
        <v>100</v>
      </c>
      <c r="T32" s="704" t="s">
        <v>14</v>
      </c>
      <c r="U32" s="705">
        <f t="shared" si="11"/>
        <v>100</v>
      </c>
      <c r="V32" s="704" t="s">
        <v>14</v>
      </c>
      <c r="W32" s="705">
        <f t="shared" si="12"/>
        <v>100</v>
      </c>
      <c r="X32" s="1354"/>
      <c r="Y32" s="3661"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61"/>
      <c r="Q33" s="1351">
        <f t="shared" si="8"/>
        <v>111</v>
      </c>
      <c r="R33" s="707" t="s">
        <v>14</v>
      </c>
      <c r="S33" s="708">
        <f t="shared" si="10"/>
        <v>100</v>
      </c>
      <c r="T33" s="707" t="s">
        <v>14</v>
      </c>
      <c r="U33" s="708">
        <f t="shared" si="11"/>
        <v>100</v>
      </c>
      <c r="V33" s="707" t="s">
        <v>14</v>
      </c>
      <c r="W33" s="708">
        <f t="shared" si="12"/>
        <v>100</v>
      </c>
      <c r="X33" s="709"/>
      <c r="Y33" s="3661"/>
      <c r="Z33" s="710">
        <f t="shared" si="13"/>
        <v>111</v>
      </c>
      <c r="AA33" s="1352">
        <f t="shared" si="3"/>
        <v>1</v>
      </c>
      <c r="AB33" s="1352">
        <f t="shared" si="4"/>
        <v>1</v>
      </c>
      <c r="AC33" s="1352">
        <f t="shared" si="5"/>
        <v>1</v>
      </c>
    </row>
    <row r="34" spans="1:31" ht="15">
      <c r="A34" s="391" t="s">
        <v>1694</v>
      </c>
      <c r="B34" s="407" t="s">
        <v>1874</v>
      </c>
      <c r="C34" s="626">
        <f>'数据-基础表'!A3</f>
        <v>73334</v>
      </c>
      <c r="D34" s="418">
        <v>100</v>
      </c>
      <c r="E34" s="626">
        <f>案例信息!E3</f>
        <v>117924.33</v>
      </c>
      <c r="F34" s="418">
        <f>LOOKUP(E34,108:108,109:109)-LOOKUP(C34,108:108,109:109)+100</f>
        <v>98</v>
      </c>
      <c r="G34" s="626">
        <f>案例信息!E4</f>
        <v>10686.89</v>
      </c>
      <c r="H34" s="418">
        <f>LOOKUP(G34,108:108,109:109)-LOOKUP(C34,108:108,109:109)+100</f>
        <v>104</v>
      </c>
      <c r="I34" s="479">
        <f>案例信息!E5</f>
        <v>20912.61</v>
      </c>
      <c r="J34" s="418">
        <f>LOOKUP(I34,108:108,109:109)-LOOKUP(C34,108:108,109:109)+100</f>
        <v>104</v>
      </c>
      <c r="K34" s="562"/>
      <c r="L34" s="2721"/>
      <c r="M34" s="2715"/>
      <c r="N34" s="2715"/>
      <c r="O34" s="2773"/>
      <c r="P34" s="3661"/>
      <c r="Q34" s="1351" t="str">
        <f>B34</f>
        <v>宗地面积</v>
      </c>
      <c r="R34" s="704" t="s">
        <v>14</v>
      </c>
      <c r="S34" s="705">
        <f t="shared" si="10"/>
        <v>98</v>
      </c>
      <c r="T34" s="704" t="s">
        <v>14</v>
      </c>
      <c r="U34" s="705">
        <f t="shared" si="11"/>
        <v>104</v>
      </c>
      <c r="V34" s="704" t="s">
        <v>14</v>
      </c>
      <c r="W34" s="705">
        <f t="shared" si="12"/>
        <v>104</v>
      </c>
      <c r="X34" s="1354"/>
      <c r="Y34" s="3661"/>
      <c r="Z34" s="1355" t="str">
        <f t="shared" si="13"/>
        <v>宗地面积</v>
      </c>
      <c r="AA34" s="1352">
        <f t="shared" si="3"/>
        <v>1.0204081632653061</v>
      </c>
      <c r="AB34" s="1352">
        <f t="shared" si="4"/>
        <v>0.96153846153846156</v>
      </c>
      <c r="AC34" s="1352">
        <f t="shared" si="5"/>
        <v>0.96153846153846156</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61"/>
      <c r="Q35" s="1351" t="str">
        <f t="shared" ref="Q35:Q40" si="14">B35</f>
        <v>宗地形状</v>
      </c>
      <c r="R35" s="704" t="s">
        <v>14</v>
      </c>
      <c r="S35" s="705">
        <f t="shared" si="10"/>
        <v>100</v>
      </c>
      <c r="T35" s="704" t="s">
        <v>14</v>
      </c>
      <c r="U35" s="705">
        <f t="shared" si="11"/>
        <v>100</v>
      </c>
      <c r="V35" s="704" t="s">
        <v>14</v>
      </c>
      <c r="W35" s="705">
        <f t="shared" si="12"/>
        <v>100</v>
      </c>
      <c r="X35" s="1354"/>
      <c r="Y35" s="366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61"/>
      <c r="Q36" s="1351" t="str">
        <f t="shared" si="14"/>
        <v>宗地开发程度</v>
      </c>
      <c r="R36" s="700" t="s">
        <v>14</v>
      </c>
      <c r="S36" s="701">
        <f t="shared" si="10"/>
        <v>100</v>
      </c>
      <c r="T36" s="700" t="s">
        <v>14</v>
      </c>
      <c r="U36" s="701">
        <f t="shared" si="11"/>
        <v>100</v>
      </c>
      <c r="V36" s="700" t="s">
        <v>14</v>
      </c>
      <c r="W36" s="701">
        <f t="shared" si="12"/>
        <v>100</v>
      </c>
      <c r="X36" s="702"/>
      <c r="Y36" s="366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61" t="s">
        <v>1696</v>
      </c>
      <c r="Q37" s="1351" t="str">
        <f t="shared" si="14"/>
        <v>工程地质条件</v>
      </c>
      <c r="R37" s="704" t="s">
        <v>14</v>
      </c>
      <c r="S37" s="705">
        <f t="shared" si="10"/>
        <v>100</v>
      </c>
      <c r="T37" s="704" t="s">
        <v>14</v>
      </c>
      <c r="U37" s="705">
        <f t="shared" si="11"/>
        <v>100</v>
      </c>
      <c r="V37" s="704" t="s">
        <v>14</v>
      </c>
      <c r="W37" s="705">
        <f t="shared" si="12"/>
        <v>100</v>
      </c>
      <c r="X37" s="1354"/>
      <c r="Y37" s="3661"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61"/>
      <c r="Q38" s="1351">
        <f t="shared" si="14"/>
        <v>111</v>
      </c>
      <c r="R38" s="704" t="s">
        <v>14</v>
      </c>
      <c r="S38" s="705">
        <f t="shared" si="10"/>
        <v>100</v>
      </c>
      <c r="T38" s="704" t="s">
        <v>14</v>
      </c>
      <c r="U38" s="705">
        <f t="shared" si="11"/>
        <v>100</v>
      </c>
      <c r="V38" s="704" t="s">
        <v>14</v>
      </c>
      <c r="W38" s="705">
        <f t="shared" si="12"/>
        <v>100</v>
      </c>
      <c r="X38" s="1354"/>
      <c r="Y38" s="3661"/>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61"/>
      <c r="Q39" s="1351">
        <f t="shared" si="14"/>
        <v>111</v>
      </c>
      <c r="R39" s="704" t="s">
        <v>14</v>
      </c>
      <c r="S39" s="705">
        <f t="shared" si="10"/>
        <v>100</v>
      </c>
      <c r="T39" s="704" t="s">
        <v>14</v>
      </c>
      <c r="U39" s="705">
        <f t="shared" si="11"/>
        <v>100</v>
      </c>
      <c r="V39" s="704" t="s">
        <v>14</v>
      </c>
      <c r="W39" s="705">
        <f t="shared" si="12"/>
        <v>100</v>
      </c>
      <c r="X39" s="1354"/>
      <c r="Y39" s="3661"/>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61"/>
      <c r="Q40" s="1351">
        <f t="shared" si="14"/>
        <v>111</v>
      </c>
      <c r="R40" s="707" t="s">
        <v>14</v>
      </c>
      <c r="S40" s="708">
        <f t="shared" si="10"/>
        <v>100</v>
      </c>
      <c r="T40" s="707" t="s">
        <v>14</v>
      </c>
      <c r="U40" s="708">
        <f t="shared" si="11"/>
        <v>100</v>
      </c>
      <c r="V40" s="707" t="s">
        <v>14</v>
      </c>
      <c r="W40" s="708">
        <f t="shared" si="12"/>
        <v>100</v>
      </c>
      <c r="X40" s="709"/>
      <c r="Y40" s="3661"/>
      <c r="Z40" s="710">
        <f t="shared" si="13"/>
        <v>111</v>
      </c>
      <c r="AA40" s="1352">
        <f t="shared" si="3"/>
        <v>1</v>
      </c>
      <c r="AB40" s="1352">
        <f t="shared" si="4"/>
        <v>1</v>
      </c>
      <c r="AC40" s="1352">
        <f t="shared" si="5"/>
        <v>1</v>
      </c>
    </row>
    <row r="41" spans="1:31" ht="15">
      <c r="A41" s="430" t="s">
        <v>1844</v>
      </c>
      <c r="B41" s="3457" t="s">
        <v>3652</v>
      </c>
      <c r="C41" s="629" t="s">
        <v>0</v>
      </c>
      <c r="D41" s="432"/>
      <c r="E41" s="433">
        <f>案例信息!O3</f>
        <v>702.99</v>
      </c>
      <c r="F41" s="434"/>
      <c r="G41" s="435">
        <f>案例信息!O4</f>
        <v>699.92</v>
      </c>
      <c r="H41" s="436"/>
      <c r="I41" s="433">
        <f>案例信息!O5</f>
        <v>699.57</v>
      </c>
      <c r="J41" s="436"/>
      <c r="K41" s="713"/>
      <c r="L41" s="2723"/>
      <c r="M41" s="2715"/>
      <c r="N41" s="2715"/>
      <c r="O41" s="2724"/>
      <c r="P41" s="3649" t="str">
        <f>A41</f>
        <v>成交单价</v>
      </c>
      <c r="Q41" s="3649"/>
      <c r="R41" s="3663">
        <f>E41</f>
        <v>702.99</v>
      </c>
      <c r="S41" s="3663"/>
      <c r="T41" s="3663">
        <f>G41</f>
        <v>699.92</v>
      </c>
      <c r="U41" s="3663"/>
      <c r="V41" s="3663">
        <f>I41</f>
        <v>699.57</v>
      </c>
      <c r="W41" s="3663"/>
      <c r="X41" s="689"/>
      <c r="Y41" s="711"/>
      <c r="Z41" s="689"/>
      <c r="AA41" s="689"/>
      <c r="AB41" s="689"/>
      <c r="AC41" s="689"/>
    </row>
    <row r="42" spans="1:31" ht="15.75" thickBot="1">
      <c r="A42" s="437" t="s">
        <v>1793</v>
      </c>
      <c r="B42" s="630"/>
      <c r="C42" s="440">
        <f>R43</f>
        <v>622</v>
      </c>
      <c r="D42" s="2316" t="s">
        <v>2137</v>
      </c>
      <c r="E42" s="440">
        <f>R42</f>
        <v>649</v>
      </c>
      <c r="F42" s="2317"/>
      <c r="G42" s="439">
        <f>T42</f>
        <v>609</v>
      </c>
      <c r="H42" s="2317"/>
      <c r="I42" s="440">
        <f>V42</f>
        <v>609</v>
      </c>
      <c r="J42" s="2317"/>
      <c r="K42" s="2319">
        <f>F42+H42+J42</f>
        <v>0</v>
      </c>
      <c r="L42" s="2723"/>
      <c r="M42" s="2715"/>
      <c r="N42" s="2715"/>
      <c r="O42" s="2724"/>
      <c r="P42" s="3649" t="str">
        <f>A42</f>
        <v>比较价值（元/平方米）</v>
      </c>
      <c r="Q42" s="3649"/>
      <c r="R42" s="3733">
        <f>ROUND(PRODUCT(R41,AA7:AA40),0)</f>
        <v>649</v>
      </c>
      <c r="S42" s="3733"/>
      <c r="T42" s="3733">
        <f>ROUND(PRODUCT(T41,AB7:AB40),0)</f>
        <v>609</v>
      </c>
      <c r="U42" s="3733"/>
      <c r="V42" s="3733">
        <f>ROUND(PRODUCT(V41,AC7:AC40),0)</f>
        <v>609</v>
      </c>
      <c r="W42" s="3733"/>
      <c r="X42" s="689"/>
      <c r="Y42" s="689"/>
      <c r="Z42" s="689"/>
      <c r="AA42" s="689"/>
      <c r="AB42" s="689"/>
      <c r="AC42" s="689"/>
    </row>
    <row r="43" spans="1:31" ht="15.75" thickBot="1">
      <c r="A43" s="441" t="s">
        <v>1794</v>
      </c>
      <c r="B43" s="442"/>
      <c r="C43" s="443">
        <f>R43</f>
        <v>622</v>
      </c>
      <c r="D43" s="443"/>
      <c r="E43" s="443"/>
      <c r="F43" s="443"/>
      <c r="G43" s="443"/>
      <c r="H43" s="443"/>
      <c r="I43" s="443"/>
      <c r="J43" s="443"/>
      <c r="K43" s="714"/>
      <c r="L43" s="2723"/>
      <c r="M43" s="2715"/>
      <c r="N43" s="2715"/>
      <c r="O43" s="2724"/>
      <c r="P43" s="3651" t="str">
        <f>A43</f>
        <v>估价对象XX用房的比较价值（楼面单价，元/平方米）</v>
      </c>
      <c r="Q43" s="3652"/>
      <c r="R43" s="3734">
        <f>ROUND(IF(D42="简单平均",AVERAGE(R42:W42),R42*F42+T42*H42+V42*J42),0)</f>
        <v>622</v>
      </c>
      <c r="S43" s="3734"/>
      <c r="T43" s="3734"/>
      <c r="U43" s="3734"/>
      <c r="V43" s="3734"/>
      <c r="W43" s="373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8.318952234206467E-2</v>
      </c>
      <c r="F46" s="449" t="str">
        <f>IF(OR(E46&gt;=0.3,E46&lt;=-0.3),"超过30%","")</f>
        <v/>
      </c>
      <c r="G46" s="448">
        <f>IF(G41&lt;G42,G42/G41-1,G41/G42-1)</f>
        <v>0.14929392446633827</v>
      </c>
      <c r="H46" s="449" t="str">
        <f>IF(OR(G46&gt;=0.3,G46&lt;=-0.3),"超过30%","")</f>
        <v/>
      </c>
      <c r="I46" s="448">
        <f>IF(I41&lt;I42,I42/I41-1,I41/I42-1)</f>
        <v>0.14871921182266012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6.5681444991789739E-2</v>
      </c>
      <c r="F47" s="449" t="str">
        <f>IF(OR(E47&gt;=0.2,E47&lt;=-0.2),"超过20%","")</f>
        <v/>
      </c>
      <c r="G47" s="448">
        <f>IF(G42&lt;I42,I42/G42-1,G42/I42-1)</f>
        <v>0</v>
      </c>
      <c r="H47" s="449" t="str">
        <f>IF(OR(G47&gt;=0.2,G47&lt;=-0.2),"超过20%","")</f>
        <v/>
      </c>
      <c r="I47" s="448">
        <f>IF(I42&lt;E42,E42/I42-1,I42/E42-1)</f>
        <v>6.5681444991789739E-2</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4.3862155674934122E-3</v>
      </c>
      <c r="F48" s="449" t="str">
        <f>IF(OR(E48&gt;=0.3,E48&lt;=-0.3),"超过30%","")</f>
        <v/>
      </c>
      <c r="G48" s="448">
        <f>IF(G41&lt;I41,I41/G41-1,G41/I41-1)</f>
        <v>5.0030733164652119E-4</v>
      </c>
      <c r="H48" s="449" t="str">
        <f>IF(OR(G48&gt;=0.3,G48&lt;=-0.3),"超过30%","")</f>
        <v/>
      </c>
      <c r="I48" s="448">
        <f>IF(I41&lt;E41,E41/I41-1,I41/E41-1)</f>
        <v>4.888717354946559E-3</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8" t="s">
        <v>1887</v>
      </c>
      <c r="H50" s="3735"/>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f>C43</f>
        <v>622</v>
      </c>
      <c r="C51" s="637">
        <v>1</v>
      </c>
      <c r="D51" s="943">
        <v>1</v>
      </c>
      <c r="E51" s="637">
        <f>'数据-汇总表'!E8+'数据-汇总表'!E9</f>
        <v>71700.22</v>
      </c>
      <c r="F51" s="638">
        <f t="shared" ref="F51:F60" si="15">ROUND(B51*E51/10000,0)</f>
        <v>4460</v>
      </c>
      <c r="G51" s="3664"/>
      <c r="H51" s="3649"/>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f>ROUND($C$43*C52*D52,0)</f>
        <v>0</v>
      </c>
      <c r="C52" s="171">
        <f t="shared" ref="C52:C60" si="16">IF($C$50="北京市系数",I52,J52)</f>
        <v>0</v>
      </c>
      <c r="D52" s="944">
        <v>0.25</v>
      </c>
      <c r="E52" s="641"/>
      <c r="F52" s="638">
        <f t="shared" si="15"/>
        <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f t="shared" ref="B53:B60" si="17">ROUND($C$43*C53*D53,0)</f>
        <v>0</v>
      </c>
      <c r="C53" s="171">
        <f t="shared" si="16"/>
        <v>0</v>
      </c>
      <c r="D53" s="944">
        <v>0.25</v>
      </c>
      <c r="E53" s="641"/>
      <c r="F53" s="638">
        <f t="shared" si="15"/>
        <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f t="shared" si="17"/>
        <v>0</v>
      </c>
      <c r="C54" s="171">
        <f t="shared" si="16"/>
        <v>0</v>
      </c>
      <c r="D54" s="944">
        <v>0.25</v>
      </c>
      <c r="E54" s="641"/>
      <c r="F54" s="638">
        <f t="shared" si="15"/>
        <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f t="shared" si="17"/>
        <v>0</v>
      </c>
      <c r="C56" s="171">
        <f t="shared" si="16"/>
        <v>0</v>
      </c>
      <c r="D56" s="944">
        <v>0.25</v>
      </c>
      <c r="E56" s="217">
        <f>'数据-汇总表'!E11</f>
        <v>0</v>
      </c>
      <c r="F56" s="638">
        <f t="shared" si="15"/>
        <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f t="shared" si="17"/>
        <v>0</v>
      </c>
      <c r="C57" s="171">
        <f t="shared" si="16"/>
        <v>0</v>
      </c>
      <c r="D57" s="944">
        <v>0.25</v>
      </c>
      <c r="E57" s="217">
        <f>'数据-汇总表'!E12</f>
        <v>0</v>
      </c>
      <c r="F57" s="638">
        <f t="shared" si="15"/>
        <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f t="shared" si="17"/>
        <v>0</v>
      </c>
      <c r="C58" s="171">
        <f t="shared" si="16"/>
        <v>0</v>
      </c>
      <c r="D58" s="944">
        <v>0.25</v>
      </c>
      <c r="E58" s="217">
        <f>'数据-汇总表'!E13</f>
        <v>0</v>
      </c>
      <c r="F58" s="638">
        <f t="shared" si="15"/>
        <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f t="shared" si="17"/>
        <v>0</v>
      </c>
      <c r="C59" s="171">
        <f t="shared" si="16"/>
        <v>0</v>
      </c>
      <c r="D59" s="944">
        <v>0.25</v>
      </c>
      <c r="E59" s="217">
        <f>'数据-汇总表'!E14</f>
        <v>0</v>
      </c>
      <c r="F59" s="638">
        <f t="shared" si="15"/>
        <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f t="shared" si="17"/>
        <v>0</v>
      </c>
      <c r="C60" s="171">
        <f t="shared" si="16"/>
        <v>0</v>
      </c>
      <c r="D60" s="944">
        <v>0.25</v>
      </c>
      <c r="E60" s="217">
        <f>'数据-汇总表'!E15</f>
        <v>0</v>
      </c>
      <c r="F60" s="638">
        <f t="shared" si="15"/>
        <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73334</v>
      </c>
      <c r="F61" s="644">
        <f>IF(B41="楼面地价",SUM(F51:F60),ROUND(C43*E61/10000,0))</f>
        <v>4561</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50" t="s">
        <v>3641</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v>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79</v>
      </c>
      <c r="E88" s="493">
        <f>D88-$K19</f>
        <v>58</v>
      </c>
      <c r="F88" s="493">
        <f>E88-$K19</f>
        <v>37</v>
      </c>
      <c r="G88" s="493">
        <f>F88-$K19</f>
        <v>16</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3449" t="s">
        <v>3642</v>
      </c>
      <c r="D97" s="3449" t="s">
        <v>3643</v>
      </c>
      <c r="E97" s="3449" t="s">
        <v>3644</v>
      </c>
      <c r="F97" s="3449" t="s">
        <v>3645</v>
      </c>
      <c r="G97" s="3449" t="s">
        <v>3647</v>
      </c>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50000</v>
      </c>
      <c r="F108" s="544">
        <v>100000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43" t="s">
        <v>2083</v>
      </c>
      <c r="D1" s="3744"/>
      <c r="E1" s="3744"/>
      <c r="F1" s="3744"/>
      <c r="G1" s="3744"/>
      <c r="H1" s="3744"/>
      <c r="I1" s="3744"/>
      <c r="J1" s="3744"/>
      <c r="K1" s="3744"/>
      <c r="L1" s="3744"/>
      <c r="M1" s="3744"/>
      <c r="N1" s="3744"/>
      <c r="O1" s="3744"/>
      <c r="P1" s="3744"/>
      <c r="Q1" s="3744"/>
      <c r="R1" s="3744"/>
      <c r="S1" s="3745"/>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2094</v>
      </c>
      <c r="E19" s="1339"/>
      <c r="F19" s="1339"/>
      <c r="G19" s="1339"/>
      <c r="H19" s="1058"/>
      <c r="I19" s="159"/>
      <c r="J19" s="159"/>
      <c r="K19" s="159"/>
      <c r="L19" s="159"/>
      <c r="M19" s="159"/>
      <c r="N19" s="159"/>
      <c r="O19" s="159"/>
      <c r="P19" s="159"/>
      <c r="Q19" s="159"/>
      <c r="R19" s="717"/>
      <c r="S19" s="129"/>
    </row>
    <row r="20" spans="1:45" ht="16.5" thickBot="1">
      <c r="A20" s="661" t="s">
        <v>2095</v>
      </c>
      <c r="B20" s="294" t="e">
        <f ca="1">IF(D20="——",S22,S22-F20)</f>
        <v>#REF!</v>
      </c>
      <c r="C20" s="159"/>
      <c r="D20" s="2150"/>
      <c r="E20" s="1340"/>
      <c r="F20" s="982" t="e">
        <f ca="1">SUMIF(INDIRECT("'"&amp;H20&amp;"'"&amp;"!A:A"),"承租人权益价值",INDIRECT("'"&amp;H20&amp;"'"&amp;"!c:c"))</f>
        <v>#REF!</v>
      </c>
      <c r="G20" s="982" t="s">
        <v>2096</v>
      </c>
      <c r="H20" s="2151"/>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40" t="s">
        <v>27</v>
      </c>
      <c r="D22" s="3741"/>
      <c r="E22" s="3741"/>
      <c r="F22" s="3741"/>
      <c r="G22" s="3741"/>
      <c r="H22" s="3741"/>
      <c r="I22" s="3741"/>
      <c r="J22" s="3741"/>
      <c r="K22" s="3741"/>
      <c r="L22" s="3741"/>
      <c r="M22" s="3741"/>
      <c r="N22" s="3741"/>
      <c r="O22" s="3741"/>
      <c r="P22" s="3741"/>
      <c r="Q22" s="3742"/>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t="e">
        <f ca="1">SUMIF(B6:B13,"&lt;&gt;#ref!",B6:B13)</f>
        <v>#DIV/0!</v>
      </c>
      <c r="C2" s="2144" t="s">
        <v>2073</v>
      </c>
      <c r="D2" s="2144" t="s">
        <v>2074</v>
      </c>
      <c r="E2" s="2611">
        <f ca="1">SUMIF(E6:E13,"&lt;&gt;#ref!",E6:E13)</f>
        <v>71700.22</v>
      </c>
      <c r="F2" s="2792"/>
      <c r="G2" s="2792"/>
      <c r="H2" s="2792"/>
      <c r="I2" s="2792"/>
      <c r="J2" s="2792"/>
      <c r="K2" s="2792"/>
      <c r="L2" s="2792"/>
      <c r="M2" s="2792"/>
      <c r="N2" s="2792"/>
      <c r="O2" s="2792"/>
      <c r="P2" s="2792"/>
    </row>
    <row r="3" spans="1:16" ht="15.75">
      <c r="A3" s="2144" t="s">
        <v>2075</v>
      </c>
      <c r="B3" s="2601" t="e">
        <f ca="1">ROUND(B2*10000/E2,0)</f>
        <v>#DIV/0!</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t="e">
        <f ca="1">SUMIF(INDIRECT("'"&amp;A6&amp;"'"&amp;"!A:A"),"总价",INDIRECT("'"&amp;A6&amp;"'"&amp;"!B:B"))</f>
        <v>#DIV/0!</v>
      </c>
      <c r="C6" s="2144" t="s">
        <v>2073</v>
      </c>
      <c r="D6" s="2792"/>
      <c r="E6" s="2611">
        <f ca="1">SUMIF(INDIRECT("'"&amp;A6&amp;"'"&amp;"!C:C"),"建筑面积",INDIRECT("'"&amp;A6&amp;"'"&amp;"!D:D"))</f>
        <v>71700.22</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C55" sqref="C5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1925</v>
      </c>
      <c r="B1" s="197"/>
      <c r="C1" s="201" t="s">
        <v>1926</v>
      </c>
      <c r="D1" s="342">
        <f>SUM(D33:D34,D37:D42)</f>
        <v>71700.22</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8" t="s">
        <v>1934</v>
      </c>
      <c r="D2" s="1999" t="s">
        <v>1935</v>
      </c>
      <c r="E2" s="3421" t="s">
        <v>673</v>
      </c>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8" t="s">
        <v>1940</v>
      </c>
      <c r="D3" s="1999" t="s">
        <v>1941</v>
      </c>
      <c r="E3" s="3419" t="s">
        <v>2452</v>
      </c>
      <c r="F3" s="2003" t="s">
        <v>3436</v>
      </c>
      <c r="G3" s="751">
        <f>IF(F3="宗地容积率",'数据-汇总表'!I4,IF(F3="估价对象容积率",'数据-汇总表'!I6,'数据-汇总表'!I7))</f>
        <v>2.5</v>
      </c>
      <c r="H3" s="170" t="s">
        <v>1942</v>
      </c>
      <c r="I3" s="774">
        <v>1</v>
      </c>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3"/>
      <c r="B4" s="3754"/>
      <c r="C4" s="3754"/>
      <c r="D4" s="3755"/>
      <c r="E4" s="3755"/>
      <c r="F4" s="3755"/>
      <c r="G4" s="3755"/>
      <c r="H4" s="3755"/>
      <c r="I4" s="3755"/>
      <c r="J4" s="3756"/>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0</v>
      </c>
      <c r="D5" s="1338">
        <f>ROUND(C6*C17+C20,0)</f>
        <v>0</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3240</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1954</v>
      </c>
      <c r="X7" s="1213">
        <f>G2</f>
        <v>0</v>
      </c>
      <c r="Y7" s="1213" t="s">
        <v>1955</v>
      </c>
      <c r="Z7" s="1214">
        <f>G3</f>
        <v>2.5</v>
      </c>
      <c r="AA7" s="1215"/>
      <c r="AB7" s="1215"/>
      <c r="AC7" s="1216"/>
      <c r="AD7" s="1217"/>
      <c r="AE7" s="1217"/>
      <c r="AF7" s="1217"/>
      <c r="AG7" s="1217"/>
      <c r="AH7" s="1217"/>
      <c r="AI7" s="1217"/>
      <c r="AJ7" s="1218"/>
    </row>
    <row r="8" spans="1:36" ht="25.5">
      <c r="A8" s="3298"/>
      <c r="B8" s="170" t="s">
        <v>1956</v>
      </c>
      <c r="C8" s="2025" t="s">
        <v>3446</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50" t="s">
        <v>1959</v>
      </c>
      <c r="X8" s="3751"/>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7">
        <f>SUMIF(修正!C71:C138,C8,修正!E71:E138)</f>
        <v>0</v>
      </c>
      <c r="D9" s="171" t="s">
        <v>113</v>
      </c>
      <c r="E9" s="171"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2"/>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v>1.02</v>
      </c>
      <c r="D12" s="3306" t="s">
        <v>3243</v>
      </c>
      <c r="E12" s="3307" t="s">
        <v>3244</v>
      </c>
      <c r="F12" s="3308"/>
      <c r="G12" s="3309"/>
      <c r="H12" s="3309"/>
      <c r="I12" s="3309"/>
      <c r="J12" s="3310"/>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1981</v>
      </c>
      <c r="C13" s="754">
        <f>ROUND(C16*D16*E16*F16*G16*H16*I16*J16,4)</f>
        <v>0</v>
      </c>
      <c r="D13" s="2034" t="s">
        <v>1982</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3246</v>
      </c>
      <c r="G14" s="3311" t="s">
        <v>3246</v>
      </c>
      <c r="H14" s="3311" t="s">
        <v>3246</v>
      </c>
      <c r="I14" s="3311" t="s">
        <v>3246</v>
      </c>
      <c r="J14" s="3311" t="s">
        <v>3246</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7" t="s">
        <v>3257</v>
      </c>
      <c r="B20" s="167" t="s">
        <v>1993</v>
      </c>
      <c r="C20" s="3324">
        <f>ROUND(IF(F21="与级别开发程度一致",0,(G21-E21)/C21),0)</f>
        <v>0</v>
      </c>
      <c r="D20" s="3340" t="s">
        <v>1997</v>
      </c>
      <c r="E20" s="3341"/>
      <c r="F20" s="3763" t="s">
        <v>1994</v>
      </c>
      <c r="G20" s="3764"/>
      <c r="H20" s="3325" t="s">
        <v>3387</v>
      </c>
      <c r="I20" s="3325" t="s">
        <v>3388</v>
      </c>
      <c r="J20" s="3326" t="s">
        <v>3389</v>
      </c>
      <c r="K20" s="2046" t="s">
        <v>3390</v>
      </c>
      <c r="L20" s="2046" t="s">
        <v>3391</v>
      </c>
      <c r="M20" s="2046" t="s">
        <v>3448</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8"/>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t="s">
        <v>3442</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1999</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2001</v>
      </c>
      <c r="E23" s="760">
        <v>44197</v>
      </c>
      <c r="F23" s="2053" t="s">
        <v>2002</v>
      </c>
      <c r="G23" s="761">
        <f>'数据-取费表'!B2</f>
        <v>45429</v>
      </c>
      <c r="H23" s="3342" t="s">
        <v>3259</v>
      </c>
      <c r="I23" s="3343" t="str">
        <f>IF(H23="季度增幅（自定义）",SUMIF(N25:N28,E2,O25:O28),"")</f>
        <v/>
      </c>
      <c r="J23" s="3445" t="s">
        <v>3258</v>
      </c>
      <c r="K23" s="1124"/>
      <c r="L23" s="2054" t="s">
        <v>2003</v>
      </c>
      <c r="M23" s="1327">
        <f>ROUND(SUMIF(地价!B2:G2,E2,地价!B16:G16),0)</f>
        <v>350</v>
      </c>
      <c r="N23" s="2055" t="s">
        <v>2004</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t="e">
        <f>ROUND(POWER(1+G24,J24-I24)*(POWER(1+G24,I24)-1)/(POWER(1+G24,J24)-1),4)</f>
        <v>#DIV/0!</v>
      </c>
      <c r="D24" s="2059" t="s">
        <v>2006</v>
      </c>
      <c r="E24" s="1334">
        <f>存贷款利率!E24/100</f>
        <v>4.3499999999999997E-2</v>
      </c>
      <c r="F24" s="2059" t="s">
        <v>1998</v>
      </c>
      <c r="G24" s="767">
        <f>SUMIF(M30:Q30,E2,M33:Q33)</f>
        <v>5.5E-2</v>
      </c>
      <c r="H24" s="2059" t="s">
        <v>2007</v>
      </c>
      <c r="I24" s="768" t="e">
        <f>SUMIF('数据-取费表'!C6:C15,E2,'数据-取费表'!F6:F15)/COUNTIF('数据-取费表'!C6:C15,E2)</f>
        <v>#DIV/0!</v>
      </c>
      <c r="J24" s="769">
        <f>IF(E2="住宅",70,IF(E2="商业",40,50))</f>
        <v>40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3447</v>
      </c>
      <c r="C25" s="770">
        <f>IF(B25="容积率修正",IF(G3&lt;10,D26,J26),C27)</f>
        <v>0</v>
      </c>
      <c r="D25" s="2066"/>
      <c r="E25" s="2066"/>
      <c r="F25" s="2066"/>
      <c r="G25" s="2066"/>
      <c r="H25" s="2066"/>
      <c r="I25" s="2066"/>
      <c r="J25" s="2067"/>
      <c r="K25" s="1124"/>
      <c r="L25" s="2787"/>
      <c r="M25" s="2787"/>
      <c r="N25" s="2068" t="s">
        <v>2012</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4" t="s">
        <v>3260</v>
      </c>
      <c r="D26" s="1351">
        <f>IF(E26=G26,F26,IF(G3&lt;10,ROUND(F26+(H26-F26)*(G3-E26)/(G26-E26),4),"——"))</f>
        <v>0</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1" t="str">
        <f>IF(G3&gt;=10,D115,"——")</f>
        <v>——</v>
      </c>
      <c r="K26" s="1124"/>
      <c r="L26" s="2787"/>
      <c r="M26" s="2787"/>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v>
      </c>
      <c r="D28" s="2051"/>
      <c r="E28" s="2076"/>
      <c r="F28" s="2076"/>
      <c r="G28" s="2076"/>
      <c r="H28" s="2076"/>
      <c r="I28" s="2076"/>
      <c r="J28" s="2077"/>
      <c r="K28" s="1124"/>
      <c r="L28" s="2787"/>
      <c r="M28" s="2787"/>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4" t="s">
        <v>2022</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t="e">
        <f>IF(B25="容积率修正",E33+SUM(E37:E42),SUM(V2:V16)+SUM(E37:E42))</f>
        <v>#DIV/0!</v>
      </c>
      <c r="D30" s="2082"/>
      <c r="E30" s="2045"/>
      <c r="F30" s="2083"/>
      <c r="G30" s="2045"/>
      <c r="H30" s="2045"/>
      <c r="I30" s="2045"/>
      <c r="J30" s="2084"/>
      <c r="K30" s="1118"/>
      <c r="L30" s="3350" t="s">
        <v>1935</v>
      </c>
      <c r="M30" s="3351" t="s">
        <v>1989</v>
      </c>
      <c r="N30" s="3351" t="s">
        <v>1990</v>
      </c>
      <c r="O30" s="3351" t="s">
        <v>1991</v>
      </c>
      <c r="P30" s="3351" t="s">
        <v>1992</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t="e">
        <f>E34+SUM(I37:I42)</f>
        <v>#DIV/0!</v>
      </c>
      <c r="D31" s="2086"/>
      <c r="E31" s="2087"/>
      <c r="F31" s="2088"/>
      <c r="G31" s="2087"/>
      <c r="H31" s="2087"/>
      <c r="I31" s="2087"/>
      <c r="J31" s="2089"/>
      <c r="K31" s="1118"/>
      <c r="L31" s="3352" t="s">
        <v>1995</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3" t="s">
        <v>1998</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5" t="e">
        <f>ROUND(C5*C22*C23*C24*C25*C28,0)</f>
        <v>#DIV/0!</v>
      </c>
      <c r="D33" s="2097">
        <f>'数据-汇总表'!F19</f>
        <v>71700.22</v>
      </c>
      <c r="E33" s="772" t="e">
        <f>ROUND(C33*D33/10000,0)</f>
        <v>#DIV/0!</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7" t="e">
        <f>ROUND(IF(E2="工业",C33*M42,IF(B25="楼层修正",SUM(V2:V16)*M41*10000/D34,C33*M41)),0)</f>
        <v>#DIV/0!</v>
      </c>
      <c r="D34" s="2102"/>
      <c r="E34" s="772" t="e">
        <f>ROUND(IF(B25="楼层修正",SUM(V2:V16)*M40,C34*D34/10000),0)</f>
        <v>#DIV/0!</v>
      </c>
      <c r="F34" s="2103" t="s">
        <v>2031</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6" t="s">
        <v>3264</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1"/>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2"/>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2"/>
      <c r="B39" s="2040" t="s">
        <v>3262</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1">
        <f>ROUND(D5*C22*C23*C44*C28*F41,0)</f>
        <v>0</v>
      </c>
      <c r="D41" s="2097"/>
      <c r="E41" s="171">
        <f t="shared" si="4"/>
        <v>0</v>
      </c>
      <c r="F41" s="175">
        <f>SUMIF(修正!A57:A68,G2,修正!F57:F68)</f>
        <v>0</v>
      </c>
      <c r="G41" s="171">
        <f>ROUND(IF(E2="工业",C41*$M$42,C41*$M$41),0)</f>
        <v>0</v>
      </c>
      <c r="H41" s="171">
        <f t="shared" si="5"/>
        <v>0</v>
      </c>
      <c r="I41" s="171">
        <f t="shared" si="6"/>
        <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7">
        <f>ROUND(D5*C22*C23*C44*C28*F42,0)</f>
        <v>0</v>
      </c>
      <c r="D42" s="2102"/>
      <c r="E42" s="187">
        <f t="shared" si="4"/>
        <v>0</v>
      </c>
      <c r="F42" s="766">
        <f>SUMIF(修正!A57:A68,G2,修正!G57:G68)</f>
        <v>0</v>
      </c>
      <c r="G42" s="187">
        <f>ROUND(IF(E2="工业",C42*$M$42,C42*$M$41),0)</f>
        <v>0</v>
      </c>
      <c r="H42" s="187">
        <f t="shared" si="5"/>
        <v>0</v>
      </c>
      <c r="I42" s="187">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v>
      </c>
      <c r="D44" s="171" t="s">
        <v>1998</v>
      </c>
      <c r="E44" s="2152">
        <f>G24</f>
        <v>5.5E-2</v>
      </c>
      <c r="F44" s="171" t="s">
        <v>2007</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2043</v>
      </c>
      <c r="B49" s="1350" t="s">
        <v>2044</v>
      </c>
      <c r="C49" s="1350" t="s">
        <v>2045</v>
      </c>
      <c r="D49" s="1350" t="s">
        <v>2046</v>
      </c>
      <c r="E49" s="742" t="s">
        <v>2047</v>
      </c>
      <c r="F49" s="2130" t="s">
        <v>2048</v>
      </c>
      <c r="G49" s="1350" t="s">
        <v>310</v>
      </c>
      <c r="H49" s="2131" t="s">
        <v>2049</v>
      </c>
      <c r="I49" s="1350"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2051</v>
      </c>
      <c r="B50" s="2132" t="str">
        <f>估价对象房地状况!C4</f>
        <v>估价对象位于XX商圈，周边商业氛围成熟，人流量大，商业繁华度好</v>
      </c>
      <c r="C50" s="2043" t="s">
        <v>3405</v>
      </c>
      <c r="D50" s="1064">
        <f t="shared" ref="D50:D58" si="7">SUMIF($J$49:$N$49,C50,J50:N50)</f>
        <v>0</v>
      </c>
      <c r="E50" s="743">
        <f>ROUND(SUM(D50:D58),4)</f>
        <v>0</v>
      </c>
      <c r="F50" s="1813">
        <f>IF(E2="商业",SUMIF(L1:L12,G2,N1:N12),"——")</f>
        <v>0</v>
      </c>
      <c r="G50" s="1062">
        <f t="shared" ref="G50:G58" si="8">H50</f>
        <v>0</v>
      </c>
      <c r="H50" s="1065">
        <f t="shared" ref="H50:H58" si="9">IFERROR(ROUNDDOWN($F$50*I50/2,4),"——")</f>
        <v>0</v>
      </c>
      <c r="I50" s="3366">
        <v>0.3</v>
      </c>
      <c r="J50" s="1063">
        <f t="shared" ref="J50:J58" si="10">K50+$G50</f>
        <v>0</v>
      </c>
      <c r="K50" s="1063">
        <f t="shared" ref="K50:K58" si="11">$L50+$G50</f>
        <v>0</v>
      </c>
      <c r="L50" s="1063">
        <v>0</v>
      </c>
      <c r="M50" s="1063">
        <f t="shared" ref="M50:N58" si="12">L50-$G50</f>
        <v>0</v>
      </c>
      <c r="N50" s="1063">
        <f t="shared" si="12"/>
        <v>0</v>
      </c>
      <c r="AA50" s="1119"/>
      <c r="AB50" s="1119"/>
      <c r="AC50" s="1119"/>
      <c r="AD50" s="1119"/>
      <c r="AE50" s="1119"/>
      <c r="AF50" s="1119"/>
      <c r="AG50" s="1119"/>
      <c r="AH50" s="1119"/>
      <c r="AI50" s="1119"/>
      <c r="AJ50" s="1119"/>
      <c r="AK50" s="1119"/>
    </row>
    <row r="51" spans="1:37" s="1118" customFormat="1" ht="38.25">
      <c r="A51" s="2129" t="s">
        <v>2052</v>
      </c>
      <c r="B51" s="2133" t="str">
        <f>估价对象房地状况!C18</f>
        <v>估价对象周边道路状况、公共交通通达情况、停车便捷程度，综合评价交通便捷度较好</v>
      </c>
      <c r="C51" s="2043" t="s">
        <v>3404</v>
      </c>
      <c r="D51" s="1064">
        <f t="shared" si="7"/>
        <v>0</v>
      </c>
      <c r="E51" s="744"/>
      <c r="F51" s="1813"/>
      <c r="G51" s="1062">
        <f t="shared" si="8"/>
        <v>0</v>
      </c>
      <c r="H51" s="1065">
        <f t="shared" si="9"/>
        <v>0</v>
      </c>
      <c r="I51" s="3366">
        <v>0.22</v>
      </c>
      <c r="J51" s="1063">
        <f t="shared" si="10"/>
        <v>0</v>
      </c>
      <c r="K51" s="1063">
        <f t="shared" si="11"/>
        <v>0</v>
      </c>
      <c r="L51" s="1063">
        <v>0</v>
      </c>
      <c r="M51" s="1063">
        <f t="shared" si="12"/>
        <v>0</v>
      </c>
      <c r="N51" s="1063">
        <f t="shared" si="12"/>
        <v>0</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t="s">
        <v>3404</v>
      </c>
      <c r="D52" s="1064">
        <f t="shared" si="7"/>
        <v>0</v>
      </c>
      <c r="E52" s="744"/>
      <c r="F52" s="1813"/>
      <c r="G52" s="1062">
        <f t="shared" si="8"/>
        <v>0</v>
      </c>
      <c r="H52" s="1065">
        <f t="shared" si="9"/>
        <v>0</v>
      </c>
      <c r="I52" s="3366">
        <v>0.12</v>
      </c>
      <c r="J52" s="1063">
        <f t="shared" si="10"/>
        <v>0</v>
      </c>
      <c r="K52" s="1063">
        <f t="shared" si="11"/>
        <v>0</v>
      </c>
      <c r="L52" s="1063">
        <v>0</v>
      </c>
      <c r="M52" s="1063">
        <f t="shared" si="12"/>
        <v>0</v>
      </c>
      <c r="N52" s="1063">
        <f t="shared" si="12"/>
        <v>0</v>
      </c>
      <c r="AA52" s="1119"/>
      <c r="AB52" s="1119"/>
      <c r="AC52" s="1119"/>
      <c r="AD52" s="1119"/>
      <c r="AE52" s="1119"/>
      <c r="AF52" s="1119"/>
      <c r="AG52" s="1119"/>
      <c r="AH52" s="1119"/>
      <c r="AI52" s="1119"/>
      <c r="AJ52" s="1119"/>
      <c r="AK52" s="1119"/>
    </row>
    <row r="53" spans="1:37" s="1118" customFormat="1" ht="36.75">
      <c r="A53" s="2129" t="s">
        <v>2053</v>
      </c>
      <c r="B53" s="2134" t="s">
        <v>2054</v>
      </c>
      <c r="C53" s="2043" t="s">
        <v>3404</v>
      </c>
      <c r="D53" s="1064">
        <f t="shared" si="7"/>
        <v>0</v>
      </c>
      <c r="E53" s="744"/>
      <c r="F53" s="1813"/>
      <c r="G53" s="1062">
        <f t="shared" si="8"/>
        <v>0</v>
      </c>
      <c r="H53" s="1065">
        <f t="shared" si="9"/>
        <v>0</v>
      </c>
      <c r="I53" s="3366">
        <v>0.05</v>
      </c>
      <c r="J53" s="1063">
        <f t="shared" si="10"/>
        <v>0</v>
      </c>
      <c r="K53" s="1063">
        <f t="shared" si="11"/>
        <v>0</v>
      </c>
      <c r="L53" s="1063">
        <v>0</v>
      </c>
      <c r="M53" s="1063">
        <f t="shared" si="12"/>
        <v>0</v>
      </c>
      <c r="N53" s="1063">
        <f t="shared" si="12"/>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t="s">
        <v>3405</v>
      </c>
      <c r="D54" s="1064">
        <f t="shared" si="7"/>
        <v>0</v>
      </c>
      <c r="E54" s="744"/>
      <c r="F54" s="1813"/>
      <c r="G54" s="1062">
        <f t="shared" si="8"/>
        <v>0</v>
      </c>
      <c r="H54" s="1065">
        <f t="shared" si="9"/>
        <v>0</v>
      </c>
      <c r="I54" s="3366">
        <v>0.08</v>
      </c>
      <c r="J54" s="1063">
        <f t="shared" si="10"/>
        <v>0</v>
      </c>
      <c r="K54" s="1063">
        <f t="shared" si="11"/>
        <v>0</v>
      </c>
      <c r="L54" s="1063">
        <v>0</v>
      </c>
      <c r="M54" s="1063">
        <f t="shared" si="12"/>
        <v>0</v>
      </c>
      <c r="N54" s="1063">
        <f t="shared" si="12"/>
        <v>0</v>
      </c>
      <c r="AA54" s="1119"/>
      <c r="AB54" s="1119"/>
      <c r="AC54" s="1119"/>
      <c r="AD54" s="1119"/>
      <c r="AE54" s="1119"/>
      <c r="AF54" s="1119"/>
      <c r="AG54" s="1119"/>
      <c r="AH54" s="1119"/>
      <c r="AI54" s="1119"/>
      <c r="AJ54" s="1119"/>
      <c r="AK54" s="1119"/>
    </row>
    <row r="55" spans="1:37" s="1118" customFormat="1" ht="24">
      <c r="A55" s="2129" t="s">
        <v>2056</v>
      </c>
      <c r="B55" s="2135" t="s">
        <v>2057</v>
      </c>
      <c r="C55" s="2043" t="s">
        <v>3404</v>
      </c>
      <c r="D55" s="1064">
        <f t="shared" si="7"/>
        <v>0</v>
      </c>
      <c r="E55" s="744"/>
      <c r="F55" s="1813"/>
      <c r="G55" s="1062">
        <f t="shared" si="8"/>
        <v>0</v>
      </c>
      <c r="H55" s="1065">
        <f t="shared" si="9"/>
        <v>0</v>
      </c>
      <c r="I55" s="3366">
        <v>0.05</v>
      </c>
      <c r="J55" s="1063">
        <f t="shared" si="10"/>
        <v>0</v>
      </c>
      <c r="K55" s="1063">
        <f t="shared" si="11"/>
        <v>0</v>
      </c>
      <c r="L55" s="1063">
        <v>0</v>
      </c>
      <c r="M55" s="1063">
        <f t="shared" si="12"/>
        <v>0</v>
      </c>
      <c r="N55" s="1063">
        <f t="shared" si="12"/>
        <v>0</v>
      </c>
      <c r="AA55" s="1119"/>
      <c r="AB55" s="1119"/>
      <c r="AC55" s="1119"/>
      <c r="AD55" s="1119"/>
      <c r="AE55" s="1119"/>
      <c r="AF55" s="1119"/>
      <c r="AG55" s="1119"/>
      <c r="AH55" s="1119"/>
      <c r="AI55" s="1119"/>
      <c r="AJ55" s="1119"/>
      <c r="AK55" s="1119"/>
    </row>
    <row r="56" spans="1:37" s="1118" customFormat="1" ht="25.5">
      <c r="A56" s="2136" t="s">
        <v>2058</v>
      </c>
      <c r="B56" s="1325" t="str">
        <f>估价对象房地状况!C21</f>
        <v>估价对象所在区域公共配套设施齐备情况</v>
      </c>
      <c r="C56" s="2043" t="s">
        <v>3404</v>
      </c>
      <c r="D56" s="1064">
        <f t="shared" si="7"/>
        <v>0</v>
      </c>
      <c r="E56" s="744"/>
      <c r="F56" s="1813"/>
      <c r="G56" s="1062">
        <f t="shared" si="8"/>
        <v>0</v>
      </c>
      <c r="H56" s="1065">
        <f t="shared" si="9"/>
        <v>0</v>
      </c>
      <c r="I56" s="3366">
        <v>0.05</v>
      </c>
      <c r="J56" s="1063">
        <f t="shared" si="10"/>
        <v>0</v>
      </c>
      <c r="K56" s="1063">
        <f t="shared" si="11"/>
        <v>0</v>
      </c>
      <c r="L56" s="1063">
        <v>0</v>
      </c>
      <c r="M56" s="1063">
        <f t="shared" si="12"/>
        <v>0</v>
      </c>
      <c r="N56" s="1063">
        <f t="shared" si="12"/>
        <v>0</v>
      </c>
      <c r="AA56" s="1119"/>
      <c r="AB56" s="1119"/>
      <c r="AC56" s="1119"/>
      <c r="AD56" s="1119"/>
      <c r="AE56" s="1119"/>
      <c r="AF56" s="1119"/>
      <c r="AG56" s="1119"/>
      <c r="AH56" s="1119"/>
      <c r="AI56" s="1119"/>
      <c r="AJ56" s="1119"/>
      <c r="AK56" s="1119"/>
    </row>
    <row r="57" spans="1:37" s="1118" customFormat="1" ht="25.5">
      <c r="A57" s="2136" t="s">
        <v>2059</v>
      </c>
      <c r="B57" s="2133" t="str">
        <f>估价对象房地状况!C22</f>
        <v>估价对象所在区域基础设施水平</v>
      </c>
      <c r="C57" s="2043" t="s">
        <v>3403</v>
      </c>
      <c r="D57" s="1064">
        <f t="shared" si="7"/>
        <v>0</v>
      </c>
      <c r="E57" s="744"/>
      <c r="F57" s="1813"/>
      <c r="G57" s="1062">
        <f t="shared" si="8"/>
        <v>0</v>
      </c>
      <c r="H57" s="1065">
        <f t="shared" si="9"/>
        <v>0</v>
      </c>
      <c r="I57" s="3366">
        <v>0.08</v>
      </c>
      <c r="J57" s="1063">
        <f t="shared" si="10"/>
        <v>0</v>
      </c>
      <c r="K57" s="1063">
        <f t="shared" si="11"/>
        <v>0</v>
      </c>
      <c r="L57" s="1063">
        <v>0</v>
      </c>
      <c r="M57" s="1063">
        <f t="shared" si="12"/>
        <v>0</v>
      </c>
      <c r="N57" s="1063">
        <f t="shared" si="12"/>
        <v>0</v>
      </c>
      <c r="AA57" s="1119"/>
      <c r="AB57" s="1119"/>
      <c r="AC57" s="1119"/>
      <c r="AD57" s="1119"/>
      <c r="AE57" s="1119"/>
      <c r="AF57" s="1119"/>
      <c r="AG57" s="1119"/>
      <c r="AH57" s="1119"/>
      <c r="AI57" s="1119"/>
      <c r="AJ57" s="1119"/>
      <c r="AK57" s="1119"/>
    </row>
    <row r="58" spans="1:37" s="1118" customFormat="1" ht="26.25" thickBot="1">
      <c r="A58" s="2137" t="s">
        <v>2060</v>
      </c>
      <c r="B58" s="2138" t="str">
        <f>估价对象房地状况!C20</f>
        <v>区域自然环境：；人文环境；综合评价环境状况一般</v>
      </c>
      <c r="C58" s="2043" t="s">
        <v>3404</v>
      </c>
      <c r="D58" s="1064">
        <f t="shared" si="7"/>
        <v>0</v>
      </c>
      <c r="E58" s="745"/>
      <c r="F58" s="1813"/>
      <c r="G58" s="1062">
        <f t="shared" si="8"/>
        <v>0</v>
      </c>
      <c r="H58" s="1065">
        <f t="shared" si="9"/>
        <v>0</v>
      </c>
      <c r="I58" s="3367">
        <v>0.05</v>
      </c>
      <c r="J58" s="1063">
        <f t="shared" si="10"/>
        <v>0</v>
      </c>
      <c r="K58" s="1063">
        <f t="shared" si="11"/>
        <v>0</v>
      </c>
      <c r="L58" s="1063">
        <v>0</v>
      </c>
      <c r="M58" s="1063">
        <f t="shared" si="12"/>
        <v>0</v>
      </c>
      <c r="N58" s="1063">
        <f t="shared" si="12"/>
        <v>0</v>
      </c>
      <c r="AA58" s="1119"/>
      <c r="AB58" s="1119"/>
      <c r="AC58" s="1119"/>
      <c r="AD58" s="1119"/>
      <c r="AE58" s="1119"/>
      <c r="AF58" s="1119"/>
      <c r="AG58" s="1119"/>
      <c r="AH58" s="1119"/>
      <c r="AI58" s="1119"/>
      <c r="AJ58" s="1119"/>
      <c r="AK58" s="1119"/>
    </row>
    <row r="59" spans="1:37" s="1118" customFormat="1" ht="15">
      <c r="A59" s="2125" t="s">
        <v>2061</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2043</v>
      </c>
      <c r="B60" s="1350"/>
      <c r="C60" s="1350" t="s">
        <v>2045</v>
      </c>
      <c r="D60" s="1350" t="s">
        <v>2046</v>
      </c>
      <c r="E60" s="742" t="s">
        <v>2047</v>
      </c>
      <c r="F60" s="2130" t="s">
        <v>2062</v>
      </c>
      <c r="G60" s="1350" t="s">
        <v>310</v>
      </c>
      <c r="H60" s="2131" t="s">
        <v>2049</v>
      </c>
      <c r="I60" s="1350"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2063</v>
      </c>
      <c r="B61" s="2132" t="str">
        <f>估价对象房地状况!C17</f>
        <v>估价对象位于XX商圈，周边办公楼项目较多，入驻率高，办公集聚程度较好</v>
      </c>
      <c r="C61" s="2043" t="s">
        <v>3404</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2052</v>
      </c>
      <c r="B62" s="2133" t="str">
        <f>估价对象房地状况!C18</f>
        <v>估价对象周边道路状况、公共交通通达情况、停车便捷程度，综合评价交通便捷度较好</v>
      </c>
      <c r="C62" s="2043" t="s">
        <v>3404</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3272</v>
      </c>
      <c r="B63" s="2133">
        <f>估价对象房地状况!C19</f>
        <v>0</v>
      </c>
      <c r="C63" s="2043" t="s">
        <v>3404</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2053</v>
      </c>
      <c r="B64" s="2134" t="s">
        <v>2054</v>
      </c>
      <c r="C64" s="2043" t="s">
        <v>3405</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t="s">
        <v>3406</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2056</v>
      </c>
      <c r="B66" s="2135" t="s">
        <v>2057</v>
      </c>
      <c r="C66" s="2043" t="s">
        <v>3404</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2058</v>
      </c>
      <c r="B67" s="1325" t="str">
        <f>估价对象房地状况!C21</f>
        <v>估价对象所在区域公共配套设施齐备情况</v>
      </c>
      <c r="C67" s="2043" t="s">
        <v>3404</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2059</v>
      </c>
      <c r="B68" s="1325" t="str">
        <f>估价对象房地状况!C22</f>
        <v>估价对象所在区域基础设施水平</v>
      </c>
      <c r="C68" s="2043" t="s">
        <v>3403</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2060</v>
      </c>
      <c r="B69" s="2139" t="str">
        <f>估价对象房地状况!C20</f>
        <v>区域自然环境：；人文环境；综合评价环境状况一般</v>
      </c>
      <c r="C69" s="2043" t="s">
        <v>3404</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2043</v>
      </c>
      <c r="B71" s="1350"/>
      <c r="C71" s="1350" t="s">
        <v>2045</v>
      </c>
      <c r="D71" s="1350" t="s">
        <v>2046</v>
      </c>
      <c r="E71" s="742" t="s">
        <v>2047</v>
      </c>
      <c r="F71" s="2130" t="s">
        <v>2062</v>
      </c>
      <c r="G71" s="1350" t="s">
        <v>310</v>
      </c>
      <c r="H71" s="2131" t="s">
        <v>2049</v>
      </c>
      <c r="I71" s="1350"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2065</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2052</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3272</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2066</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2058</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2059</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2056</v>
      </c>
      <c r="B78" s="2135" t="s">
        <v>2057</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2060</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2067</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2068</v>
      </c>
      <c r="B81" s="2126">
        <f>1+E83</f>
        <v>1</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2" t="s">
        <v>1721</v>
      </c>
      <c r="K82" s="552" t="s">
        <v>1722</v>
      </c>
      <c r="L82" s="552" t="s">
        <v>1723</v>
      </c>
      <c r="M82" s="552" t="s">
        <v>1724</v>
      </c>
      <c r="N82" s="552" t="s">
        <v>1725</v>
      </c>
      <c r="Z82" s="1997"/>
      <c r="AA82" s="2052"/>
      <c r="AG82" s="1120"/>
      <c r="AK82" s="2052"/>
    </row>
    <row r="83" spans="1:37" ht="38.25">
      <c r="A83" s="2129" t="s">
        <v>2069</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3273</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2066</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2058</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2059</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2056</v>
      </c>
      <c r="B89" s="2135" t="s">
        <v>2070</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2071</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3276</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3272</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3277</v>
      </c>
      <c r="B96" s="3384" t="s">
        <v>3288</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3278</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3279</v>
      </c>
      <c r="B98" s="3385" t="s">
        <v>3289</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3280</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3281</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3282</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9" t="s">
        <v>3297</v>
      </c>
      <c r="B103" s="3759"/>
      <c r="C103" s="3759"/>
      <c r="D103" s="3759"/>
      <c r="E103" s="3759"/>
      <c r="F103" s="3759"/>
      <c r="G103" s="3759"/>
      <c r="H103" s="3759"/>
      <c r="I103" s="3759"/>
      <c r="J103" s="3759"/>
      <c r="K103" s="3389"/>
      <c r="L103" s="3389"/>
      <c r="M103" s="3389"/>
      <c r="N103" s="3389"/>
    </row>
    <row r="104" spans="1:14">
      <c r="A104" s="3760" t="s">
        <v>3298</v>
      </c>
      <c r="B104" s="3760" t="s">
        <v>3299</v>
      </c>
      <c r="C104" s="3390" t="s">
        <v>3300</v>
      </c>
      <c r="D104" s="3391"/>
      <c r="E104" s="3391"/>
      <c r="F104" s="3391"/>
      <c r="G104" s="3391"/>
      <c r="H104" s="3391"/>
      <c r="I104" s="3391"/>
      <c r="J104" s="3392"/>
      <c r="K104" s="3393"/>
      <c r="L104" s="3393"/>
      <c r="M104" s="3393"/>
      <c r="N104" s="3393"/>
    </row>
    <row r="105" spans="1:14">
      <c r="A105" s="3760"/>
      <c r="B105" s="3760"/>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46"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7"/>
      <c r="B111" s="3394" t="s">
        <v>3271</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48"/>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49" t="s">
        <v>3314</v>
      </c>
      <c r="B113" s="3749"/>
      <c r="C113" s="3749"/>
      <c r="D113" s="3749"/>
      <c r="E113" s="3749"/>
      <c r="F113" s="3749"/>
      <c r="G113" s="3749"/>
      <c r="H113" s="3749"/>
      <c r="I113" s="3749"/>
      <c r="J113" s="374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2.5</v>
      </c>
      <c r="C116" s="3399" t="s">
        <v>3316</v>
      </c>
      <c r="D116" s="3400">
        <f>SUMPRODUCT((A118:A122=F116)*(B117:M117=H116)*B118:M122)</f>
        <v>0</v>
      </c>
      <c r="E116" s="1999" t="s">
        <v>3317</v>
      </c>
      <c r="F116" s="3401" t="str">
        <f>E2</f>
        <v>商业</v>
      </c>
      <c r="G116" s="1999" t="s">
        <v>3318</v>
      </c>
      <c r="H116" s="3401">
        <f>G2</f>
        <v>0</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6">I118</f>
        <v>0.80359999999999998</v>
      </c>
      <c r="K118" s="3387">
        <f t="shared" si="36"/>
        <v>0.80359999999999998</v>
      </c>
      <c r="L118" s="3387">
        <f t="shared" si="36"/>
        <v>0.80359999999999998</v>
      </c>
      <c r="M118" s="3410">
        <f t="shared" si="36"/>
        <v>0.80359999999999998</v>
      </c>
      <c r="N118" s="3397"/>
    </row>
    <row r="119" spans="1:14">
      <c r="A119" s="3409" t="s">
        <v>3332</v>
      </c>
      <c r="B119" s="3387">
        <f>ROUND(0.993-0.0112*B116,4)</f>
        <v>0.96499999999999997</v>
      </c>
      <c r="C119" s="3387">
        <f>B119</f>
        <v>0.96499999999999997</v>
      </c>
      <c r="D119" s="3387">
        <f>ROUND(0.9415-0.0142*B116,4)</f>
        <v>0.90600000000000003</v>
      </c>
      <c r="E119" s="3387">
        <f t="shared" ref="E119:H120" si="37">D119</f>
        <v>0.90600000000000003</v>
      </c>
      <c r="F119" s="3387">
        <f t="shared" si="37"/>
        <v>0.90600000000000003</v>
      </c>
      <c r="G119" s="3387">
        <f t="shared" si="37"/>
        <v>0.90600000000000003</v>
      </c>
      <c r="H119" s="3387">
        <f t="shared" si="37"/>
        <v>0.90600000000000003</v>
      </c>
      <c r="I119" s="3387">
        <f>ROUND(0.838-0.0182*B116,4)</f>
        <v>0.79249999999999998</v>
      </c>
      <c r="J119" s="3387">
        <f t="shared" si="36"/>
        <v>0.79249999999999998</v>
      </c>
      <c r="K119" s="3387">
        <f t="shared" si="36"/>
        <v>0.79249999999999998</v>
      </c>
      <c r="L119" s="3387">
        <f t="shared" si="36"/>
        <v>0.79249999999999998</v>
      </c>
      <c r="M119" s="3410">
        <f t="shared" si="36"/>
        <v>0.79249999999999998</v>
      </c>
      <c r="N119" s="3397"/>
    </row>
    <row r="120" spans="1:14">
      <c r="A120" s="3409" t="s">
        <v>3333</v>
      </c>
      <c r="B120" s="3387">
        <f>ROUND(0.9448-0.0115*B116,4)</f>
        <v>0.91610000000000003</v>
      </c>
      <c r="C120" s="3387">
        <f>B120</f>
        <v>0.91610000000000003</v>
      </c>
      <c r="D120" s="3387">
        <f>ROUND(0.937-0.0145*B116,4)</f>
        <v>0.90080000000000005</v>
      </c>
      <c r="E120" s="3387">
        <f t="shared" si="37"/>
        <v>0.90080000000000005</v>
      </c>
      <c r="F120" s="3387">
        <f t="shared" si="37"/>
        <v>0.90080000000000005</v>
      </c>
      <c r="G120" s="3387">
        <f t="shared" si="37"/>
        <v>0.90080000000000005</v>
      </c>
      <c r="H120" s="3387">
        <f t="shared" si="37"/>
        <v>0.90080000000000005</v>
      </c>
      <c r="I120" s="3387">
        <f>ROUND(0.7965-0.0185*B116,4)</f>
        <v>0.75029999999999997</v>
      </c>
      <c r="J120" s="3387">
        <f t="shared" si="36"/>
        <v>0.75029999999999997</v>
      </c>
      <c r="K120" s="3387">
        <f t="shared" si="36"/>
        <v>0.75029999999999997</v>
      </c>
      <c r="L120" s="3387">
        <f t="shared" si="36"/>
        <v>0.75029999999999997</v>
      </c>
      <c r="M120" s="3410">
        <f t="shared" si="36"/>
        <v>0.75029999999999997</v>
      </c>
      <c r="N120" s="3397"/>
    </row>
    <row r="121" spans="1:14" ht="13.5" thickBot="1">
      <c r="A121" s="3411" t="s">
        <v>3334</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6"/>
        <v>0.54300000000000004</v>
      </c>
      <c r="K121" s="3412">
        <f t="shared" si="36"/>
        <v>0.54300000000000004</v>
      </c>
      <c r="L121" s="3412">
        <f t="shared" si="36"/>
        <v>0.54300000000000004</v>
      </c>
      <c r="M121" s="3413">
        <f t="shared" si="36"/>
        <v>0.54300000000000004</v>
      </c>
      <c r="N121" s="3397"/>
    </row>
    <row r="122" spans="1:14">
      <c r="A122" s="3414" t="s">
        <v>2615</v>
      </c>
      <c r="B122" s="3387">
        <f>ROUND(0.9404-0.0106*B116,4)</f>
        <v>0.91390000000000005</v>
      </c>
      <c r="C122" s="3387">
        <f>B122</f>
        <v>0.91390000000000005</v>
      </c>
      <c r="D122" s="3387">
        <f>ROUND(0.8955-0.0135*B116,4)</f>
        <v>0.86180000000000001</v>
      </c>
      <c r="E122" s="3387">
        <f t="shared" ref="E122:H122" si="38">D122</f>
        <v>0.86180000000000001</v>
      </c>
      <c r="F122" s="3387">
        <f t="shared" si="38"/>
        <v>0.86180000000000001</v>
      </c>
      <c r="G122" s="3387">
        <f t="shared" si="38"/>
        <v>0.86180000000000001</v>
      </c>
      <c r="H122" s="3387">
        <f t="shared" si="38"/>
        <v>0.86180000000000001</v>
      </c>
      <c r="I122" s="3387">
        <f>ROUND(0.7632-0.0166*B116,4)</f>
        <v>0.72170000000000001</v>
      </c>
      <c r="J122" s="3387">
        <f t="shared" si="36"/>
        <v>0.72170000000000001</v>
      </c>
      <c r="K122" s="3387">
        <f t="shared" si="36"/>
        <v>0.72170000000000001</v>
      </c>
      <c r="L122" s="3387">
        <f t="shared" si="36"/>
        <v>0.72170000000000001</v>
      </c>
      <c r="M122" s="3410">
        <f t="shared" si="36"/>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4" t="s">
        <v>2610</v>
      </c>
      <c r="B20" s="3769" t="s">
        <v>2631</v>
      </c>
      <c r="C20" s="3102" t="s">
        <v>2442</v>
      </c>
      <c r="D20" s="3103"/>
      <c r="E20" s="3104">
        <v>1</v>
      </c>
      <c r="F20" s="3105" t="s">
        <v>2443</v>
      </c>
      <c r="G20" s="3105"/>
    </row>
    <row r="21" spans="1:13" ht="19.5" customHeight="1">
      <c r="A21" s="3775"/>
      <c r="B21" s="3768"/>
      <c r="C21" s="3106" t="s">
        <v>2444</v>
      </c>
      <c r="D21" s="3107"/>
      <c r="E21" s="3108">
        <v>1</v>
      </c>
      <c r="F21" s="3105" t="s">
        <v>2445</v>
      </c>
      <c r="G21" s="3105"/>
    </row>
    <row r="22" spans="1:13" ht="19.5" customHeight="1">
      <c r="A22" s="3775"/>
      <c r="B22" s="3768"/>
      <c r="C22" s="3106" t="s">
        <v>2446</v>
      </c>
      <c r="D22" s="3107"/>
      <c r="E22" s="3108">
        <v>0.9</v>
      </c>
      <c r="F22" s="3105" t="s">
        <v>2447</v>
      </c>
      <c r="G22" s="3105"/>
    </row>
    <row r="23" spans="1:13" ht="19.5" customHeight="1">
      <c r="A23" s="3775"/>
      <c r="B23" s="3768"/>
      <c r="C23" s="3106" t="s">
        <v>2448</v>
      </c>
      <c r="D23" s="3107"/>
      <c r="E23" s="3108">
        <v>0.9</v>
      </c>
      <c r="F23" s="3105" t="s">
        <v>2449</v>
      </c>
      <c r="G23" s="3105"/>
    </row>
    <row r="24" spans="1:13" ht="19.5" customHeight="1">
      <c r="A24" s="3775"/>
      <c r="B24" s="3768"/>
      <c r="C24" s="3106" t="s">
        <v>2450</v>
      </c>
      <c r="D24" s="3107"/>
      <c r="E24" s="3108">
        <v>0.8</v>
      </c>
      <c r="F24" s="3105" t="s">
        <v>2451</v>
      </c>
      <c r="G24" s="3105"/>
    </row>
    <row r="25" spans="1:13" ht="19.5" customHeight="1" thickBot="1">
      <c r="A25" s="3776"/>
      <c r="B25" s="3770"/>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1" t="s">
        <v>2634</v>
      </c>
      <c r="B27" s="3769" t="s">
        <v>2615</v>
      </c>
      <c r="C27" s="3102" t="s">
        <v>2455</v>
      </c>
      <c r="D27" s="3103"/>
      <c r="E27" s="3104">
        <v>1</v>
      </c>
      <c r="F27" s="3105" t="s">
        <v>2456</v>
      </c>
      <c r="G27" s="3105"/>
    </row>
    <row r="28" spans="1:13" ht="19.5" customHeight="1">
      <c r="A28" s="3772"/>
      <c r="B28" s="3768"/>
      <c r="C28" s="3106" t="s">
        <v>2457</v>
      </c>
      <c r="D28" s="3107"/>
      <c r="E28" s="3108">
        <v>1</v>
      </c>
      <c r="F28" s="3105" t="s">
        <v>2458</v>
      </c>
      <c r="G28" s="3105"/>
    </row>
    <row r="29" spans="1:13" ht="19.5" customHeight="1">
      <c r="A29" s="3772"/>
      <c r="B29" s="3768"/>
      <c r="C29" s="3106" t="s">
        <v>2459</v>
      </c>
      <c r="D29" s="3107"/>
      <c r="E29" s="3108">
        <v>0.8</v>
      </c>
      <c r="F29" s="3105" t="s">
        <v>2460</v>
      </c>
      <c r="G29" s="3105"/>
    </row>
    <row r="30" spans="1:13" ht="19.5" customHeight="1">
      <c r="A30" s="3772"/>
      <c r="B30" s="3768"/>
      <c r="C30" s="3106" t="s">
        <v>2461</v>
      </c>
      <c r="D30" s="3107"/>
      <c r="E30" s="3108">
        <v>0.8</v>
      </c>
      <c r="F30" s="3105" t="s">
        <v>2462</v>
      </c>
      <c r="G30" s="3105"/>
    </row>
    <row r="31" spans="1:13" ht="19.5" customHeight="1">
      <c r="A31" s="3772"/>
      <c r="B31" s="3768"/>
      <c r="C31" s="3106" t="s">
        <v>2463</v>
      </c>
      <c r="D31" s="3107"/>
      <c r="E31" s="3108">
        <v>0.8</v>
      </c>
      <c r="F31" s="3105" t="s">
        <v>2464</v>
      </c>
      <c r="G31" s="3105"/>
    </row>
    <row r="32" spans="1:13" ht="19.5" customHeight="1">
      <c r="A32" s="3772"/>
      <c r="B32" s="3768"/>
      <c r="C32" s="3106" t="s">
        <v>2465</v>
      </c>
      <c r="D32" s="3107"/>
      <c r="E32" s="3108">
        <v>0.7</v>
      </c>
      <c r="F32" s="3105" t="s">
        <v>2466</v>
      </c>
      <c r="G32" s="3105"/>
    </row>
    <row r="33" spans="1:7" ht="19.5" customHeight="1">
      <c r="A33" s="3772"/>
      <c r="B33" s="3768"/>
      <c r="C33" s="3106" t="s">
        <v>2467</v>
      </c>
      <c r="D33" s="3107"/>
      <c r="E33" s="3108">
        <v>0.8</v>
      </c>
      <c r="F33" s="3105" t="s">
        <v>2468</v>
      </c>
      <c r="G33" s="3105"/>
    </row>
    <row r="34" spans="1:7" ht="19.5" customHeight="1">
      <c r="A34" s="3772"/>
      <c r="B34" s="3768"/>
      <c r="C34" s="3106" t="s">
        <v>2469</v>
      </c>
      <c r="D34" s="3107"/>
      <c r="E34" s="3108">
        <v>0.6</v>
      </c>
      <c r="F34" s="3105" t="s">
        <v>2470</v>
      </c>
      <c r="G34" s="3105"/>
    </row>
    <row r="35" spans="1:7" ht="19.5" customHeight="1">
      <c r="A35" s="3772"/>
      <c r="B35" s="3768"/>
      <c r="C35" s="3106" t="s">
        <v>2471</v>
      </c>
      <c r="D35" s="3107"/>
      <c r="E35" s="3108">
        <v>0.2</v>
      </c>
      <c r="F35" s="3105" t="s">
        <v>2472</v>
      </c>
      <c r="G35" s="3105"/>
    </row>
    <row r="36" spans="1:7" ht="19.5" customHeight="1">
      <c r="A36" s="3772"/>
      <c r="B36" s="3768"/>
      <c r="C36" s="3106" t="s">
        <v>2473</v>
      </c>
      <c r="D36" s="3107"/>
      <c r="E36" s="3108">
        <v>0.2</v>
      </c>
      <c r="F36" s="3105" t="s">
        <v>2474</v>
      </c>
      <c r="G36" s="3105"/>
    </row>
    <row r="37" spans="1:7" ht="19.5" customHeight="1">
      <c r="A37" s="3772"/>
      <c r="B37" s="3766" t="s">
        <v>2635</v>
      </c>
      <c r="C37" s="3106" t="s">
        <v>2475</v>
      </c>
      <c r="D37" s="3107"/>
      <c r="E37" s="3108">
        <v>0.6</v>
      </c>
      <c r="F37" s="3105" t="s">
        <v>2476</v>
      </c>
      <c r="G37" s="3105"/>
    </row>
    <row r="38" spans="1:7" ht="19.5" customHeight="1">
      <c r="A38" s="3772"/>
      <c r="B38" s="3768"/>
      <c r="C38" s="3106" t="s">
        <v>2477</v>
      </c>
      <c r="D38" s="3107"/>
      <c r="E38" s="3108">
        <v>0.6</v>
      </c>
      <c r="F38" s="3105" t="s">
        <v>2478</v>
      </c>
      <c r="G38" s="3105"/>
    </row>
    <row r="39" spans="1:7" ht="19.5" customHeight="1" thickBot="1">
      <c r="A39" s="3773"/>
      <c r="B39" s="3770"/>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4" t="s">
        <v>2613</v>
      </c>
      <c r="B41" s="3769" t="s">
        <v>2637</v>
      </c>
      <c r="C41" s="3102" t="s">
        <v>2482</v>
      </c>
      <c r="D41" s="3103"/>
      <c r="E41" s="3104">
        <v>1</v>
      </c>
      <c r="F41" s="3105" t="s">
        <v>2483</v>
      </c>
      <c r="G41" s="3105"/>
    </row>
    <row r="42" spans="1:7" ht="19.5" customHeight="1">
      <c r="A42" s="3775"/>
      <c r="B42" s="3768"/>
      <c r="C42" s="3106" t="s">
        <v>2484</v>
      </c>
      <c r="D42" s="3107"/>
      <c r="E42" s="3108">
        <v>1</v>
      </c>
      <c r="F42" s="3105" t="s">
        <v>2485</v>
      </c>
      <c r="G42" s="3105"/>
    </row>
    <row r="43" spans="1:7" ht="19.5" customHeight="1">
      <c r="A43" s="3775"/>
      <c r="B43" s="3767"/>
      <c r="C43" s="3106" t="s">
        <v>2486</v>
      </c>
      <c r="D43" s="3107"/>
      <c r="E43" s="3108">
        <v>1.5</v>
      </c>
      <c r="F43" s="3105" t="s">
        <v>2487</v>
      </c>
      <c r="G43" s="3105"/>
    </row>
    <row r="44" spans="1:7" ht="19.5" customHeight="1">
      <c r="A44" s="3775"/>
      <c r="B44" s="3117" t="s">
        <v>2638</v>
      </c>
      <c r="C44" s="3106" t="s">
        <v>2639</v>
      </c>
      <c r="D44" s="3107"/>
      <c r="E44" s="3108">
        <v>2</v>
      </c>
      <c r="F44" s="3105" t="s">
        <v>2488</v>
      </c>
      <c r="G44" s="3105"/>
    </row>
    <row r="45" spans="1:7" ht="19.5" customHeight="1">
      <c r="A45" s="3775"/>
      <c r="B45" s="3766" t="s">
        <v>2640</v>
      </c>
      <c r="C45" s="3106" t="s">
        <v>2489</v>
      </c>
      <c r="D45" s="3107"/>
      <c r="E45" s="3108">
        <v>1</v>
      </c>
      <c r="F45" s="3105" t="s">
        <v>2490</v>
      </c>
      <c r="G45" s="3105"/>
    </row>
    <row r="46" spans="1:7" ht="19.5" customHeight="1">
      <c r="A46" s="3775"/>
      <c r="B46" s="3768"/>
      <c r="C46" s="3106" t="s">
        <v>2491</v>
      </c>
      <c r="D46" s="3107"/>
      <c r="E46" s="3108">
        <v>1</v>
      </c>
      <c r="F46" s="3105" t="s">
        <v>2492</v>
      </c>
      <c r="G46" s="3105"/>
    </row>
    <row r="47" spans="1:7" ht="19.5" customHeight="1">
      <c r="A47" s="3775"/>
      <c r="B47" s="3768"/>
      <c r="C47" s="3106" t="s">
        <v>2493</v>
      </c>
      <c r="D47" s="3107"/>
      <c r="E47" s="3108">
        <v>1</v>
      </c>
      <c r="F47" s="3105" t="s">
        <v>2494</v>
      </c>
      <c r="G47" s="3105"/>
    </row>
    <row r="48" spans="1:7" ht="19.5" customHeight="1">
      <c r="A48" s="3775"/>
      <c r="B48" s="3768"/>
      <c r="C48" s="3106" t="s">
        <v>2495</v>
      </c>
      <c r="D48" s="3107"/>
      <c r="E48" s="3108">
        <v>1</v>
      </c>
      <c r="F48" s="3105" t="s">
        <v>2496</v>
      </c>
      <c r="G48" s="3105"/>
    </row>
    <row r="49" spans="1:7" ht="19.5" customHeight="1">
      <c r="A49" s="3775"/>
      <c r="B49" s="3768"/>
      <c r="C49" s="3106" t="s">
        <v>2497</v>
      </c>
      <c r="D49" s="3107"/>
      <c r="E49" s="3108">
        <v>1</v>
      </c>
      <c r="F49" s="3105" t="s">
        <v>2498</v>
      </c>
      <c r="G49" s="3105"/>
    </row>
    <row r="50" spans="1:7" ht="19.5" customHeight="1">
      <c r="A50" s="3775"/>
      <c r="B50" s="3768"/>
      <c r="C50" s="3106" t="s">
        <v>2499</v>
      </c>
      <c r="D50" s="3107"/>
      <c r="E50" s="3108">
        <v>1</v>
      </c>
      <c r="F50" s="3105" t="s">
        <v>2500</v>
      </c>
      <c r="G50" s="3105"/>
    </row>
    <row r="51" spans="1:7" ht="19.5" customHeight="1" thickBot="1">
      <c r="A51" s="3776"/>
      <c r="B51" s="3770"/>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6" t="s">
        <v>2654</v>
      </c>
      <c r="C73" s="3091" t="s">
        <v>2655</v>
      </c>
      <c r="D73" s="3091" t="s">
        <v>2656</v>
      </c>
      <c r="E73" s="3117">
        <v>0.2</v>
      </c>
      <c r="F73" s="3117">
        <v>25</v>
      </c>
    </row>
    <row r="74" spans="1:7" ht="24">
      <c r="A74" s="3117">
        <v>2</v>
      </c>
      <c r="B74" s="3768"/>
      <c r="C74" s="3091" t="s">
        <v>2657</v>
      </c>
      <c r="D74" s="3091" t="s">
        <v>2658</v>
      </c>
      <c r="E74" s="3117">
        <v>0.2</v>
      </c>
      <c r="F74" s="3117">
        <v>25</v>
      </c>
    </row>
    <row r="75" spans="1:7" ht="24">
      <c r="A75" s="3117">
        <v>3</v>
      </c>
      <c r="B75" s="3768"/>
      <c r="C75" s="3091" t="s">
        <v>2659</v>
      </c>
      <c r="D75" s="3091" t="s">
        <v>2660</v>
      </c>
      <c r="E75" s="3117">
        <v>0.2</v>
      </c>
      <c r="F75" s="3117">
        <v>25</v>
      </c>
    </row>
    <row r="76" spans="1:7" ht="13.5">
      <c r="A76" s="3117">
        <v>4</v>
      </c>
      <c r="B76" s="3768"/>
      <c r="C76" s="3091" t="s">
        <v>2661</v>
      </c>
      <c r="D76" s="3091" t="s">
        <v>2662</v>
      </c>
      <c r="E76" s="3117">
        <v>0.15</v>
      </c>
      <c r="F76" s="3117">
        <v>20</v>
      </c>
    </row>
    <row r="77" spans="1:7" ht="24">
      <c r="A77" s="3117">
        <v>5</v>
      </c>
      <c r="B77" s="3768"/>
      <c r="C77" s="3091" t="s">
        <v>2663</v>
      </c>
      <c r="D77" s="3091" t="s">
        <v>2664</v>
      </c>
      <c r="E77" s="3117">
        <v>0.15</v>
      </c>
      <c r="F77" s="3117">
        <v>20</v>
      </c>
    </row>
    <row r="78" spans="1:7" ht="24">
      <c r="A78" s="3117">
        <v>6</v>
      </c>
      <c r="B78" s="3768"/>
      <c r="C78" s="3091" t="s">
        <v>2665</v>
      </c>
      <c r="D78" s="3091" t="s">
        <v>2666</v>
      </c>
      <c r="E78" s="3117">
        <v>0.15</v>
      </c>
      <c r="F78" s="3117">
        <v>20</v>
      </c>
    </row>
    <row r="79" spans="1:7" ht="24">
      <c r="A79" s="3117">
        <v>7</v>
      </c>
      <c r="B79" s="3768"/>
      <c r="C79" s="3091" t="s">
        <v>2667</v>
      </c>
      <c r="D79" s="3091" t="s">
        <v>2668</v>
      </c>
      <c r="E79" s="3117">
        <v>0.15</v>
      </c>
      <c r="F79" s="3117">
        <v>20</v>
      </c>
    </row>
    <row r="80" spans="1:7" ht="24">
      <c r="A80" s="3117">
        <v>8</v>
      </c>
      <c r="B80" s="3768"/>
      <c r="C80" s="3091" t="s">
        <v>2669</v>
      </c>
      <c r="D80" s="3091" t="s">
        <v>2670</v>
      </c>
      <c r="E80" s="3117">
        <v>0.1</v>
      </c>
      <c r="F80" s="3117">
        <v>15</v>
      </c>
    </row>
    <row r="81" spans="1:6" ht="24">
      <c r="A81" s="3117">
        <v>9</v>
      </c>
      <c r="B81" s="3768"/>
      <c r="C81" s="3091" t="s">
        <v>2671</v>
      </c>
      <c r="D81" s="3091" t="s">
        <v>2672</v>
      </c>
      <c r="E81" s="3117">
        <v>0.1</v>
      </c>
      <c r="F81" s="3117">
        <v>15</v>
      </c>
    </row>
    <row r="82" spans="1:6" ht="24">
      <c r="A82" s="3117">
        <v>10</v>
      </c>
      <c r="B82" s="3768"/>
      <c r="C82" s="3091" t="s">
        <v>2673</v>
      </c>
      <c r="D82" s="3091" t="s">
        <v>2674</v>
      </c>
      <c r="E82" s="3117">
        <v>0.1</v>
      </c>
      <c r="F82" s="3117">
        <v>15</v>
      </c>
    </row>
    <row r="83" spans="1:6" ht="24">
      <c r="A83" s="3117">
        <v>11</v>
      </c>
      <c r="B83" s="3768"/>
      <c r="C83" s="3091" t="s">
        <v>2675</v>
      </c>
      <c r="D83" s="3091" t="s">
        <v>2676</v>
      </c>
      <c r="E83" s="3117">
        <v>0.1</v>
      </c>
      <c r="F83" s="3117">
        <v>15</v>
      </c>
    </row>
    <row r="84" spans="1:6" ht="24">
      <c r="A84" s="3117">
        <v>12</v>
      </c>
      <c r="B84" s="3768"/>
      <c r="C84" s="3091" t="s">
        <v>2677</v>
      </c>
      <c r="D84" s="3091" t="s">
        <v>2678</v>
      </c>
      <c r="E84" s="3117">
        <v>0.1</v>
      </c>
      <c r="F84" s="3117">
        <v>15</v>
      </c>
    </row>
    <row r="85" spans="1:6" ht="13.5">
      <c r="A85" s="3117">
        <v>13</v>
      </c>
      <c r="B85" s="3768"/>
      <c r="C85" s="3091" t="s">
        <v>2679</v>
      </c>
      <c r="D85" s="3091" t="s">
        <v>2680</v>
      </c>
      <c r="E85" s="3117">
        <v>0.1</v>
      </c>
      <c r="F85" s="3117">
        <v>15</v>
      </c>
    </row>
    <row r="86" spans="1:6" ht="13.5">
      <c r="A86" s="3117">
        <v>14</v>
      </c>
      <c r="B86" s="3768"/>
      <c r="C86" s="3091" t="s">
        <v>2681</v>
      </c>
      <c r="D86" s="3091" t="s">
        <v>2682</v>
      </c>
      <c r="E86" s="3117">
        <v>0.1</v>
      </c>
      <c r="F86" s="3117">
        <v>15</v>
      </c>
    </row>
    <row r="87" spans="1:6" ht="13.5">
      <c r="A87" s="3117">
        <v>15</v>
      </c>
      <c r="B87" s="3768"/>
      <c r="C87" s="3091" t="s">
        <v>2683</v>
      </c>
      <c r="D87" s="3091" t="s">
        <v>2684</v>
      </c>
      <c r="E87" s="3117">
        <v>0.1</v>
      </c>
      <c r="F87" s="3117">
        <v>15</v>
      </c>
    </row>
    <row r="88" spans="1:6" ht="24">
      <c r="A88" s="3117">
        <v>16</v>
      </c>
      <c r="B88" s="3768"/>
      <c r="C88" s="3091" t="s">
        <v>2685</v>
      </c>
      <c r="D88" s="3091" t="s">
        <v>2686</v>
      </c>
      <c r="E88" s="3117">
        <v>0.1</v>
      </c>
      <c r="F88" s="3117">
        <v>15</v>
      </c>
    </row>
    <row r="89" spans="1:6" ht="24">
      <c r="A89" s="3117">
        <v>17</v>
      </c>
      <c r="B89" s="3767"/>
      <c r="C89" s="3091" t="s">
        <v>2687</v>
      </c>
      <c r="D89" s="3091" t="s">
        <v>2688</v>
      </c>
      <c r="E89" s="3117">
        <v>0.1</v>
      </c>
      <c r="F89" s="3117">
        <v>15</v>
      </c>
    </row>
    <row r="90" spans="1:6" ht="13.5">
      <c r="A90" s="3117">
        <v>18</v>
      </c>
      <c r="B90" s="3766" t="s">
        <v>2689</v>
      </c>
      <c r="C90" s="3091" t="s">
        <v>2690</v>
      </c>
      <c r="D90" s="3091" t="s">
        <v>2691</v>
      </c>
      <c r="E90" s="3117">
        <v>0.2</v>
      </c>
      <c r="F90" s="3117">
        <v>25</v>
      </c>
    </row>
    <row r="91" spans="1:6" ht="24">
      <c r="A91" s="3117">
        <v>19</v>
      </c>
      <c r="B91" s="3768"/>
      <c r="C91" s="3091" t="s">
        <v>2692</v>
      </c>
      <c r="D91" s="3091" t="s">
        <v>2693</v>
      </c>
      <c r="E91" s="3117">
        <v>0.2</v>
      </c>
      <c r="F91" s="3117">
        <v>25</v>
      </c>
    </row>
    <row r="92" spans="1:6" ht="13.5">
      <c r="A92" s="3117">
        <v>20</v>
      </c>
      <c r="B92" s="3768"/>
      <c r="C92" s="3091" t="s">
        <v>2694</v>
      </c>
      <c r="D92" s="3091" t="s">
        <v>2695</v>
      </c>
      <c r="E92" s="3117">
        <v>0.15</v>
      </c>
      <c r="F92" s="3117">
        <v>20</v>
      </c>
    </row>
    <row r="93" spans="1:6" ht="13.5">
      <c r="A93" s="3117">
        <v>21</v>
      </c>
      <c r="B93" s="3768"/>
      <c r="C93" s="3091" t="s">
        <v>2696</v>
      </c>
      <c r="D93" s="3091" t="s">
        <v>2697</v>
      </c>
      <c r="E93" s="3117">
        <v>0.15</v>
      </c>
      <c r="F93" s="3117">
        <v>20</v>
      </c>
    </row>
    <row r="94" spans="1:6" ht="13.5">
      <c r="A94" s="3117">
        <v>22</v>
      </c>
      <c r="B94" s="3768"/>
      <c r="C94" s="3091" t="s">
        <v>2698</v>
      </c>
      <c r="D94" s="3091" t="s">
        <v>2699</v>
      </c>
      <c r="E94" s="3117">
        <v>0.15</v>
      </c>
      <c r="F94" s="3117">
        <v>20</v>
      </c>
    </row>
    <row r="95" spans="1:6" ht="36">
      <c r="A95" s="3117">
        <v>23</v>
      </c>
      <c r="B95" s="3768"/>
      <c r="C95" s="3091" t="s">
        <v>2700</v>
      </c>
      <c r="D95" s="3091" t="s">
        <v>2701</v>
      </c>
      <c r="E95" s="3117">
        <v>0.15</v>
      </c>
      <c r="F95" s="3117">
        <v>20</v>
      </c>
    </row>
    <row r="96" spans="1:6" ht="13.5">
      <c r="A96" s="3117">
        <v>24</v>
      </c>
      <c r="B96" s="3768"/>
      <c r="C96" s="3091" t="s">
        <v>2702</v>
      </c>
      <c r="D96" s="3091" t="s">
        <v>2703</v>
      </c>
      <c r="E96" s="3117">
        <v>0.1</v>
      </c>
      <c r="F96" s="3117">
        <v>15</v>
      </c>
    </row>
    <row r="97" spans="1:6" ht="13.5">
      <c r="A97" s="3117">
        <v>25</v>
      </c>
      <c r="B97" s="3768"/>
      <c r="C97" s="3091" t="s">
        <v>2704</v>
      </c>
      <c r="D97" s="3091" t="s">
        <v>2705</v>
      </c>
      <c r="E97" s="3117">
        <v>0.1</v>
      </c>
      <c r="F97" s="3117">
        <v>15</v>
      </c>
    </row>
    <row r="98" spans="1:6" ht="24">
      <c r="A98" s="3117">
        <v>26</v>
      </c>
      <c r="B98" s="3768"/>
      <c r="C98" s="3091" t="s">
        <v>2706</v>
      </c>
      <c r="D98" s="3091" t="s">
        <v>2707</v>
      </c>
      <c r="E98" s="3117">
        <v>0.1</v>
      </c>
      <c r="F98" s="3117">
        <v>15</v>
      </c>
    </row>
    <row r="99" spans="1:6" ht="24">
      <c r="A99" s="3117">
        <v>27</v>
      </c>
      <c r="B99" s="3768"/>
      <c r="C99" s="3091" t="s">
        <v>2708</v>
      </c>
      <c r="D99" s="3091" t="s">
        <v>2709</v>
      </c>
      <c r="E99" s="3117">
        <v>0.1</v>
      </c>
      <c r="F99" s="3117">
        <v>15</v>
      </c>
    </row>
    <row r="100" spans="1:6" ht="13.5">
      <c r="A100" s="3117">
        <v>28</v>
      </c>
      <c r="B100" s="3768"/>
      <c r="C100" s="3091" t="s">
        <v>2710</v>
      </c>
      <c r="D100" s="3091" t="s">
        <v>2711</v>
      </c>
      <c r="E100" s="3117">
        <v>0.1</v>
      </c>
      <c r="F100" s="3117">
        <v>15</v>
      </c>
    </row>
    <row r="101" spans="1:6" ht="13.5">
      <c r="A101" s="3117">
        <v>29</v>
      </c>
      <c r="B101" s="3768"/>
      <c r="C101" s="3091" t="s">
        <v>2712</v>
      </c>
      <c r="D101" s="3091" t="s">
        <v>2713</v>
      </c>
      <c r="E101" s="3117">
        <v>0.1</v>
      </c>
      <c r="F101" s="3117">
        <v>15</v>
      </c>
    </row>
    <row r="102" spans="1:6" ht="13.5">
      <c r="A102" s="3117">
        <v>30</v>
      </c>
      <c r="B102" s="3768"/>
      <c r="C102" s="3091" t="s">
        <v>2714</v>
      </c>
      <c r="D102" s="3091" t="s">
        <v>2715</v>
      </c>
      <c r="E102" s="3117">
        <v>0.1</v>
      </c>
      <c r="F102" s="3117">
        <v>15</v>
      </c>
    </row>
    <row r="103" spans="1:6" ht="24">
      <c r="A103" s="3117">
        <v>31</v>
      </c>
      <c r="B103" s="3768"/>
      <c r="C103" s="3091" t="s">
        <v>2716</v>
      </c>
      <c r="D103" s="3091" t="s">
        <v>2717</v>
      </c>
      <c r="E103" s="3117">
        <v>0.1</v>
      </c>
      <c r="F103" s="3117">
        <v>15</v>
      </c>
    </row>
    <row r="104" spans="1:6" ht="24">
      <c r="A104" s="3117">
        <v>32</v>
      </c>
      <c r="B104" s="3768"/>
      <c r="C104" s="3091" t="s">
        <v>2718</v>
      </c>
      <c r="D104" s="3091" t="s">
        <v>2719</v>
      </c>
      <c r="E104" s="3117">
        <v>0.1</v>
      </c>
      <c r="F104" s="3117">
        <v>15</v>
      </c>
    </row>
    <row r="105" spans="1:6" ht="24">
      <c r="A105" s="3117">
        <v>33</v>
      </c>
      <c r="B105" s="3768"/>
      <c r="C105" s="3091" t="s">
        <v>2720</v>
      </c>
      <c r="D105" s="3091" t="s">
        <v>2721</v>
      </c>
      <c r="E105" s="3117">
        <v>0.1</v>
      </c>
      <c r="F105" s="3117">
        <v>15</v>
      </c>
    </row>
    <row r="106" spans="1:6" ht="24">
      <c r="A106" s="3117">
        <v>34</v>
      </c>
      <c r="B106" s="3767"/>
      <c r="C106" s="3091" t="s">
        <v>2722</v>
      </c>
      <c r="D106" s="3091" t="s">
        <v>2723</v>
      </c>
      <c r="E106" s="3117">
        <v>0.1</v>
      </c>
      <c r="F106" s="3117">
        <v>15</v>
      </c>
    </row>
    <row r="107" spans="1:6" ht="24">
      <c r="A107" s="3117">
        <v>35</v>
      </c>
      <c r="B107" s="3766" t="s">
        <v>2724</v>
      </c>
      <c r="C107" s="3117" t="s">
        <v>2725</v>
      </c>
      <c r="D107" s="3091" t="s">
        <v>2726</v>
      </c>
      <c r="E107" s="3117">
        <v>0.15</v>
      </c>
      <c r="F107" s="3117">
        <v>20</v>
      </c>
    </row>
    <row r="108" spans="1:6" ht="13.5">
      <c r="A108" s="3117">
        <v>36</v>
      </c>
      <c r="B108" s="3768"/>
      <c r="C108" s="3117" t="s">
        <v>2727</v>
      </c>
      <c r="D108" s="3091" t="s">
        <v>2728</v>
      </c>
      <c r="E108" s="3117">
        <v>0.15</v>
      </c>
      <c r="F108" s="3117">
        <v>20</v>
      </c>
    </row>
    <row r="109" spans="1:6" ht="13.5">
      <c r="A109" s="3117">
        <v>37</v>
      </c>
      <c r="B109" s="3768"/>
      <c r="C109" s="3117" t="s">
        <v>2729</v>
      </c>
      <c r="D109" s="3091" t="s">
        <v>2730</v>
      </c>
      <c r="E109" s="3117">
        <v>0.15</v>
      </c>
      <c r="F109" s="3117">
        <v>20</v>
      </c>
    </row>
    <row r="110" spans="1:6" ht="13.5">
      <c r="A110" s="3117">
        <v>38</v>
      </c>
      <c r="B110" s="3768"/>
      <c r="C110" s="3117" t="s">
        <v>2731</v>
      </c>
      <c r="D110" s="3091" t="s">
        <v>2732</v>
      </c>
      <c r="E110" s="3117">
        <v>0.1</v>
      </c>
      <c r="F110" s="3117">
        <v>15</v>
      </c>
    </row>
    <row r="111" spans="1:6" ht="24">
      <c r="A111" s="3117">
        <v>39</v>
      </c>
      <c r="B111" s="3768"/>
      <c r="C111" s="3117" t="s">
        <v>2733</v>
      </c>
      <c r="D111" s="3091" t="s">
        <v>2734</v>
      </c>
      <c r="E111" s="3117">
        <v>0.1</v>
      </c>
      <c r="F111" s="3117">
        <v>15</v>
      </c>
    </row>
    <row r="112" spans="1:6" ht="24">
      <c r="A112" s="3117">
        <v>40</v>
      </c>
      <c r="B112" s="3767"/>
      <c r="C112" s="3117" t="s">
        <v>2735</v>
      </c>
      <c r="D112" s="3091" t="s">
        <v>2736</v>
      </c>
      <c r="E112" s="3117">
        <v>0.1</v>
      </c>
      <c r="F112" s="3117">
        <v>15</v>
      </c>
    </row>
    <row r="113" spans="1:6" ht="13.5">
      <c r="A113" s="3117">
        <v>41</v>
      </c>
      <c r="B113" s="3765" t="s">
        <v>2737</v>
      </c>
      <c r="C113" s="3117" t="s">
        <v>2738</v>
      </c>
      <c r="D113" s="3091" t="s">
        <v>2739</v>
      </c>
      <c r="E113" s="3117">
        <v>0.1</v>
      </c>
      <c r="F113" s="3117">
        <v>15</v>
      </c>
    </row>
    <row r="114" spans="1:6" ht="13.5">
      <c r="A114" s="3117">
        <v>42</v>
      </c>
      <c r="B114" s="3765"/>
      <c r="C114" s="3117" t="s">
        <v>2740</v>
      </c>
      <c r="D114" s="3091" t="s">
        <v>2741</v>
      </c>
      <c r="E114" s="3117">
        <v>0.1</v>
      </c>
      <c r="F114" s="3117">
        <v>15</v>
      </c>
    </row>
    <row r="115" spans="1:6" ht="24">
      <c r="A115" s="3117">
        <v>43</v>
      </c>
      <c r="B115" s="3765"/>
      <c r="C115" s="3117" t="s">
        <v>2742</v>
      </c>
      <c r="D115" s="3091" t="s">
        <v>2743</v>
      </c>
      <c r="E115" s="3117">
        <v>0.1</v>
      </c>
      <c r="F115" s="3117">
        <v>15</v>
      </c>
    </row>
    <row r="116" spans="1:6" ht="13.5">
      <c r="A116" s="3117">
        <v>44</v>
      </c>
      <c r="B116" s="3766" t="s">
        <v>2744</v>
      </c>
      <c r="C116" s="3117" t="s">
        <v>2745</v>
      </c>
      <c r="D116" s="3091" t="s">
        <v>2746</v>
      </c>
      <c r="E116" s="3117">
        <v>0.1</v>
      </c>
      <c r="F116" s="3117">
        <v>15</v>
      </c>
    </row>
    <row r="117" spans="1:6" ht="24">
      <c r="A117" s="3117">
        <v>45</v>
      </c>
      <c r="B117" s="3767"/>
      <c r="C117" s="3091" t="s">
        <v>2747</v>
      </c>
      <c r="D117" s="3091" t="s">
        <v>2748</v>
      </c>
      <c r="E117" s="3117">
        <v>0.1</v>
      </c>
      <c r="F117" s="3117">
        <v>15</v>
      </c>
    </row>
    <row r="118" spans="1:6" ht="24">
      <c r="A118" s="3117">
        <v>46</v>
      </c>
      <c r="B118" s="3766" t="s">
        <v>2749</v>
      </c>
      <c r="C118" s="3117" t="s">
        <v>2750</v>
      </c>
      <c r="D118" s="3091" t="s">
        <v>2751</v>
      </c>
      <c r="E118" s="3117">
        <v>0.1</v>
      </c>
      <c r="F118" s="3117">
        <v>15</v>
      </c>
    </row>
    <row r="119" spans="1:6" ht="24">
      <c r="A119" s="3117">
        <v>47</v>
      </c>
      <c r="B119" s="3767"/>
      <c r="C119" s="3117" t="s">
        <v>2752</v>
      </c>
      <c r="D119" s="3091" t="s">
        <v>2753</v>
      </c>
      <c r="E119" s="3117">
        <v>0.1</v>
      </c>
      <c r="F119" s="3117">
        <v>15</v>
      </c>
    </row>
    <row r="120" spans="1:6" ht="13.5">
      <c r="A120" s="3117">
        <v>48</v>
      </c>
      <c r="B120" s="3766" t="s">
        <v>2754</v>
      </c>
      <c r="C120" s="3117" t="s">
        <v>2755</v>
      </c>
      <c r="D120" s="3091" t="s">
        <v>2756</v>
      </c>
      <c r="E120" s="3117">
        <v>0.1</v>
      </c>
      <c r="F120" s="3117">
        <v>15</v>
      </c>
    </row>
    <row r="121" spans="1:6" ht="13.5">
      <c r="A121" s="3117">
        <v>49</v>
      </c>
      <c r="B121" s="3767"/>
      <c r="C121" s="3117" t="s">
        <v>2757</v>
      </c>
      <c r="D121" s="3091" t="s">
        <v>2758</v>
      </c>
      <c r="E121" s="3117">
        <v>0.1</v>
      </c>
      <c r="F121" s="3117">
        <v>15</v>
      </c>
    </row>
    <row r="122" spans="1:6" ht="24">
      <c r="A122" s="3117">
        <v>50</v>
      </c>
      <c r="B122" s="3765" t="s">
        <v>2759</v>
      </c>
      <c r="C122" s="3117" t="s">
        <v>2760</v>
      </c>
      <c r="D122" s="3091" t="s">
        <v>2761</v>
      </c>
      <c r="E122" s="3117">
        <v>0.1</v>
      </c>
      <c r="F122" s="3117">
        <v>15</v>
      </c>
    </row>
    <row r="123" spans="1:6" ht="24">
      <c r="A123" s="3117">
        <v>51</v>
      </c>
      <c r="B123" s="3765"/>
      <c r="C123" s="3117" t="s">
        <v>2762</v>
      </c>
      <c r="D123" s="3091" t="s">
        <v>2763</v>
      </c>
      <c r="E123" s="3117">
        <v>0.1</v>
      </c>
      <c r="F123" s="3117">
        <v>15</v>
      </c>
    </row>
    <row r="124" spans="1:6" ht="24">
      <c r="A124" s="3117">
        <v>52</v>
      </c>
      <c r="B124" s="3765" t="s">
        <v>2764</v>
      </c>
      <c r="C124" s="3117" t="s">
        <v>2765</v>
      </c>
      <c r="D124" s="3091" t="s">
        <v>2766</v>
      </c>
      <c r="E124" s="3117">
        <v>0.1</v>
      </c>
      <c r="F124" s="3117">
        <v>15</v>
      </c>
    </row>
    <row r="125" spans="1:6" ht="24">
      <c r="A125" s="3117">
        <v>53</v>
      </c>
      <c r="B125" s="3765"/>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5" t="s">
        <v>2772</v>
      </c>
      <c r="C127" s="3117" t="s">
        <v>2773</v>
      </c>
      <c r="D127" s="3091" t="s">
        <v>2774</v>
      </c>
      <c r="E127" s="3117">
        <v>0.1</v>
      </c>
      <c r="F127" s="3117">
        <v>15</v>
      </c>
    </row>
    <row r="128" spans="1:6" ht="13.5">
      <c r="A128" s="3117">
        <v>56</v>
      </c>
      <c r="B128" s="3765"/>
      <c r="C128" s="3117" t="s">
        <v>2775</v>
      </c>
      <c r="D128" s="3091" t="s">
        <v>2776</v>
      </c>
      <c r="E128" s="3117">
        <v>0.1</v>
      </c>
      <c r="F128" s="3117">
        <v>15</v>
      </c>
    </row>
    <row r="129" spans="1:6" ht="24">
      <c r="A129" s="3117">
        <v>57</v>
      </c>
      <c r="B129" s="3765"/>
      <c r="C129" s="3117" t="s">
        <v>2777</v>
      </c>
      <c r="D129" s="3091" t="s">
        <v>2778</v>
      </c>
      <c r="E129" s="3117">
        <v>0.1</v>
      </c>
      <c r="F129" s="3117">
        <v>15</v>
      </c>
    </row>
    <row r="130" spans="1:6" ht="24">
      <c r="A130" s="3117">
        <v>58</v>
      </c>
      <c r="B130" s="3765" t="s">
        <v>2779</v>
      </c>
      <c r="C130" s="3117" t="s">
        <v>2780</v>
      </c>
      <c r="D130" s="3091" t="s">
        <v>2781</v>
      </c>
      <c r="E130" s="3117">
        <v>0.1</v>
      </c>
      <c r="F130" s="3117">
        <v>15</v>
      </c>
    </row>
    <row r="131" spans="1:6" ht="13.5">
      <c r="A131" s="3117">
        <v>59</v>
      </c>
      <c r="B131" s="3765"/>
      <c r="C131" s="3117" t="s">
        <v>2782</v>
      </c>
      <c r="D131" s="3091" t="s">
        <v>2783</v>
      </c>
      <c r="E131" s="3117">
        <v>0.1</v>
      </c>
      <c r="F131" s="3117">
        <v>15</v>
      </c>
    </row>
    <row r="132" spans="1:6" ht="13.5">
      <c r="A132" s="3117">
        <v>60</v>
      </c>
      <c r="B132" s="3766" t="s">
        <v>2784</v>
      </c>
      <c r="C132" s="3117" t="s">
        <v>2785</v>
      </c>
      <c r="D132" s="3091" t="s">
        <v>2786</v>
      </c>
      <c r="E132" s="3117">
        <v>0.1</v>
      </c>
      <c r="F132" s="3117">
        <v>15</v>
      </c>
    </row>
    <row r="133" spans="1:6" ht="13.5">
      <c r="A133" s="3117">
        <v>61</v>
      </c>
      <c r="B133" s="3767"/>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5" t="s">
        <v>2792</v>
      </c>
      <c r="C135" s="3117" t="s">
        <v>2793</v>
      </c>
      <c r="D135" s="3091" t="s">
        <v>2794</v>
      </c>
      <c r="E135" s="3117">
        <v>0.1</v>
      </c>
      <c r="F135" s="3117">
        <v>15</v>
      </c>
    </row>
    <row r="136" spans="1:6" ht="13.5">
      <c r="A136" s="3117">
        <v>64</v>
      </c>
      <c r="B136" s="3765"/>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50366</v>
      </c>
      <c r="C2" s="2" t="s">
        <v>106</v>
      </c>
      <c r="D2" s="199"/>
      <c r="E2" s="199"/>
      <c r="F2" s="199"/>
      <c r="G2" s="199"/>
    </row>
    <row r="3" spans="1:7" s="200" customFormat="1" ht="18" customHeight="1" thickBot="1">
      <c r="A3" s="203" t="s">
        <v>58</v>
      </c>
      <c r="B3" s="204">
        <f ca="1">ROUND(B2*10000/'数据-汇总表'!E3,0)</f>
        <v>7025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180</v>
      </c>
      <c r="F9" s="221"/>
      <c r="G9" s="226"/>
    </row>
    <row r="10" spans="1:7" s="214" customFormat="1" ht="13.5" customHeight="1">
      <c r="A10" s="778" t="s">
        <v>356</v>
      </c>
      <c r="B10" s="224" t="s">
        <v>67</v>
      </c>
      <c r="C10" s="225">
        <f>ROUND(D10*E10/10000,0)</f>
        <v>1291</v>
      </c>
      <c r="D10" s="844">
        <f>'数据-汇总表'!E6</f>
        <v>71700.22</v>
      </c>
      <c r="E10" s="225">
        <f>'数据-取费表'!B28</f>
        <v>180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1434</v>
      </c>
      <c r="D19" s="848">
        <f>'数据-汇总表'!E3</f>
        <v>71700.22</v>
      </c>
      <c r="E19" s="211">
        <f>'数据-取费表'!B31</f>
        <v>200</v>
      </c>
      <c r="F19" s="231"/>
      <c r="G19" s="1" t="s">
        <v>436</v>
      </c>
    </row>
    <row r="20" spans="1:7" s="214" customFormat="1" ht="13.5" customHeight="1">
      <c r="A20" s="776" t="s">
        <v>419</v>
      </c>
      <c r="B20" s="210" t="s">
        <v>77</v>
      </c>
      <c r="C20" s="232">
        <f>ROUND((C5+C19)*F20,0)</f>
        <v>441</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1162</v>
      </c>
      <c r="D22" s="235">
        <f ca="1">C26</f>
        <v>5.0000000000000001E-4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1076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75</v>
      </c>
      <c r="D24" s="238"/>
      <c r="E24" s="238"/>
      <c r="F24" s="239"/>
      <c r="G24" s="240" t="s">
        <v>82</v>
      </c>
    </row>
    <row r="25" spans="1:7" s="214" customFormat="1" ht="24">
      <c r="A25" s="779" t="s">
        <v>348</v>
      </c>
      <c r="B25" s="215" t="s">
        <v>420</v>
      </c>
      <c r="C25" s="1104">
        <f ca="1">ROUND(IF('数据-取费表'!B22&lt;=1,C20*F22*'数据-取费表'!B23/2,C20*(POWER((1+F22),'数据-取费表'!B23/2)-1)),0)</f>
        <v>11</v>
      </c>
      <c r="D25" s="238"/>
      <c r="E25" s="241"/>
      <c r="F25" s="239"/>
      <c r="G25" s="242" t="s">
        <v>83</v>
      </c>
    </row>
    <row r="26" spans="1:7" s="214" customFormat="1">
      <c r="A26" s="779" t="s">
        <v>350</v>
      </c>
      <c r="B26" s="215" t="s">
        <v>422</v>
      </c>
      <c r="C26" s="238">
        <f ca="1">ROUND(IF('数据-取费表'!B22&lt;=1,F21*F22*'数据-取费表'!B23/2,F21*(POWER((1+F22),'数据-取费表'!B23/2)-1)),4)</f>
        <v>5.0000000000000001E-4</v>
      </c>
      <c r="D26" s="238"/>
      <c r="E26" s="241"/>
      <c r="F26" s="239"/>
      <c r="G26" s="243"/>
    </row>
    <row r="27" spans="1:7" s="214" customFormat="1" ht="24.75">
      <c r="A27" s="776" t="s">
        <v>342</v>
      </c>
      <c r="B27" s="244" t="s">
        <v>85</v>
      </c>
      <c r="C27" s="245">
        <f>C28</f>
        <v>1124</v>
      </c>
      <c r="D27" s="235">
        <f>C29</f>
        <v>1E-3</v>
      </c>
      <c r="E27" s="236" t="s">
        <v>99</v>
      </c>
      <c r="F27" s="246">
        <f>'数据-取费表'!Q16</f>
        <v>0.05</v>
      </c>
      <c r="G27" s="247" t="s">
        <v>431</v>
      </c>
    </row>
    <row r="28" spans="1:7" s="214" customFormat="1" ht="13.5" customHeight="1">
      <c r="A28" s="779" t="s">
        <v>349</v>
      </c>
      <c r="B28" s="248" t="s">
        <v>424</v>
      </c>
      <c r="C28" s="249">
        <f>ROUND((C5+C19+C20)*F27*'数据-取费表'!B21/'数据-取费表'!B20,0)</f>
        <v>1124</v>
      </c>
      <c r="D28" s="235"/>
      <c r="E28" s="236"/>
      <c r="F28" s="246"/>
      <c r="G28" s="247"/>
    </row>
    <row r="29" spans="1:7" s="214" customFormat="1" ht="13.5" customHeight="1">
      <c r="A29" s="779" t="s">
        <v>347</v>
      </c>
      <c r="B29" s="248" t="s">
        <v>425</v>
      </c>
      <c r="C29" s="238">
        <f>ROUND(C21*F27*'数据-取费表'!B21/'数据-取费表'!B20,4)</f>
        <v>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26747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24019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21510</v>
      </c>
      <c r="D34" s="217"/>
      <c r="E34" s="220"/>
      <c r="F34" s="257">
        <f>IF('数据-取费表'!B24=0,1,'数据-取费表'!N16)</f>
        <v>1</v>
      </c>
      <c r="G34" s="219" t="s">
        <v>89</v>
      </c>
    </row>
    <row r="35" spans="1:7" ht="13.5" customHeight="1">
      <c r="A35" s="779" t="s">
        <v>351</v>
      </c>
      <c r="B35" s="215" t="s">
        <v>33</v>
      </c>
      <c r="C35" s="220">
        <f>ROUND(C34*F35,0)</f>
        <v>645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1434</v>
      </c>
      <c r="D37" s="217">
        <f>'数据-汇总表'!E3</f>
        <v>71700.22</v>
      </c>
      <c r="E37" s="249">
        <f>'数据-取费表'!B35</f>
        <v>200</v>
      </c>
      <c r="F37" s="259"/>
      <c r="G37" s="261" t="s">
        <v>92</v>
      </c>
    </row>
    <row r="38" spans="1:7" ht="13.5" customHeight="1">
      <c r="A38" s="779" t="s">
        <v>354</v>
      </c>
      <c r="B38" s="215" t="s">
        <v>36</v>
      </c>
      <c r="C38" s="220">
        <f>ROUND(C34*F38,0)</f>
        <v>430</v>
      </c>
      <c r="D38" s="220"/>
      <c r="E38" s="220"/>
      <c r="F38" s="259">
        <f>'数据-取费表'!B36</f>
        <v>0.02</v>
      </c>
      <c r="G38" s="219" t="s">
        <v>90</v>
      </c>
    </row>
    <row r="39" spans="1:7" s="214" customFormat="1" ht="13.5" customHeight="1">
      <c r="A39" s="776" t="s">
        <v>338</v>
      </c>
      <c r="B39" s="210" t="s">
        <v>77</v>
      </c>
      <c r="C39" s="232">
        <f>ROUND(C33*F20,0)</f>
        <v>480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631</v>
      </c>
      <c r="D41" s="235">
        <f ca="1">C44</f>
        <v>5.0000000000000001E-4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619</v>
      </c>
      <c r="D42" s="238"/>
      <c r="E42" s="238"/>
      <c r="F42" s="239"/>
      <c r="G42" s="3641" t="s">
        <v>94</v>
      </c>
    </row>
    <row r="43" spans="1:7" ht="13.5" customHeight="1">
      <c r="A43" s="779" t="s">
        <v>347</v>
      </c>
      <c r="B43" s="215" t="s">
        <v>426</v>
      </c>
      <c r="C43" s="238">
        <f ca="1">ROUND(IF('数据-取费表'!B22&lt;=1,C39*F22*'数据-取费表'!B21/2,C39*(POWER((1+F22),'数据-取费表'!B21/2)-1)),0)</f>
        <v>12</v>
      </c>
      <c r="D43" s="238"/>
      <c r="E43" s="238"/>
      <c r="F43" s="239"/>
      <c r="G43" s="3642"/>
    </row>
    <row r="44" spans="1:7" ht="13.5" customHeight="1">
      <c r="A44" s="779" t="s">
        <v>348</v>
      </c>
      <c r="B44" s="215" t="s">
        <v>428</v>
      </c>
      <c r="C44" s="238">
        <f ca="1">ROUND(IF('数据-取费表'!B22&lt;=1,C40*F22*'数据-取费表'!B21/2,C40*(POWER((1+F22),'数据-取费表'!B21/2)-1)),4)</f>
        <v>5.0000000000000001E-4</v>
      </c>
      <c r="D44" s="238"/>
      <c r="E44" s="238"/>
      <c r="F44" s="239"/>
      <c r="G44" s="3643"/>
    </row>
    <row r="45" spans="1:7" s="214" customFormat="1" ht="13.5" customHeight="1">
      <c r="A45" s="776" t="s">
        <v>341</v>
      </c>
      <c r="B45" s="244" t="s">
        <v>85</v>
      </c>
      <c r="C45" s="245">
        <f>C46</f>
        <v>1225</v>
      </c>
      <c r="D45" s="235">
        <f>C47</f>
        <v>1E-3</v>
      </c>
      <c r="E45" s="236" t="s">
        <v>102</v>
      </c>
      <c r="F45" s="246"/>
      <c r="G45" s="247" t="s">
        <v>434</v>
      </c>
    </row>
    <row r="46" spans="1:7" s="214" customFormat="1" ht="13.5" customHeight="1">
      <c r="A46" s="779" t="s">
        <v>349</v>
      </c>
      <c r="B46" s="248" t="s">
        <v>427</v>
      </c>
      <c r="C46" s="249">
        <f>ROUND((C33+C39)*F27,0)</f>
        <v>1225</v>
      </c>
      <c r="D46" s="263"/>
      <c r="E46" s="236"/>
      <c r="F46" s="246"/>
      <c r="G46" s="247"/>
    </row>
    <row r="47" spans="1:7" s="214" customFormat="1" ht="13.5" customHeight="1">
      <c r="A47" s="779" t="s">
        <v>347</v>
      </c>
      <c r="B47" s="248" t="s">
        <v>429</v>
      </c>
      <c r="C47" s="238">
        <f>ROUND(C40*F27,4)</f>
        <v>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28457</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23619</v>
      </c>
      <c r="D51" s="232"/>
      <c r="E51" s="232"/>
      <c r="F51" s="264"/>
      <c r="G51" s="234" t="s">
        <v>37</v>
      </c>
    </row>
    <row r="52" spans="1:7" s="208" customFormat="1" ht="16.5" thickBot="1">
      <c r="A52" s="265" t="s">
        <v>38</v>
      </c>
      <c r="B52" s="266"/>
      <c r="C52" s="267">
        <f ca="1">C31+C51</f>
        <v>50366</v>
      </c>
      <c r="D52" s="266"/>
      <c r="E52" s="266"/>
      <c r="F52" s="266"/>
      <c r="G52" s="268"/>
    </row>
    <row r="55" spans="1:7" ht="15">
      <c r="B55" s="270" t="s">
        <v>39</v>
      </c>
      <c r="C55" s="271"/>
    </row>
    <row r="56" spans="1:7">
      <c r="B56" s="273" t="s">
        <v>40</v>
      </c>
      <c r="C56" s="274">
        <f ca="1">ROUND(C51/C52,3)</f>
        <v>0.46899999999999997</v>
      </c>
    </row>
    <row r="57" spans="1:7">
      <c r="B57" s="273" t="s">
        <v>41</v>
      </c>
      <c r="C57" s="275">
        <f ca="1">1-C56</f>
        <v>0.53100000000000003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2"/>
      <c r="B4" s="3462" t="s">
        <v>917</v>
      </c>
      <c r="C4" s="3462"/>
      <c r="D4" s="3462"/>
      <c r="E4" s="1492"/>
    </row>
    <row r="5" spans="1:5" ht="16.5" thickTop="1">
      <c r="A5" s="1490"/>
      <c r="B5" s="3460" t="s">
        <v>909</v>
      </c>
      <c r="C5" s="1493" t="s">
        <v>910</v>
      </c>
      <c r="D5" s="849">
        <f ca="1">结果表!H101</f>
        <v>30136</v>
      </c>
      <c r="E5" s="1490"/>
    </row>
    <row r="6" spans="1:5" ht="15.75">
      <c r="A6" s="1490"/>
      <c r="B6" s="3460"/>
      <c r="C6" s="1493" t="s">
        <v>911</v>
      </c>
      <c r="D6" s="849" t="str">
        <f ca="1">NUMBERSTRING(INT(D5*10000),2)&amp;"元整"</f>
        <v>叁亿零壹佰叁拾陆万元整</v>
      </c>
      <c r="E6" s="1490"/>
    </row>
    <row r="7" spans="1:5" ht="15.75">
      <c r="A7" s="1490"/>
      <c r="B7" s="3465"/>
      <c r="C7" s="1494" t="s">
        <v>912</v>
      </c>
      <c r="D7" s="850">
        <f ca="1">结果表!H102</f>
        <v>4203</v>
      </c>
      <c r="E7" s="1490"/>
    </row>
    <row r="8" spans="1:5" ht="15.75">
      <c r="A8" s="1490"/>
      <c r="B8" s="3466" t="str">
        <f>结果表!E103</f>
        <v>2.估价师知悉的法定优先受偿款</v>
      </c>
      <c r="C8" s="1495" t="s">
        <v>913</v>
      </c>
      <c r="D8" s="850">
        <f>结果表!H103</f>
        <v>0</v>
      </c>
      <c r="E8" s="1490"/>
    </row>
    <row r="9" spans="1:5" ht="15.75">
      <c r="A9" s="1490"/>
      <c r="B9" s="3468"/>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9" t="str">
        <f>结果表!E107</f>
        <v>3.房地产抵押价值</v>
      </c>
      <c r="C13" s="1498" t="s">
        <v>910</v>
      </c>
      <c r="D13" s="852">
        <f ca="1">结果表!H107</f>
        <v>30136</v>
      </c>
      <c r="E13" s="1490"/>
    </row>
    <row r="14" spans="1:5" ht="15.75">
      <c r="A14" s="1490"/>
      <c r="B14" s="3460"/>
      <c r="C14" s="1493" t="s">
        <v>911</v>
      </c>
      <c r="D14" s="849" t="str">
        <f ca="1">NUMBERSTRING(INT(D13*10000),2)&amp;"元整"</f>
        <v>叁亿零壹佰叁拾陆万元整</v>
      </c>
      <c r="E14" s="1490"/>
    </row>
    <row r="15" spans="1:5" ht="15">
      <c r="A15" s="1490"/>
      <c r="B15" s="3465"/>
      <c r="C15" s="1494" t="s">
        <v>921</v>
      </c>
      <c r="D15" s="858">
        <f ca="1">结果表!H108</f>
        <v>4203</v>
      </c>
      <c r="E15" s="1490"/>
    </row>
    <row r="16" spans="1:5" ht="15">
      <c r="A16" s="1490"/>
      <c r="B16" s="3466" t="str">
        <f>结果表!E109</f>
        <v>——</v>
      </c>
      <c r="C16" s="1498" t="s">
        <v>922</v>
      </c>
      <c r="D16" s="1499" t="str">
        <f>结果表!H109</f>
        <v>——</v>
      </c>
      <c r="E16" s="1490"/>
    </row>
    <row r="17" spans="1:5" ht="15.75">
      <c r="A17" s="1490"/>
      <c r="B17" s="3467"/>
      <c r="C17" s="1493" t="s">
        <v>923</v>
      </c>
      <c r="D17" s="849" t="e">
        <f>NUMBERSTRING(INT(D16*10000),2)&amp;"元整"</f>
        <v>#VALUE!</v>
      </c>
      <c r="E17" s="1490"/>
    </row>
    <row r="18" spans="1:5" ht="15">
      <c r="A18" s="1490"/>
      <c r="B18" s="3468"/>
      <c r="C18" s="1494" t="s">
        <v>912</v>
      </c>
      <c r="D18" s="858" t="str">
        <f>结果表!H110</f>
        <v>——</v>
      </c>
      <c r="E18" s="1490"/>
    </row>
    <row r="19" spans="1:5" ht="15.75">
      <c r="A19" s="1490"/>
      <c r="B19" s="3459" t="str">
        <f>结果表!E111</f>
        <v>——</v>
      </c>
      <c r="C19" s="1498" t="s">
        <v>910</v>
      </c>
      <c r="D19" s="850" t="str">
        <f>结果表!H111</f>
        <v>——</v>
      </c>
      <c r="E19" s="1490"/>
    </row>
    <row r="20" spans="1:5" ht="15.75">
      <c r="A20" s="1490"/>
      <c r="B20" s="3460"/>
      <c r="C20" s="1493" t="s">
        <v>923</v>
      </c>
      <c r="D20" s="849" t="e">
        <f>NUMBERSTRING(INT(D19*10000),2)&amp;"元整"</f>
        <v>#VALUE!</v>
      </c>
      <c r="E20" s="1490"/>
    </row>
    <row r="21" spans="1:5" ht="15.75" thickBot="1">
      <c r="A21" s="1490"/>
      <c r="B21" s="3461"/>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S51"/>
  <sheetViews>
    <sheetView workbookViewId="0">
      <selection activeCell="A17" sqref="A17:XFD19"/>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54" customWidth="1"/>
    <col min="12" max="12" width="9.75" customWidth="1"/>
    <col min="14" max="14" width="13.75" customWidth="1"/>
    <col min="15" max="15" width="20" customWidth="1"/>
    <col min="16" max="17" width="19.25" customWidth="1"/>
    <col min="18" max="18" width="9.625" customWidth="1"/>
  </cols>
  <sheetData>
    <row r="1" spans="1:19">
      <c r="A1" t="s">
        <v>3452</v>
      </c>
      <c r="B1" t="s">
        <v>3453</v>
      </c>
      <c r="C1" t="s">
        <v>3454</v>
      </c>
      <c r="D1" t="s">
        <v>3455</v>
      </c>
      <c r="E1" t="s">
        <v>3456</v>
      </c>
      <c r="F1" t="s">
        <v>3457</v>
      </c>
      <c r="G1" t="s">
        <v>3458</v>
      </c>
      <c r="H1" t="s">
        <v>3459</v>
      </c>
      <c r="I1" t="s">
        <v>3460</v>
      </c>
      <c r="J1" t="s">
        <v>3461</v>
      </c>
      <c r="K1" s="3454" t="s">
        <v>3462</v>
      </c>
      <c r="L1" t="s">
        <v>3463</v>
      </c>
      <c r="M1" t="s">
        <v>3464</v>
      </c>
      <c r="N1" t="s">
        <v>3465</v>
      </c>
      <c r="O1" t="s">
        <v>3466</v>
      </c>
      <c r="P1" t="s">
        <v>3467</v>
      </c>
      <c r="Q1" t="s">
        <v>3468</v>
      </c>
      <c r="R1" t="s">
        <v>3469</v>
      </c>
      <c r="S1" t="s">
        <v>3470</v>
      </c>
    </row>
    <row r="2" spans="1:19">
      <c r="A2" t="s">
        <v>3471</v>
      </c>
      <c r="B2" t="s">
        <v>3472</v>
      </c>
      <c r="C2" t="s">
        <v>3473</v>
      </c>
      <c r="D2" t="s">
        <v>3474</v>
      </c>
      <c r="E2">
        <v>17997.14</v>
      </c>
      <c r="F2">
        <v>44992.85</v>
      </c>
      <c r="G2" t="s">
        <v>3475</v>
      </c>
      <c r="H2" t="s">
        <v>3476</v>
      </c>
      <c r="I2" t="s">
        <v>3474</v>
      </c>
      <c r="J2" t="s">
        <v>3477</v>
      </c>
      <c r="K2" s="3454">
        <v>45412.000497685185</v>
      </c>
      <c r="L2" t="s">
        <v>3478</v>
      </c>
      <c r="M2" t="s">
        <v>3479</v>
      </c>
      <c r="N2">
        <v>1493</v>
      </c>
      <c r="O2">
        <v>829.57</v>
      </c>
      <c r="P2">
        <v>55.31</v>
      </c>
      <c r="Q2">
        <v>332</v>
      </c>
      <c r="R2">
        <v>0.88</v>
      </c>
      <c r="S2" t="s">
        <v>3480</v>
      </c>
    </row>
    <row r="3" spans="1:19" s="3455" customFormat="1">
      <c r="A3" s="3455" t="s">
        <v>3481</v>
      </c>
      <c r="B3" s="3455" t="s">
        <v>3472</v>
      </c>
      <c r="C3" s="3455" t="s">
        <v>3482</v>
      </c>
      <c r="D3" s="3455" t="s">
        <v>3474</v>
      </c>
      <c r="E3" s="3455">
        <v>117924.33</v>
      </c>
      <c r="F3" s="3455">
        <v>117924.33</v>
      </c>
      <c r="G3" s="3455" t="s">
        <v>3483</v>
      </c>
      <c r="H3" s="3455" t="s">
        <v>3476</v>
      </c>
      <c r="I3" s="3455" t="s">
        <v>3474</v>
      </c>
      <c r="J3" s="3455" t="s">
        <v>3477</v>
      </c>
      <c r="K3" s="3456">
        <v>45377.000497685185</v>
      </c>
      <c r="L3" s="3455" t="s">
        <v>3478</v>
      </c>
      <c r="M3" s="3455" t="s">
        <v>3484</v>
      </c>
      <c r="N3" s="3455">
        <v>8290</v>
      </c>
      <c r="O3" s="3455">
        <v>702.99</v>
      </c>
      <c r="P3" s="3455">
        <v>46.87</v>
      </c>
      <c r="Q3" s="3455">
        <v>703</v>
      </c>
      <c r="R3" s="3455">
        <v>1.1000000000000001</v>
      </c>
      <c r="S3" s="3455" t="s">
        <v>3480</v>
      </c>
    </row>
    <row r="4" spans="1:19" s="3455" customFormat="1">
      <c r="A4" s="3455" t="s">
        <v>3485</v>
      </c>
      <c r="B4" s="3455" t="s">
        <v>3472</v>
      </c>
      <c r="C4" s="3455" t="s">
        <v>3486</v>
      </c>
      <c r="D4" s="3455" t="s">
        <v>3474</v>
      </c>
      <c r="E4" s="3455">
        <v>10686.89</v>
      </c>
      <c r="F4" s="3455">
        <v>10686.89</v>
      </c>
      <c r="G4" s="3455" t="s">
        <v>3483</v>
      </c>
      <c r="H4" s="3455" t="s">
        <v>3476</v>
      </c>
      <c r="I4" s="3455" t="s">
        <v>3474</v>
      </c>
      <c r="J4" s="3455" t="s">
        <v>3477</v>
      </c>
      <c r="K4" s="3456">
        <v>45350.000497685185</v>
      </c>
      <c r="L4" s="3455" t="s">
        <v>3478</v>
      </c>
      <c r="M4" s="3455" t="s">
        <v>3487</v>
      </c>
      <c r="N4" s="3455">
        <v>748</v>
      </c>
      <c r="O4" s="3455">
        <v>699.92</v>
      </c>
      <c r="P4" s="3455">
        <v>46.66</v>
      </c>
      <c r="Q4" s="3455">
        <v>700</v>
      </c>
      <c r="R4" s="3455">
        <v>1.08</v>
      </c>
      <c r="S4" s="3455" t="s">
        <v>3480</v>
      </c>
    </row>
    <row r="5" spans="1:19" s="3455" customFormat="1">
      <c r="A5" s="3455" t="s">
        <v>3488</v>
      </c>
      <c r="B5" s="3455" t="s">
        <v>3472</v>
      </c>
      <c r="C5" s="3455" t="s">
        <v>3489</v>
      </c>
      <c r="D5" s="3455" t="s">
        <v>3474</v>
      </c>
      <c r="E5" s="3455">
        <v>20912.61</v>
      </c>
      <c r="F5" s="3455">
        <v>20912.61</v>
      </c>
      <c r="G5" s="3455" t="s">
        <v>3483</v>
      </c>
      <c r="H5" s="3455" t="s">
        <v>3476</v>
      </c>
      <c r="I5" s="3455" t="s">
        <v>3474</v>
      </c>
      <c r="J5" s="3455" t="s">
        <v>3477</v>
      </c>
      <c r="K5" s="3456">
        <v>45350.000497685185</v>
      </c>
      <c r="L5" s="3455" t="s">
        <v>3478</v>
      </c>
      <c r="M5" s="3455" t="s">
        <v>3490</v>
      </c>
      <c r="N5" s="3455">
        <v>1463</v>
      </c>
      <c r="O5" s="3455">
        <v>699.57</v>
      </c>
      <c r="P5" s="3455">
        <v>46.64</v>
      </c>
      <c r="Q5" s="3455">
        <v>700</v>
      </c>
      <c r="R5" s="3455">
        <v>1.04</v>
      </c>
      <c r="S5" s="3455" t="s">
        <v>3480</v>
      </c>
    </row>
    <row r="6" spans="1:19">
      <c r="A6" t="s">
        <v>3491</v>
      </c>
      <c r="B6" t="s">
        <v>3472</v>
      </c>
      <c r="C6" t="s">
        <v>3492</v>
      </c>
      <c r="D6" t="s">
        <v>3474</v>
      </c>
      <c r="E6">
        <v>10000.31</v>
      </c>
      <c r="F6">
        <v>25000.77</v>
      </c>
      <c r="G6" t="s">
        <v>3475</v>
      </c>
      <c r="H6" t="s">
        <v>3476</v>
      </c>
      <c r="I6" t="s">
        <v>3474</v>
      </c>
      <c r="J6" t="s">
        <v>3477</v>
      </c>
      <c r="K6" s="3454">
        <v>45350.000497685185</v>
      </c>
      <c r="L6" t="s">
        <v>3478</v>
      </c>
      <c r="M6" t="s">
        <v>3493</v>
      </c>
      <c r="N6">
        <v>337</v>
      </c>
      <c r="O6">
        <v>336.98</v>
      </c>
      <c r="P6">
        <v>22.47</v>
      </c>
      <c r="Q6">
        <v>135</v>
      </c>
      <c r="R6">
        <v>2.12</v>
      </c>
      <c r="S6" t="s">
        <v>3494</v>
      </c>
    </row>
    <row r="7" spans="1:19">
      <c r="A7" t="s">
        <v>3495</v>
      </c>
      <c r="B7" t="s">
        <v>3472</v>
      </c>
      <c r="C7" t="s">
        <v>3496</v>
      </c>
      <c r="D7" t="s">
        <v>3474</v>
      </c>
      <c r="E7">
        <v>7752.62</v>
      </c>
      <c r="F7">
        <v>19381.55</v>
      </c>
      <c r="G7" t="s">
        <v>3475</v>
      </c>
      <c r="H7" t="s">
        <v>3476</v>
      </c>
      <c r="I7" t="s">
        <v>3474</v>
      </c>
      <c r="J7" t="s">
        <v>3477</v>
      </c>
      <c r="K7" s="3454">
        <v>45350.000497685185</v>
      </c>
      <c r="L7" t="s">
        <v>3478</v>
      </c>
      <c r="M7" t="s">
        <v>3497</v>
      </c>
      <c r="N7">
        <v>389</v>
      </c>
      <c r="O7">
        <v>501.76</v>
      </c>
      <c r="P7">
        <v>33.450000000000003</v>
      </c>
      <c r="Q7">
        <v>201</v>
      </c>
      <c r="R7">
        <v>1.3</v>
      </c>
      <c r="S7" t="s">
        <v>3498</v>
      </c>
    </row>
    <row r="8" spans="1:19">
      <c r="A8" t="s">
        <v>3499</v>
      </c>
      <c r="B8" t="s">
        <v>3472</v>
      </c>
      <c r="C8" t="s">
        <v>3500</v>
      </c>
      <c r="D8" t="s">
        <v>3474</v>
      </c>
      <c r="E8">
        <v>9986.9</v>
      </c>
      <c r="F8">
        <v>24967.25</v>
      </c>
      <c r="G8" t="s">
        <v>3475</v>
      </c>
      <c r="H8" t="s">
        <v>3476</v>
      </c>
      <c r="I8" t="s">
        <v>3474</v>
      </c>
      <c r="J8" t="s">
        <v>3477</v>
      </c>
      <c r="K8" s="3454">
        <v>45350.000497685185</v>
      </c>
      <c r="L8" t="s">
        <v>3478</v>
      </c>
      <c r="M8" t="s">
        <v>3501</v>
      </c>
      <c r="N8">
        <v>829</v>
      </c>
      <c r="O8">
        <v>830.08</v>
      </c>
      <c r="P8">
        <v>55.34</v>
      </c>
      <c r="Q8">
        <v>332</v>
      </c>
      <c r="R8">
        <v>0.85</v>
      </c>
      <c r="S8" t="s">
        <v>3480</v>
      </c>
    </row>
    <row r="9" spans="1:19">
      <c r="A9" t="s">
        <v>3499</v>
      </c>
      <c r="B9" t="s">
        <v>3472</v>
      </c>
      <c r="C9" t="s">
        <v>3502</v>
      </c>
      <c r="D9" t="s">
        <v>3474</v>
      </c>
      <c r="E9">
        <v>9997.17</v>
      </c>
      <c r="F9">
        <v>24992.93</v>
      </c>
      <c r="G9" t="s">
        <v>3475</v>
      </c>
      <c r="H9" t="s">
        <v>3476</v>
      </c>
      <c r="I9" t="s">
        <v>3474</v>
      </c>
      <c r="J9" t="s">
        <v>3477</v>
      </c>
      <c r="K9" s="3454">
        <v>45350.000497685185</v>
      </c>
      <c r="L9" t="s">
        <v>3478</v>
      </c>
      <c r="M9" t="s">
        <v>3503</v>
      </c>
      <c r="N9">
        <v>829</v>
      </c>
      <c r="O9">
        <v>829.23</v>
      </c>
      <c r="P9">
        <v>55.28</v>
      </c>
      <c r="Q9">
        <v>332</v>
      </c>
      <c r="R9">
        <v>0.85</v>
      </c>
      <c r="S9" t="s">
        <v>3480</v>
      </c>
    </row>
    <row r="10" spans="1:19">
      <c r="A10" t="s">
        <v>3504</v>
      </c>
      <c r="B10" t="s">
        <v>3472</v>
      </c>
      <c r="C10" t="s">
        <v>3505</v>
      </c>
      <c r="D10" t="s">
        <v>3474</v>
      </c>
      <c r="E10">
        <v>59609.120000000003</v>
      </c>
      <c r="F10">
        <v>59609.120000000003</v>
      </c>
      <c r="G10" t="s">
        <v>3483</v>
      </c>
      <c r="H10" t="s">
        <v>3476</v>
      </c>
      <c r="I10" t="s">
        <v>3474</v>
      </c>
      <c r="J10" t="s">
        <v>3477</v>
      </c>
      <c r="K10" s="3454">
        <v>45350.000497685185</v>
      </c>
      <c r="L10" t="s">
        <v>3478</v>
      </c>
      <c r="M10" t="s">
        <v>3506</v>
      </c>
      <c r="N10">
        <v>4161</v>
      </c>
      <c r="O10">
        <v>698.04</v>
      </c>
      <c r="P10">
        <v>46.54</v>
      </c>
      <c r="Q10">
        <v>698</v>
      </c>
      <c r="R10">
        <v>1.0900000000000001</v>
      </c>
      <c r="S10" t="s">
        <v>3480</v>
      </c>
    </row>
    <row r="11" spans="1:19">
      <c r="A11" t="s">
        <v>3507</v>
      </c>
      <c r="B11" t="s">
        <v>3472</v>
      </c>
      <c r="C11" t="s">
        <v>3508</v>
      </c>
      <c r="D11" t="s">
        <v>3474</v>
      </c>
      <c r="E11">
        <v>33076.019999999997</v>
      </c>
      <c r="F11">
        <v>33076.019999999997</v>
      </c>
      <c r="G11" t="s">
        <v>3483</v>
      </c>
      <c r="H11" t="s">
        <v>3476</v>
      </c>
      <c r="I11" t="s">
        <v>3474</v>
      </c>
      <c r="J11" t="s">
        <v>3477</v>
      </c>
      <c r="K11" s="3454">
        <v>45350.000497685185</v>
      </c>
      <c r="L11" t="s">
        <v>3478</v>
      </c>
      <c r="M11" t="s">
        <v>3509</v>
      </c>
      <c r="N11">
        <v>2317</v>
      </c>
      <c r="O11">
        <v>700.5</v>
      </c>
      <c r="P11">
        <v>46.7</v>
      </c>
      <c r="Q11">
        <v>701</v>
      </c>
      <c r="R11">
        <v>1.0900000000000001</v>
      </c>
      <c r="S11" t="s">
        <v>3480</v>
      </c>
    </row>
    <row r="12" spans="1:19">
      <c r="A12" t="s">
        <v>3510</v>
      </c>
      <c r="B12" t="s">
        <v>3472</v>
      </c>
      <c r="C12" t="s">
        <v>3511</v>
      </c>
      <c r="D12" t="s">
        <v>3474</v>
      </c>
      <c r="E12">
        <v>16000</v>
      </c>
      <c r="F12">
        <v>40000</v>
      </c>
      <c r="G12" t="s">
        <v>3512</v>
      </c>
      <c r="H12" t="s">
        <v>3476</v>
      </c>
      <c r="I12" t="s">
        <v>3474</v>
      </c>
      <c r="J12" t="s">
        <v>3477</v>
      </c>
      <c r="K12" s="3454">
        <v>45261.000497685185</v>
      </c>
      <c r="L12" t="s">
        <v>3478</v>
      </c>
      <c r="M12" t="s">
        <v>3513</v>
      </c>
      <c r="N12">
        <v>1092</v>
      </c>
      <c r="O12">
        <v>682.5</v>
      </c>
      <c r="P12">
        <v>45.5</v>
      </c>
      <c r="Q12">
        <v>273</v>
      </c>
      <c r="R12">
        <v>1.87</v>
      </c>
      <c r="S12" t="s">
        <v>3480</v>
      </c>
    </row>
    <row r="13" spans="1:19">
      <c r="A13" t="s">
        <v>3514</v>
      </c>
      <c r="B13" t="s">
        <v>3472</v>
      </c>
      <c r="C13" t="s">
        <v>3515</v>
      </c>
      <c r="D13" t="s">
        <v>3474</v>
      </c>
      <c r="E13">
        <v>10617.08</v>
      </c>
      <c r="F13">
        <v>10617.08</v>
      </c>
      <c r="G13" t="s">
        <v>3483</v>
      </c>
      <c r="H13" t="s">
        <v>3476</v>
      </c>
      <c r="I13" t="s">
        <v>3474</v>
      </c>
      <c r="J13" t="s">
        <v>3477</v>
      </c>
      <c r="K13" s="3454">
        <v>45251.000497685185</v>
      </c>
      <c r="L13" t="s">
        <v>3478</v>
      </c>
      <c r="M13" t="s">
        <v>3516</v>
      </c>
      <c r="N13">
        <v>740</v>
      </c>
      <c r="O13">
        <v>696.99</v>
      </c>
      <c r="P13">
        <v>46.47</v>
      </c>
      <c r="Q13">
        <v>697</v>
      </c>
      <c r="R13">
        <v>1.0900000000000001</v>
      </c>
      <c r="S13" t="s">
        <v>3480</v>
      </c>
    </row>
    <row r="14" spans="1:19">
      <c r="A14" t="s">
        <v>3517</v>
      </c>
      <c r="B14" t="s">
        <v>3472</v>
      </c>
      <c r="C14" t="s">
        <v>3518</v>
      </c>
      <c r="D14" t="s">
        <v>3474</v>
      </c>
      <c r="E14">
        <v>7082.99</v>
      </c>
      <c r="F14">
        <v>17707.48</v>
      </c>
      <c r="G14" t="s">
        <v>3519</v>
      </c>
      <c r="H14" t="s">
        <v>3476</v>
      </c>
      <c r="I14" t="s">
        <v>3474</v>
      </c>
      <c r="J14" t="s">
        <v>3477</v>
      </c>
      <c r="K14" s="3454">
        <v>45253.000497685185</v>
      </c>
      <c r="L14" t="s">
        <v>3478</v>
      </c>
      <c r="M14" t="s">
        <v>3520</v>
      </c>
      <c r="N14">
        <v>589</v>
      </c>
      <c r="O14">
        <v>831.56</v>
      </c>
      <c r="P14">
        <v>55.44</v>
      </c>
      <c r="Q14">
        <v>333</v>
      </c>
      <c r="R14">
        <v>0.86</v>
      </c>
      <c r="S14" t="s">
        <v>3480</v>
      </c>
    </row>
    <row r="15" spans="1:19">
      <c r="A15" t="s">
        <v>3521</v>
      </c>
      <c r="B15" t="s">
        <v>3472</v>
      </c>
      <c r="C15" t="s">
        <v>3522</v>
      </c>
      <c r="D15" t="s">
        <v>3474</v>
      </c>
      <c r="E15">
        <v>90202.18</v>
      </c>
      <c r="F15">
        <v>225505.45</v>
      </c>
      <c r="G15" t="s">
        <v>3519</v>
      </c>
      <c r="H15" t="s">
        <v>3476</v>
      </c>
      <c r="I15" t="s">
        <v>3523</v>
      </c>
      <c r="J15" t="s">
        <v>3477</v>
      </c>
      <c r="K15" s="3454">
        <v>45253.000497685185</v>
      </c>
      <c r="L15" t="s">
        <v>3478</v>
      </c>
      <c r="M15" t="s">
        <v>3524</v>
      </c>
      <c r="N15">
        <v>3784</v>
      </c>
      <c r="O15">
        <v>419.5</v>
      </c>
      <c r="P15">
        <v>27.97</v>
      </c>
      <c r="Q15">
        <v>168</v>
      </c>
      <c r="R15">
        <v>1.61</v>
      </c>
      <c r="S15" t="s">
        <v>3494</v>
      </c>
    </row>
    <row r="16" spans="1:19" ht="21" customHeight="1">
      <c r="A16" t="s">
        <v>3517</v>
      </c>
      <c r="B16" t="s">
        <v>3472</v>
      </c>
      <c r="C16" t="s">
        <v>3525</v>
      </c>
      <c r="D16" t="s">
        <v>3474</v>
      </c>
      <c r="E16">
        <v>12829.22</v>
      </c>
      <c r="F16">
        <v>32073.05</v>
      </c>
      <c r="G16" t="s">
        <v>3519</v>
      </c>
      <c r="H16" t="s">
        <v>3476</v>
      </c>
      <c r="I16" t="s">
        <v>3474</v>
      </c>
      <c r="J16" t="s">
        <v>3477</v>
      </c>
      <c r="K16" s="3454">
        <v>45253.000497685185</v>
      </c>
      <c r="L16" t="s">
        <v>3478</v>
      </c>
      <c r="M16" t="s">
        <v>3526</v>
      </c>
      <c r="N16">
        <v>1065</v>
      </c>
      <c r="O16">
        <v>830.13</v>
      </c>
      <c r="P16">
        <v>55.34</v>
      </c>
      <c r="Q16">
        <v>332</v>
      </c>
      <c r="R16">
        <v>0.85</v>
      </c>
      <c r="S16" t="s">
        <v>3480</v>
      </c>
    </row>
    <row r="17" spans="1:19">
      <c r="A17" t="s">
        <v>3527</v>
      </c>
      <c r="B17" t="s">
        <v>3472</v>
      </c>
      <c r="C17" t="s">
        <v>3528</v>
      </c>
      <c r="D17" t="s">
        <v>3474</v>
      </c>
      <c r="E17">
        <v>30223.71</v>
      </c>
      <c r="F17">
        <v>30223.71</v>
      </c>
      <c r="G17" t="s">
        <v>3483</v>
      </c>
      <c r="H17" t="s">
        <v>3476</v>
      </c>
      <c r="I17" t="s">
        <v>3474</v>
      </c>
      <c r="J17" t="s">
        <v>3477</v>
      </c>
      <c r="K17" s="3454">
        <v>45197.000497685185</v>
      </c>
      <c r="L17" t="s">
        <v>3478</v>
      </c>
      <c r="M17" t="s">
        <v>3529</v>
      </c>
      <c r="N17">
        <v>2105</v>
      </c>
      <c r="O17">
        <v>696.47</v>
      </c>
      <c r="P17">
        <v>46.43</v>
      </c>
      <c r="Q17">
        <v>696</v>
      </c>
      <c r="R17">
        <v>0.96</v>
      </c>
      <c r="S17" t="s">
        <v>3480</v>
      </c>
    </row>
    <row r="18" spans="1:19">
      <c r="A18" t="s">
        <v>3530</v>
      </c>
      <c r="B18" t="s">
        <v>3472</v>
      </c>
      <c r="C18" t="s">
        <v>3531</v>
      </c>
      <c r="D18" t="s">
        <v>3474</v>
      </c>
      <c r="E18">
        <v>3203.51</v>
      </c>
      <c r="F18">
        <v>3203.51</v>
      </c>
      <c r="G18" t="s">
        <v>3483</v>
      </c>
      <c r="H18" t="s">
        <v>3476</v>
      </c>
      <c r="I18" t="s">
        <v>3474</v>
      </c>
      <c r="J18" t="s">
        <v>3477</v>
      </c>
      <c r="K18" s="3454">
        <v>45197.000497685185</v>
      </c>
      <c r="L18" t="s">
        <v>3478</v>
      </c>
      <c r="M18" t="s">
        <v>3532</v>
      </c>
      <c r="N18">
        <v>223</v>
      </c>
      <c r="O18">
        <v>696.11</v>
      </c>
      <c r="P18">
        <v>46.41</v>
      </c>
      <c r="Q18">
        <v>696</v>
      </c>
      <c r="R18">
        <v>0.9</v>
      </c>
      <c r="S18" t="s">
        <v>3480</v>
      </c>
    </row>
    <row r="19" spans="1:19">
      <c r="A19" t="s">
        <v>3533</v>
      </c>
      <c r="B19" t="s">
        <v>3472</v>
      </c>
      <c r="C19" t="s">
        <v>3534</v>
      </c>
      <c r="D19" t="s">
        <v>3474</v>
      </c>
      <c r="E19">
        <v>1256.6500000000001</v>
      </c>
      <c r="F19">
        <v>1507.98</v>
      </c>
      <c r="G19" t="s">
        <v>3535</v>
      </c>
      <c r="H19" t="s">
        <v>3476</v>
      </c>
      <c r="I19" t="s">
        <v>3523</v>
      </c>
      <c r="J19" t="s">
        <v>3477</v>
      </c>
      <c r="K19" s="3454">
        <v>45197.000497685185</v>
      </c>
      <c r="L19" t="s">
        <v>3478</v>
      </c>
      <c r="M19" t="s">
        <v>3536</v>
      </c>
      <c r="N19">
        <v>87</v>
      </c>
      <c r="O19">
        <v>692.31</v>
      </c>
      <c r="P19">
        <v>46.15</v>
      </c>
      <c r="Q19">
        <v>577</v>
      </c>
      <c r="R19">
        <v>1.1599999999999999</v>
      </c>
      <c r="S19" t="s">
        <v>3537</v>
      </c>
    </row>
    <row r="20" spans="1:19">
      <c r="A20" t="s">
        <v>3538</v>
      </c>
      <c r="B20" t="s">
        <v>3472</v>
      </c>
      <c r="C20" t="s">
        <v>3539</v>
      </c>
      <c r="D20" t="s">
        <v>3474</v>
      </c>
      <c r="E20">
        <v>108285.69</v>
      </c>
      <c r="F20">
        <v>378999.92</v>
      </c>
      <c r="G20" t="s">
        <v>3540</v>
      </c>
      <c r="H20" t="s">
        <v>3476</v>
      </c>
      <c r="I20" t="s">
        <v>3523</v>
      </c>
      <c r="J20" t="s">
        <v>3477</v>
      </c>
      <c r="K20" s="3454">
        <v>45189.000497685185</v>
      </c>
      <c r="L20" t="s">
        <v>3478</v>
      </c>
      <c r="M20" t="s">
        <v>3541</v>
      </c>
      <c r="N20">
        <v>17942</v>
      </c>
      <c r="O20">
        <v>1656.91</v>
      </c>
      <c r="P20">
        <v>110.46</v>
      </c>
      <c r="Q20">
        <v>473</v>
      </c>
      <c r="R20">
        <v>0.46</v>
      </c>
      <c r="S20" t="s">
        <v>3480</v>
      </c>
    </row>
    <row r="21" spans="1:19">
      <c r="A21" t="s">
        <v>3542</v>
      </c>
      <c r="B21" t="s">
        <v>3472</v>
      </c>
      <c r="C21" t="s">
        <v>3543</v>
      </c>
      <c r="D21" t="s">
        <v>3474</v>
      </c>
      <c r="E21">
        <v>34084.19</v>
      </c>
      <c r="F21">
        <v>34084.19</v>
      </c>
      <c r="G21" t="s">
        <v>3483</v>
      </c>
      <c r="H21" t="s">
        <v>3476</v>
      </c>
      <c r="I21" t="s">
        <v>3474</v>
      </c>
      <c r="J21" t="s">
        <v>3477</v>
      </c>
      <c r="K21" s="3454">
        <v>45189.000497685185</v>
      </c>
      <c r="L21" t="s">
        <v>3478</v>
      </c>
      <c r="M21" t="s">
        <v>3544</v>
      </c>
      <c r="N21">
        <v>2360</v>
      </c>
      <c r="O21">
        <v>692.4</v>
      </c>
      <c r="P21">
        <v>46.16</v>
      </c>
      <c r="Q21">
        <v>692</v>
      </c>
      <c r="R21">
        <v>1.72</v>
      </c>
      <c r="S21" t="s">
        <v>3480</v>
      </c>
    </row>
    <row r="22" spans="1:19">
      <c r="A22" t="s">
        <v>3545</v>
      </c>
      <c r="B22" t="s">
        <v>3472</v>
      </c>
      <c r="C22" t="s">
        <v>3546</v>
      </c>
      <c r="D22" t="s">
        <v>3474</v>
      </c>
      <c r="E22">
        <v>100002.44</v>
      </c>
      <c r="F22">
        <v>350008.54</v>
      </c>
      <c r="G22" t="s">
        <v>3540</v>
      </c>
      <c r="H22" t="s">
        <v>3476</v>
      </c>
      <c r="I22" t="s">
        <v>3523</v>
      </c>
      <c r="J22" t="s">
        <v>3477</v>
      </c>
      <c r="K22" s="3454">
        <v>45155.000497685185</v>
      </c>
      <c r="L22" t="s">
        <v>3478</v>
      </c>
      <c r="M22" t="s">
        <v>3547</v>
      </c>
      <c r="N22">
        <v>16320</v>
      </c>
      <c r="O22">
        <v>1631.96</v>
      </c>
      <c r="P22">
        <v>108.8</v>
      </c>
      <c r="Q22">
        <v>466</v>
      </c>
      <c r="R22">
        <v>0.49</v>
      </c>
      <c r="S22" t="s">
        <v>3480</v>
      </c>
    </row>
    <row r="23" spans="1:19">
      <c r="A23" t="s">
        <v>3548</v>
      </c>
      <c r="B23" t="s">
        <v>3472</v>
      </c>
      <c r="C23" t="s">
        <v>3549</v>
      </c>
      <c r="D23" t="s">
        <v>3474</v>
      </c>
      <c r="E23">
        <v>15100.19</v>
      </c>
      <c r="F23">
        <v>22650.29</v>
      </c>
      <c r="G23" t="s">
        <v>3550</v>
      </c>
      <c r="H23" t="s">
        <v>3476</v>
      </c>
      <c r="I23" t="s">
        <v>3474</v>
      </c>
      <c r="J23" t="s">
        <v>3477</v>
      </c>
      <c r="K23" s="3454">
        <v>45155.000497685185</v>
      </c>
      <c r="L23" t="s">
        <v>3478</v>
      </c>
      <c r="M23" t="s">
        <v>3551</v>
      </c>
      <c r="N23">
        <v>1260</v>
      </c>
      <c r="O23">
        <v>834.42</v>
      </c>
      <c r="P23">
        <v>55.63</v>
      </c>
      <c r="Q23">
        <v>556</v>
      </c>
      <c r="R23">
        <v>0.8</v>
      </c>
      <c r="S23" t="s">
        <v>3480</v>
      </c>
    </row>
    <row r="24" spans="1:19">
      <c r="A24" t="s">
        <v>3552</v>
      </c>
      <c r="B24" t="s">
        <v>3472</v>
      </c>
      <c r="C24" t="s">
        <v>3553</v>
      </c>
      <c r="D24" t="s">
        <v>3474</v>
      </c>
      <c r="E24">
        <v>33127.75</v>
      </c>
      <c r="F24">
        <v>33127.75</v>
      </c>
      <c r="G24" t="s">
        <v>3483</v>
      </c>
      <c r="H24" t="s">
        <v>3476</v>
      </c>
      <c r="I24" t="s">
        <v>3474</v>
      </c>
      <c r="J24" t="s">
        <v>3477</v>
      </c>
      <c r="K24" s="3454">
        <v>45155.000497685185</v>
      </c>
      <c r="L24" t="s">
        <v>3478</v>
      </c>
      <c r="M24" t="s">
        <v>3554</v>
      </c>
      <c r="N24">
        <v>2720</v>
      </c>
      <c r="O24">
        <v>821.06</v>
      </c>
      <c r="P24">
        <v>54.74</v>
      </c>
      <c r="Q24">
        <v>821</v>
      </c>
      <c r="R24">
        <v>0.74</v>
      </c>
      <c r="S24" t="s">
        <v>3480</v>
      </c>
    </row>
    <row r="25" spans="1:19">
      <c r="A25" t="s">
        <v>3555</v>
      </c>
      <c r="B25" t="s">
        <v>3472</v>
      </c>
      <c r="C25" t="s">
        <v>3556</v>
      </c>
      <c r="D25" t="s">
        <v>3474</v>
      </c>
      <c r="E25">
        <v>27619.46</v>
      </c>
      <c r="F25">
        <v>22095.57</v>
      </c>
      <c r="G25" t="s">
        <v>3557</v>
      </c>
      <c r="H25" t="s">
        <v>3476</v>
      </c>
      <c r="I25" t="s">
        <v>3474</v>
      </c>
      <c r="J25" t="s">
        <v>3477</v>
      </c>
      <c r="K25" s="3454">
        <v>45119.000497685185</v>
      </c>
      <c r="L25" t="s">
        <v>3478</v>
      </c>
      <c r="M25" t="s">
        <v>3558</v>
      </c>
      <c r="N25">
        <v>1800</v>
      </c>
      <c r="O25">
        <v>651.71</v>
      </c>
      <c r="P25">
        <v>43.45</v>
      </c>
      <c r="Q25">
        <v>815</v>
      </c>
      <c r="R25">
        <v>1.1200000000000001</v>
      </c>
      <c r="S25" t="s">
        <v>3559</v>
      </c>
    </row>
    <row r="26" spans="1:19">
      <c r="A26" t="s">
        <v>3560</v>
      </c>
      <c r="B26" t="s">
        <v>3472</v>
      </c>
      <c r="C26" t="s">
        <v>3561</v>
      </c>
      <c r="D26" t="s">
        <v>3474</v>
      </c>
      <c r="E26">
        <v>13395.22</v>
      </c>
      <c r="F26">
        <v>33488.050000000003</v>
      </c>
      <c r="G26" t="s">
        <v>3512</v>
      </c>
      <c r="H26" t="s">
        <v>3476</v>
      </c>
      <c r="I26" t="s">
        <v>3474</v>
      </c>
      <c r="J26" t="s">
        <v>3477</v>
      </c>
      <c r="K26" s="3454">
        <v>45107.000497685185</v>
      </c>
      <c r="L26" t="s">
        <v>3478</v>
      </c>
      <c r="M26" t="s">
        <v>3562</v>
      </c>
      <c r="N26">
        <v>908</v>
      </c>
      <c r="O26">
        <v>677.85</v>
      </c>
      <c r="P26">
        <v>45.19</v>
      </c>
      <c r="Q26">
        <v>271</v>
      </c>
      <c r="R26">
        <v>1.1100000000000001</v>
      </c>
      <c r="S26" t="s">
        <v>3480</v>
      </c>
    </row>
    <row r="27" spans="1:19">
      <c r="A27" t="s">
        <v>3563</v>
      </c>
      <c r="B27" t="s">
        <v>3472</v>
      </c>
      <c r="C27" t="s">
        <v>3564</v>
      </c>
      <c r="D27" t="s">
        <v>3474</v>
      </c>
      <c r="E27">
        <v>8666.9599999999991</v>
      </c>
      <c r="F27">
        <v>8666.9599999999991</v>
      </c>
      <c r="G27" t="s">
        <v>3483</v>
      </c>
      <c r="H27" t="s">
        <v>3476</v>
      </c>
      <c r="I27" t="s">
        <v>3523</v>
      </c>
      <c r="J27" t="s">
        <v>3477</v>
      </c>
      <c r="K27" s="3454">
        <v>45107.000497685185</v>
      </c>
      <c r="L27" t="s">
        <v>3478</v>
      </c>
      <c r="M27" t="s">
        <v>3565</v>
      </c>
      <c r="N27">
        <v>607</v>
      </c>
      <c r="O27">
        <v>700.36</v>
      </c>
      <c r="P27">
        <v>46.69</v>
      </c>
      <c r="Q27">
        <v>700</v>
      </c>
      <c r="R27">
        <v>1.17</v>
      </c>
      <c r="S27" t="s">
        <v>3480</v>
      </c>
    </row>
    <row r="28" spans="1:19">
      <c r="A28" t="s">
        <v>3566</v>
      </c>
      <c r="B28" t="s">
        <v>3472</v>
      </c>
      <c r="C28" t="s">
        <v>3567</v>
      </c>
      <c r="D28" t="s">
        <v>3474</v>
      </c>
      <c r="E28">
        <v>29986.53</v>
      </c>
      <c r="F28">
        <v>29986.53</v>
      </c>
      <c r="G28" t="s">
        <v>3483</v>
      </c>
      <c r="H28" t="s">
        <v>3476</v>
      </c>
      <c r="I28" t="s">
        <v>3474</v>
      </c>
      <c r="J28" t="s">
        <v>3477</v>
      </c>
      <c r="K28" s="3454">
        <v>45107.000497685185</v>
      </c>
      <c r="L28" t="s">
        <v>3478</v>
      </c>
      <c r="M28" t="s">
        <v>3568</v>
      </c>
      <c r="N28">
        <v>2080</v>
      </c>
      <c r="O28">
        <v>693.64</v>
      </c>
      <c r="P28">
        <v>46.24</v>
      </c>
      <c r="Q28">
        <v>694</v>
      </c>
      <c r="R28">
        <v>0.97</v>
      </c>
      <c r="S28" t="s">
        <v>3480</v>
      </c>
    </row>
    <row r="29" spans="1:19">
      <c r="A29" t="s">
        <v>3569</v>
      </c>
      <c r="B29" t="s">
        <v>3472</v>
      </c>
      <c r="C29" t="s">
        <v>3570</v>
      </c>
      <c r="D29" t="s">
        <v>3474</v>
      </c>
      <c r="E29">
        <v>44124.51</v>
      </c>
      <c r="F29">
        <v>44124.51</v>
      </c>
      <c r="G29" t="s">
        <v>3571</v>
      </c>
      <c r="H29" t="s">
        <v>3476</v>
      </c>
      <c r="I29" t="s">
        <v>3474</v>
      </c>
      <c r="J29" t="s">
        <v>3477</v>
      </c>
      <c r="K29" s="3454">
        <v>45077.000497685185</v>
      </c>
      <c r="L29" t="s">
        <v>3478</v>
      </c>
      <c r="M29" t="s">
        <v>3572</v>
      </c>
      <c r="N29">
        <v>5100</v>
      </c>
      <c r="O29">
        <v>1155.82</v>
      </c>
      <c r="P29">
        <v>77.05</v>
      </c>
      <c r="Q29">
        <v>1156</v>
      </c>
      <c r="R29">
        <v>0.59</v>
      </c>
      <c r="S29" t="s">
        <v>3480</v>
      </c>
    </row>
    <row r="30" spans="1:19">
      <c r="A30" t="s">
        <v>3573</v>
      </c>
      <c r="B30" t="s">
        <v>3472</v>
      </c>
      <c r="C30" t="s">
        <v>3574</v>
      </c>
      <c r="D30" t="s">
        <v>3474</v>
      </c>
      <c r="E30">
        <v>39848.31</v>
      </c>
      <c r="F30">
        <v>39848.31</v>
      </c>
      <c r="G30" t="s">
        <v>3571</v>
      </c>
      <c r="H30" t="s">
        <v>3476</v>
      </c>
      <c r="I30" t="s">
        <v>3474</v>
      </c>
      <c r="J30" t="s">
        <v>3477</v>
      </c>
      <c r="K30" s="3454">
        <v>45077.000497685185</v>
      </c>
      <c r="L30" t="s">
        <v>3478</v>
      </c>
      <c r="M30" t="s">
        <v>3572</v>
      </c>
      <c r="N30">
        <v>4590</v>
      </c>
      <c r="O30">
        <v>1151.8599999999999</v>
      </c>
      <c r="P30">
        <v>76.790000000000006</v>
      </c>
      <c r="Q30">
        <v>1152</v>
      </c>
      <c r="R30">
        <v>0.66</v>
      </c>
      <c r="S30" t="s">
        <v>3480</v>
      </c>
    </row>
    <row r="31" spans="1:19">
      <c r="A31" t="s">
        <v>3575</v>
      </c>
      <c r="B31" t="s">
        <v>3472</v>
      </c>
      <c r="C31" t="s">
        <v>3576</v>
      </c>
      <c r="D31" t="s">
        <v>3474</v>
      </c>
      <c r="E31">
        <v>180868.67</v>
      </c>
      <c r="F31">
        <v>180868.67</v>
      </c>
      <c r="G31" t="s">
        <v>3571</v>
      </c>
      <c r="H31" t="s">
        <v>3476</v>
      </c>
      <c r="I31" t="s">
        <v>3474</v>
      </c>
      <c r="J31" t="s">
        <v>3477</v>
      </c>
      <c r="K31" s="3454">
        <v>45042.000497685185</v>
      </c>
      <c r="L31" t="s">
        <v>3478</v>
      </c>
      <c r="M31" t="s">
        <v>3577</v>
      </c>
      <c r="N31">
        <v>11969</v>
      </c>
      <c r="O31">
        <v>661.75</v>
      </c>
      <c r="P31">
        <v>44.12</v>
      </c>
      <c r="Q31">
        <v>662</v>
      </c>
      <c r="R31">
        <v>0.84</v>
      </c>
      <c r="S31" t="s">
        <v>3480</v>
      </c>
    </row>
    <row r="32" spans="1:19">
      <c r="A32" t="s">
        <v>3578</v>
      </c>
      <c r="B32" t="s">
        <v>3472</v>
      </c>
      <c r="C32" t="s">
        <v>3579</v>
      </c>
      <c r="D32" t="s">
        <v>3474</v>
      </c>
      <c r="E32">
        <v>49290.11</v>
      </c>
      <c r="F32">
        <v>49290.11</v>
      </c>
      <c r="G32" t="s">
        <v>3571</v>
      </c>
      <c r="H32" t="s">
        <v>3476</v>
      </c>
      <c r="I32" t="s">
        <v>3474</v>
      </c>
      <c r="J32" t="s">
        <v>3477</v>
      </c>
      <c r="K32" s="3454">
        <v>45015.000497685185</v>
      </c>
      <c r="L32" t="s">
        <v>3478</v>
      </c>
      <c r="M32" t="s">
        <v>3580</v>
      </c>
      <c r="N32">
        <v>5720</v>
      </c>
      <c r="O32">
        <v>1160.47</v>
      </c>
      <c r="P32">
        <v>77.37</v>
      </c>
      <c r="Q32">
        <v>1160</v>
      </c>
      <c r="R32">
        <v>0.88</v>
      </c>
      <c r="S32" t="s">
        <v>3480</v>
      </c>
    </row>
    <row r="33" spans="1:19">
      <c r="A33" t="s">
        <v>3581</v>
      </c>
      <c r="B33" t="s">
        <v>3472</v>
      </c>
      <c r="C33" t="s">
        <v>3582</v>
      </c>
      <c r="D33" t="s">
        <v>3474</v>
      </c>
      <c r="E33">
        <v>50044.78</v>
      </c>
      <c r="F33">
        <v>125111.95</v>
      </c>
      <c r="G33" t="s">
        <v>3583</v>
      </c>
      <c r="H33" t="s">
        <v>3476</v>
      </c>
      <c r="I33" t="s">
        <v>3523</v>
      </c>
      <c r="J33" t="s">
        <v>3477</v>
      </c>
      <c r="K33" s="3454">
        <v>45015.000497685185</v>
      </c>
      <c r="L33" t="s">
        <v>3478</v>
      </c>
      <c r="M33" t="s">
        <v>3584</v>
      </c>
      <c r="N33">
        <v>5240</v>
      </c>
      <c r="O33">
        <v>1047.06</v>
      </c>
      <c r="P33">
        <v>69.8</v>
      </c>
      <c r="Q33">
        <v>419</v>
      </c>
      <c r="R33">
        <v>0.77</v>
      </c>
      <c r="S33" t="s">
        <v>3480</v>
      </c>
    </row>
    <row r="34" spans="1:19">
      <c r="A34" t="s">
        <v>3585</v>
      </c>
      <c r="B34" t="s">
        <v>3472</v>
      </c>
      <c r="C34" t="s">
        <v>3586</v>
      </c>
      <c r="D34" t="s">
        <v>3474</v>
      </c>
      <c r="E34">
        <v>22790.15</v>
      </c>
      <c r="F34">
        <v>22790.15</v>
      </c>
      <c r="G34" t="s">
        <v>3571</v>
      </c>
      <c r="H34" t="s">
        <v>3476</v>
      </c>
      <c r="I34" t="s">
        <v>3474</v>
      </c>
      <c r="J34" t="s">
        <v>3477</v>
      </c>
      <c r="K34" s="3454">
        <v>45015.000497685185</v>
      </c>
      <c r="L34" t="s">
        <v>3478</v>
      </c>
      <c r="M34" t="s">
        <v>3587</v>
      </c>
      <c r="N34">
        <v>1585</v>
      </c>
      <c r="O34">
        <v>695.47</v>
      </c>
      <c r="P34">
        <v>46.37</v>
      </c>
      <c r="Q34">
        <v>695</v>
      </c>
      <c r="R34">
        <v>0.96</v>
      </c>
      <c r="S34" t="s">
        <v>3480</v>
      </c>
    </row>
    <row r="35" spans="1:19">
      <c r="A35" t="s">
        <v>3588</v>
      </c>
      <c r="B35" t="s">
        <v>3472</v>
      </c>
      <c r="C35" t="s">
        <v>3589</v>
      </c>
      <c r="D35" t="s">
        <v>3474</v>
      </c>
      <c r="E35">
        <v>21515.77</v>
      </c>
      <c r="F35">
        <v>53789.43</v>
      </c>
      <c r="G35" t="s">
        <v>3583</v>
      </c>
      <c r="H35" t="s">
        <v>3476</v>
      </c>
      <c r="I35" t="s">
        <v>3474</v>
      </c>
      <c r="J35" t="s">
        <v>3477</v>
      </c>
      <c r="K35" s="3454">
        <v>45015.000497685185</v>
      </c>
      <c r="L35" t="s">
        <v>3478</v>
      </c>
      <c r="M35" t="s">
        <v>3590</v>
      </c>
      <c r="N35">
        <v>1820</v>
      </c>
      <c r="O35">
        <v>845.89</v>
      </c>
      <c r="P35">
        <v>56.39</v>
      </c>
      <c r="Q35">
        <v>338</v>
      </c>
      <c r="R35">
        <v>1.68</v>
      </c>
      <c r="S35" t="s">
        <v>3480</v>
      </c>
    </row>
    <row r="36" spans="1:19">
      <c r="A36" t="s">
        <v>3591</v>
      </c>
      <c r="B36" t="s">
        <v>3472</v>
      </c>
      <c r="C36" t="s">
        <v>3592</v>
      </c>
      <c r="D36" t="s">
        <v>3474</v>
      </c>
      <c r="E36">
        <v>215408.79</v>
      </c>
      <c r="F36">
        <v>538521.98</v>
      </c>
      <c r="G36" t="s">
        <v>3583</v>
      </c>
      <c r="H36" t="s">
        <v>3476</v>
      </c>
      <c r="I36" t="s">
        <v>3523</v>
      </c>
      <c r="J36" t="s">
        <v>3477</v>
      </c>
      <c r="K36" s="3454">
        <v>44923.000497685185</v>
      </c>
      <c r="L36" t="s">
        <v>3478</v>
      </c>
      <c r="M36" t="s">
        <v>3593</v>
      </c>
      <c r="N36">
        <v>23360</v>
      </c>
      <c r="O36">
        <v>1084.44</v>
      </c>
      <c r="P36">
        <v>72.3</v>
      </c>
      <c r="Q36">
        <v>434</v>
      </c>
      <c r="R36">
        <v>1.96</v>
      </c>
      <c r="S36" t="s">
        <v>3480</v>
      </c>
    </row>
    <row r="37" spans="1:19">
      <c r="A37" t="s">
        <v>3594</v>
      </c>
      <c r="B37" t="s">
        <v>3472</v>
      </c>
      <c r="C37" t="s">
        <v>3595</v>
      </c>
      <c r="D37" t="s">
        <v>3474</v>
      </c>
      <c r="E37">
        <v>65935.7</v>
      </c>
      <c r="F37">
        <v>65935.7</v>
      </c>
      <c r="G37" t="s">
        <v>3571</v>
      </c>
      <c r="H37" t="s">
        <v>3476</v>
      </c>
      <c r="I37" t="s">
        <v>3474</v>
      </c>
      <c r="J37" t="s">
        <v>3477</v>
      </c>
      <c r="K37" s="3454">
        <v>44916.000497685185</v>
      </c>
      <c r="L37" t="s">
        <v>3478</v>
      </c>
      <c r="M37" t="s">
        <v>3596</v>
      </c>
      <c r="N37">
        <v>7610</v>
      </c>
      <c r="O37">
        <v>1154.1500000000001</v>
      </c>
      <c r="P37">
        <v>76.94</v>
      </c>
      <c r="Q37">
        <v>1154</v>
      </c>
      <c r="R37">
        <v>0.66</v>
      </c>
      <c r="S37" t="s">
        <v>3480</v>
      </c>
    </row>
    <row r="38" spans="1:19">
      <c r="A38" t="s">
        <v>3597</v>
      </c>
      <c r="B38" t="s">
        <v>3472</v>
      </c>
      <c r="C38" t="s">
        <v>3598</v>
      </c>
      <c r="D38" t="s">
        <v>3474</v>
      </c>
      <c r="E38">
        <v>40916.980000000003</v>
      </c>
      <c r="F38">
        <v>102292.45</v>
      </c>
      <c r="G38" t="s">
        <v>3583</v>
      </c>
      <c r="H38" t="s">
        <v>3476</v>
      </c>
      <c r="I38" t="s">
        <v>3523</v>
      </c>
      <c r="J38" t="s">
        <v>3477</v>
      </c>
      <c r="K38" s="3454">
        <v>44916.000497685185</v>
      </c>
      <c r="L38" t="s">
        <v>3478</v>
      </c>
      <c r="M38" t="s">
        <v>3599</v>
      </c>
      <c r="N38">
        <v>4450</v>
      </c>
      <c r="O38">
        <v>1087.56</v>
      </c>
      <c r="P38">
        <v>72.5</v>
      </c>
      <c r="Q38">
        <v>435</v>
      </c>
      <c r="R38">
        <v>2.06</v>
      </c>
      <c r="S38" t="s">
        <v>3480</v>
      </c>
    </row>
    <row r="39" spans="1:19">
      <c r="A39" t="s">
        <v>3600</v>
      </c>
      <c r="B39" t="s">
        <v>3472</v>
      </c>
      <c r="C39" t="s">
        <v>3601</v>
      </c>
      <c r="D39" t="s">
        <v>3474</v>
      </c>
      <c r="E39">
        <v>25766.59</v>
      </c>
      <c r="F39">
        <v>25766.59</v>
      </c>
      <c r="G39" t="s">
        <v>3571</v>
      </c>
      <c r="H39" t="s">
        <v>3476</v>
      </c>
      <c r="I39" t="s">
        <v>3474</v>
      </c>
      <c r="J39" t="s">
        <v>3477</v>
      </c>
      <c r="K39" s="3454">
        <v>44888.000497685185</v>
      </c>
      <c r="L39" t="s">
        <v>3478</v>
      </c>
      <c r="M39" t="s">
        <v>3602</v>
      </c>
      <c r="N39">
        <v>2220</v>
      </c>
      <c r="O39">
        <v>861.58</v>
      </c>
      <c r="P39">
        <v>57.44</v>
      </c>
      <c r="Q39">
        <v>862</v>
      </c>
      <c r="R39">
        <v>29.07</v>
      </c>
      <c r="S39" t="s">
        <v>3480</v>
      </c>
    </row>
    <row r="40" spans="1:19">
      <c r="A40" t="s">
        <v>3603</v>
      </c>
      <c r="B40" t="s">
        <v>3472</v>
      </c>
      <c r="C40" t="s">
        <v>3604</v>
      </c>
      <c r="D40" t="s">
        <v>3474</v>
      </c>
      <c r="E40">
        <v>26666.59</v>
      </c>
      <c r="F40">
        <v>31999.91</v>
      </c>
      <c r="G40" t="s">
        <v>3605</v>
      </c>
      <c r="H40" t="s">
        <v>3476</v>
      </c>
      <c r="I40" t="s">
        <v>3474</v>
      </c>
      <c r="J40" t="s">
        <v>3477</v>
      </c>
      <c r="K40" s="3454">
        <v>44888.000497685185</v>
      </c>
      <c r="L40" t="s">
        <v>3478</v>
      </c>
      <c r="M40" t="s">
        <v>3509</v>
      </c>
      <c r="N40">
        <v>1856</v>
      </c>
      <c r="O40">
        <v>696</v>
      </c>
      <c r="P40">
        <v>46.4</v>
      </c>
      <c r="Q40">
        <v>580</v>
      </c>
      <c r="R40">
        <v>10.74</v>
      </c>
      <c r="S40" t="s">
        <v>3480</v>
      </c>
    </row>
    <row r="41" spans="1:19">
      <c r="A41" t="s">
        <v>3606</v>
      </c>
      <c r="B41" t="s">
        <v>3472</v>
      </c>
      <c r="C41" t="s">
        <v>3607</v>
      </c>
      <c r="D41" t="s">
        <v>3474</v>
      </c>
      <c r="E41">
        <v>4609.41</v>
      </c>
      <c r="F41">
        <v>11523.53</v>
      </c>
      <c r="G41" t="s">
        <v>3608</v>
      </c>
      <c r="H41" t="s">
        <v>3476</v>
      </c>
      <c r="I41" t="s">
        <v>3523</v>
      </c>
      <c r="J41" t="s">
        <v>3477</v>
      </c>
      <c r="K41" s="3454">
        <v>44881.000497685185</v>
      </c>
      <c r="L41" t="s">
        <v>3478</v>
      </c>
      <c r="M41" t="s">
        <v>3609</v>
      </c>
      <c r="N41">
        <v>746</v>
      </c>
      <c r="O41">
        <v>1618.42</v>
      </c>
      <c r="P41">
        <v>107.9</v>
      </c>
      <c r="Q41">
        <v>647</v>
      </c>
      <c r="R41">
        <v>0.81</v>
      </c>
      <c r="S41" t="s">
        <v>3480</v>
      </c>
    </row>
    <row r="42" spans="1:19">
      <c r="A42" t="s">
        <v>3610</v>
      </c>
      <c r="B42" t="s">
        <v>3472</v>
      </c>
      <c r="C42" t="s">
        <v>3611</v>
      </c>
      <c r="D42" t="s">
        <v>3474</v>
      </c>
      <c r="E42">
        <v>851.22</v>
      </c>
      <c r="F42">
        <v>2979.27</v>
      </c>
      <c r="G42" t="s">
        <v>3612</v>
      </c>
      <c r="H42" t="s">
        <v>3476</v>
      </c>
      <c r="I42" t="s">
        <v>3523</v>
      </c>
      <c r="J42" t="s">
        <v>3477</v>
      </c>
      <c r="K42" s="3454">
        <v>44881.000497685185</v>
      </c>
      <c r="L42" t="s">
        <v>3478</v>
      </c>
      <c r="M42" t="s">
        <v>3613</v>
      </c>
      <c r="N42">
        <v>141</v>
      </c>
      <c r="O42">
        <v>1656.44</v>
      </c>
      <c r="P42">
        <v>110.43</v>
      </c>
      <c r="Q42">
        <v>473</v>
      </c>
      <c r="R42">
        <v>0.71</v>
      </c>
      <c r="S42" t="s">
        <v>3480</v>
      </c>
    </row>
    <row r="43" spans="1:19">
      <c r="A43" t="s">
        <v>3614</v>
      </c>
      <c r="B43" t="s">
        <v>3472</v>
      </c>
      <c r="C43" t="s">
        <v>3615</v>
      </c>
      <c r="D43" t="s">
        <v>3474</v>
      </c>
      <c r="E43">
        <v>149656.87</v>
      </c>
      <c r="F43">
        <v>374142.18</v>
      </c>
      <c r="G43" t="s">
        <v>3608</v>
      </c>
      <c r="H43" t="s">
        <v>3476</v>
      </c>
      <c r="I43" t="s">
        <v>3474</v>
      </c>
      <c r="J43" t="s">
        <v>3477</v>
      </c>
      <c r="K43" s="3454">
        <v>44860.000497685185</v>
      </c>
      <c r="L43" t="s">
        <v>3478</v>
      </c>
      <c r="M43" t="s">
        <v>3616</v>
      </c>
      <c r="N43">
        <v>11525</v>
      </c>
      <c r="O43">
        <v>770.09</v>
      </c>
      <c r="P43">
        <v>51.34</v>
      </c>
      <c r="Q43">
        <v>308</v>
      </c>
      <c r="R43">
        <v>2.67</v>
      </c>
      <c r="S43" t="s">
        <v>3480</v>
      </c>
    </row>
    <row r="44" spans="1:19">
      <c r="A44" t="s">
        <v>3617</v>
      </c>
      <c r="B44" t="s">
        <v>3472</v>
      </c>
      <c r="C44" t="s">
        <v>3618</v>
      </c>
      <c r="D44" t="s">
        <v>3474</v>
      </c>
      <c r="E44">
        <v>40570.83</v>
      </c>
      <c r="F44">
        <v>60856.25</v>
      </c>
      <c r="G44" t="s">
        <v>3619</v>
      </c>
      <c r="H44" t="s">
        <v>3476</v>
      </c>
      <c r="I44" t="s">
        <v>3474</v>
      </c>
      <c r="J44" t="s">
        <v>3477</v>
      </c>
      <c r="K44" s="3454">
        <v>44845.000497685185</v>
      </c>
      <c r="L44" t="s">
        <v>3478</v>
      </c>
      <c r="M44" t="s">
        <v>3620</v>
      </c>
      <c r="N44">
        <v>4700</v>
      </c>
      <c r="O44">
        <v>1158.46</v>
      </c>
      <c r="P44">
        <v>77.23</v>
      </c>
      <c r="Q44">
        <v>772</v>
      </c>
      <c r="R44">
        <v>0.64</v>
      </c>
      <c r="S44" t="s">
        <v>3480</v>
      </c>
    </row>
    <row r="45" spans="1:19">
      <c r="A45" t="s">
        <v>3621</v>
      </c>
      <c r="B45" t="s">
        <v>3472</v>
      </c>
      <c r="C45" t="s">
        <v>3622</v>
      </c>
      <c r="D45" t="s">
        <v>3474</v>
      </c>
      <c r="E45">
        <v>81620.67</v>
      </c>
      <c r="F45">
        <v>81620.67</v>
      </c>
      <c r="G45" t="s">
        <v>3571</v>
      </c>
      <c r="H45" t="s">
        <v>3476</v>
      </c>
      <c r="I45" t="s">
        <v>3474</v>
      </c>
      <c r="J45" t="s">
        <v>3477</v>
      </c>
      <c r="K45" s="3454">
        <v>44845.000497685185</v>
      </c>
      <c r="L45" t="s">
        <v>3478</v>
      </c>
      <c r="M45" t="s">
        <v>3541</v>
      </c>
      <c r="N45">
        <v>9460</v>
      </c>
      <c r="O45">
        <v>1159.02</v>
      </c>
      <c r="P45">
        <v>77.27</v>
      </c>
      <c r="Q45">
        <v>1159</v>
      </c>
      <c r="R45">
        <v>0.64</v>
      </c>
      <c r="S45" t="s">
        <v>3480</v>
      </c>
    </row>
    <row r="46" spans="1:19">
      <c r="A46" t="s">
        <v>3623</v>
      </c>
      <c r="B46" t="s">
        <v>3472</v>
      </c>
      <c r="C46" t="s">
        <v>3624</v>
      </c>
      <c r="D46" t="s">
        <v>3474</v>
      </c>
      <c r="E46">
        <v>34183.440000000002</v>
      </c>
      <c r="F46">
        <v>34183.440000000002</v>
      </c>
      <c r="G46" t="s">
        <v>3571</v>
      </c>
      <c r="H46" t="s">
        <v>3476</v>
      </c>
      <c r="I46" t="s">
        <v>3474</v>
      </c>
      <c r="J46" t="s">
        <v>3477</v>
      </c>
      <c r="K46" s="3454">
        <v>44845.000497685185</v>
      </c>
      <c r="L46" t="s">
        <v>3478</v>
      </c>
      <c r="M46" t="s">
        <v>3625</v>
      </c>
      <c r="N46">
        <v>3970</v>
      </c>
      <c r="O46">
        <v>1161.3800000000001</v>
      </c>
      <c r="P46">
        <v>77.430000000000007</v>
      </c>
      <c r="Q46">
        <v>1161</v>
      </c>
      <c r="R46">
        <v>0.76</v>
      </c>
      <c r="S46" t="s">
        <v>3480</v>
      </c>
    </row>
    <row r="47" spans="1:19">
      <c r="A47" t="s">
        <v>3626</v>
      </c>
      <c r="B47" t="s">
        <v>3472</v>
      </c>
      <c r="C47" t="s">
        <v>3627</v>
      </c>
      <c r="D47" t="s">
        <v>3474</v>
      </c>
      <c r="E47">
        <v>21327.3</v>
      </c>
      <c r="F47">
        <v>53318.25</v>
      </c>
      <c r="G47" t="s">
        <v>3608</v>
      </c>
      <c r="H47" t="s">
        <v>3476</v>
      </c>
      <c r="I47" t="s">
        <v>3474</v>
      </c>
      <c r="J47" t="s">
        <v>3477</v>
      </c>
      <c r="K47" s="3454">
        <v>44844.000497685185</v>
      </c>
      <c r="L47" t="s">
        <v>3478</v>
      </c>
      <c r="M47" t="s">
        <v>3628</v>
      </c>
      <c r="N47">
        <v>1474</v>
      </c>
      <c r="O47">
        <v>691.13</v>
      </c>
      <c r="P47">
        <v>46.08</v>
      </c>
      <c r="Q47">
        <v>276</v>
      </c>
      <c r="R47">
        <v>0.68</v>
      </c>
      <c r="S47" t="s">
        <v>3480</v>
      </c>
    </row>
    <row r="48" spans="1:19">
      <c r="A48" t="s">
        <v>3629</v>
      </c>
      <c r="B48" t="s">
        <v>3472</v>
      </c>
      <c r="C48" t="s">
        <v>3630</v>
      </c>
      <c r="D48" t="s">
        <v>3474</v>
      </c>
      <c r="E48">
        <v>21185.53</v>
      </c>
      <c r="F48">
        <v>52963.83</v>
      </c>
      <c r="G48" t="s">
        <v>3608</v>
      </c>
      <c r="H48" t="s">
        <v>3476</v>
      </c>
      <c r="I48" t="s">
        <v>3474</v>
      </c>
      <c r="J48" t="s">
        <v>3477</v>
      </c>
      <c r="K48" s="3454">
        <v>44844.000497685185</v>
      </c>
      <c r="L48" t="s">
        <v>3478</v>
      </c>
      <c r="M48" t="s">
        <v>3631</v>
      </c>
      <c r="N48">
        <v>1483</v>
      </c>
      <c r="O48">
        <v>700</v>
      </c>
      <c r="P48">
        <v>46.67</v>
      </c>
      <c r="Q48">
        <v>280</v>
      </c>
      <c r="R48">
        <v>1.37</v>
      </c>
      <c r="S48" t="s">
        <v>3480</v>
      </c>
    </row>
    <row r="49" spans="1:19">
      <c r="A49" t="s">
        <v>3632</v>
      </c>
      <c r="B49" t="s">
        <v>3472</v>
      </c>
      <c r="C49" t="s">
        <v>3633</v>
      </c>
      <c r="D49" t="s">
        <v>3474</v>
      </c>
      <c r="E49">
        <v>33357.53</v>
      </c>
      <c r="F49">
        <v>50036.3</v>
      </c>
      <c r="G49" t="s">
        <v>3634</v>
      </c>
      <c r="H49" t="s">
        <v>3476</v>
      </c>
      <c r="I49" t="s">
        <v>3523</v>
      </c>
      <c r="J49" t="s">
        <v>3477</v>
      </c>
      <c r="K49" s="3454">
        <v>44825.000497685185</v>
      </c>
      <c r="L49" t="s">
        <v>3478</v>
      </c>
      <c r="M49" t="s">
        <v>3541</v>
      </c>
      <c r="N49">
        <v>3130</v>
      </c>
      <c r="O49">
        <v>938.31</v>
      </c>
      <c r="P49">
        <v>62.55</v>
      </c>
      <c r="Q49">
        <v>626</v>
      </c>
      <c r="R49">
        <v>0.97</v>
      </c>
      <c r="S49" t="s">
        <v>3494</v>
      </c>
    </row>
    <row r="50" spans="1:19">
      <c r="A50" t="s">
        <v>3635</v>
      </c>
      <c r="B50" t="s">
        <v>3472</v>
      </c>
      <c r="C50" t="s">
        <v>3636</v>
      </c>
      <c r="D50" t="s">
        <v>3474</v>
      </c>
      <c r="E50">
        <v>57412.25</v>
      </c>
      <c r="F50">
        <v>57412.25</v>
      </c>
      <c r="G50" t="s">
        <v>3571</v>
      </c>
      <c r="H50" t="s">
        <v>3476</v>
      </c>
      <c r="I50" t="s">
        <v>3474</v>
      </c>
      <c r="J50" t="s">
        <v>3477</v>
      </c>
      <c r="K50" s="3454">
        <v>44825.000497685185</v>
      </c>
      <c r="L50" t="s">
        <v>3478</v>
      </c>
      <c r="M50" t="s">
        <v>3637</v>
      </c>
      <c r="N50">
        <v>6720</v>
      </c>
      <c r="O50">
        <v>1170.48</v>
      </c>
      <c r="P50">
        <v>78.03</v>
      </c>
      <c r="Q50">
        <v>1170</v>
      </c>
      <c r="R50">
        <v>1.51</v>
      </c>
      <c r="S50" t="s">
        <v>3480</v>
      </c>
    </row>
    <row r="51" spans="1:19">
      <c r="A51" t="s">
        <v>3638</v>
      </c>
      <c r="B51" t="s">
        <v>3472</v>
      </c>
      <c r="C51" t="s">
        <v>3639</v>
      </c>
      <c r="D51" t="s">
        <v>3474</v>
      </c>
      <c r="E51">
        <v>6731.11</v>
      </c>
      <c r="F51">
        <v>16827.77</v>
      </c>
      <c r="G51" t="s">
        <v>3608</v>
      </c>
      <c r="H51" t="s">
        <v>3476</v>
      </c>
      <c r="I51" t="s">
        <v>3474</v>
      </c>
      <c r="J51" t="s">
        <v>3477</v>
      </c>
      <c r="K51" s="3454">
        <v>44785.000497685185</v>
      </c>
      <c r="L51" t="s">
        <v>3478</v>
      </c>
      <c r="M51" t="s">
        <v>3640</v>
      </c>
      <c r="N51">
        <v>467</v>
      </c>
      <c r="O51">
        <v>693.79</v>
      </c>
      <c r="P51">
        <v>46.25</v>
      </c>
      <c r="Q51">
        <v>278</v>
      </c>
      <c r="R51">
        <v>2.19</v>
      </c>
      <c r="S51" t="s">
        <v>3480</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1" sqref="N41"/>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9" t="s">
        <v>2842</v>
      </c>
      <c r="B1" s="3779"/>
      <c r="C1" s="3779"/>
      <c r="D1" s="3779"/>
      <c r="E1" s="3779"/>
      <c r="F1" s="3779"/>
      <c r="G1" s="3780"/>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77"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78"/>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1" t="s">
        <v>3184</v>
      </c>
      <c r="B1" s="3781"/>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ht="14.25">
      <c r="A1" s="3782" t="s">
        <v>3235</v>
      </c>
      <c r="B1" s="3782"/>
      <c r="C1" s="3782"/>
      <c r="D1" s="3782"/>
      <c r="E1" s="3782"/>
      <c r="F1" s="3783"/>
    </row>
    <row r="2" spans="1:6" ht="14.25">
      <c r="A2" s="3290" t="s">
        <v>3236</v>
      </c>
      <c r="B2" s="3291"/>
      <c r="C2" s="3291"/>
      <c r="D2" s="3291"/>
      <c r="E2" s="3291"/>
      <c r="F2" s="3291"/>
    </row>
    <row r="3" spans="1:6" ht="14.25">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45429</v>
      </c>
      <c r="B1" s="3209" t="s">
        <v>3373</v>
      </c>
      <c r="C1" s="3210"/>
      <c r="D1" s="3210"/>
      <c r="E1" s="3210"/>
      <c r="F1" s="3210"/>
      <c r="G1" s="3210"/>
      <c r="H1" s="3210"/>
      <c r="I1" s="3210"/>
      <c r="J1" s="3164"/>
      <c r="K1" s="3210" t="s">
        <v>454</v>
      </c>
      <c r="L1" s="3210"/>
      <c r="M1" s="3210"/>
      <c r="N1" s="3210"/>
      <c r="O1" s="3210"/>
      <c r="P1" s="3210"/>
      <c r="Q1" s="3164"/>
      <c r="R1" s="3784" t="s">
        <v>456</v>
      </c>
      <c r="S1" s="3785"/>
      <c r="T1" s="3785"/>
      <c r="U1" s="3785"/>
      <c r="V1" s="3785"/>
      <c r="W1" s="3785"/>
      <c r="X1" s="3164"/>
      <c r="Y1" s="3784" t="s">
        <v>457</v>
      </c>
      <c r="Z1" s="3785"/>
      <c r="AA1" s="3785"/>
      <c r="AB1" s="3785"/>
      <c r="AC1" s="3785"/>
      <c r="AD1" s="3785"/>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2828</v>
      </c>
    </row>
    <row r="22" spans="1:30" s="3008" customFormat="1"/>
    <row r="23" spans="1:30" s="3208" customFormat="1" ht="12.75">
      <c r="B23" s="3209" t="s">
        <v>3374</v>
      </c>
      <c r="C23" s="3210"/>
      <c r="D23" s="3210"/>
      <c r="E23" s="3210"/>
      <c r="F23" s="3210"/>
      <c r="G23" s="3210"/>
      <c r="H23" s="3210"/>
      <c r="I23" s="3210"/>
      <c r="J23" s="3164"/>
      <c r="K23" s="3210" t="s">
        <v>2829</v>
      </c>
      <c r="L23" s="3210"/>
      <c r="M23" s="3210"/>
      <c r="N23" s="3210"/>
      <c r="O23" s="3210"/>
      <c r="P23" s="3210"/>
      <c r="Q23" s="3164"/>
      <c r="R23" s="3784" t="s">
        <v>2830</v>
      </c>
      <c r="S23" s="3785"/>
      <c r="T23" s="3785"/>
      <c r="U23" s="3785"/>
      <c r="V23" s="3785"/>
      <c r="W23" s="3785"/>
      <c r="X23" s="3164"/>
      <c r="Y23" s="3784" t="s">
        <v>2831</v>
      </c>
      <c r="Z23" s="3785"/>
      <c r="AA23" s="3785"/>
      <c r="AB23" s="3785"/>
      <c r="AC23" s="3785"/>
      <c r="AD23" s="3785"/>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45429</v>
      </c>
      <c r="D1" s="1301" t="s">
        <v>603</v>
      </c>
      <c r="E1" s="1296">
        <f>'数据-取费表'!B22</f>
        <v>1.5</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3" t="s">
        <v>925</v>
      </c>
      <c r="E3" s="853" t="s">
        <v>931</v>
      </c>
      <c r="F3" s="853" t="s">
        <v>925</v>
      </c>
      <c r="G3" s="853" t="s">
        <v>926</v>
      </c>
      <c r="H3" s="853" t="s">
        <v>925</v>
      </c>
      <c r="I3" s="853" t="s">
        <v>926</v>
      </c>
    </row>
    <row r="4" spans="1:9" ht="15">
      <c r="A4" s="1504" t="str">
        <f>项目基本情况!S2</f>
        <v>北京市房地产</v>
      </c>
      <c r="B4" s="853">
        <f>项目基本情况!C17</f>
        <v>71700.22</v>
      </c>
      <c r="C4" s="853">
        <f>项目基本情况!C18</f>
        <v>73334</v>
      </c>
      <c r="D4" s="853">
        <f>结果表!D118</f>
        <v>0</v>
      </c>
      <c r="E4" s="853">
        <f>结果表!E118</f>
        <v>0</v>
      </c>
      <c r="F4" s="853">
        <f>结果表!F118</f>
        <v>0</v>
      </c>
      <c r="G4" s="853">
        <f>结果表!G118</f>
        <v>0</v>
      </c>
      <c r="H4" s="853">
        <f ca="1">结果表!H118</f>
        <v>30136</v>
      </c>
      <c r="I4" s="853">
        <f ca="1">结果表!I118</f>
        <v>4203</v>
      </c>
    </row>
    <row r="5" spans="1:9" ht="30" customHeight="1">
      <c r="A5" s="3472" t="s">
        <v>927</v>
      </c>
      <c r="B5" s="3472"/>
      <c r="C5" s="3472"/>
      <c r="D5" s="3472" t="str">
        <f>结果表!D119</f>
        <v>零元整</v>
      </c>
      <c r="E5" s="3472"/>
      <c r="F5" s="3472" t="str">
        <f>结果表!F119</f>
        <v>零元整</v>
      </c>
      <c r="G5" s="3472"/>
      <c r="H5" s="3472" t="str">
        <f ca="1">结果表!H119</f>
        <v>叁亿零壹佰叁拾陆万元整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30136</v>
      </c>
      <c r="E8" s="3471"/>
      <c r="F8" s="3471"/>
      <c r="G8" s="3471"/>
      <c r="H8" s="3471"/>
      <c r="I8" s="3471"/>
    </row>
    <row r="9" spans="1:9" ht="15">
      <c r="A9" s="3472" t="s">
        <v>927</v>
      </c>
      <c r="B9" s="3472"/>
      <c r="C9" s="3472"/>
      <c r="D9" s="3472" t="str">
        <f ca="1">结果表!D123</f>
        <v>叁亿零壹佰叁拾陆万元整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4" t="s">
        <v>949</v>
      </c>
      <c r="B1" s="3484"/>
      <c r="C1" s="3484"/>
      <c r="D1" s="3484"/>
    </row>
    <row r="2" spans="1:4" ht="18">
      <c r="A2" s="3485" t="s">
        <v>933</v>
      </c>
      <c r="B2" s="3485"/>
      <c r="C2" s="3485"/>
      <c r="D2" s="3485"/>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5" t="s">
        <v>939</v>
      </c>
      <c r="B6" s="3485"/>
      <c r="C6" s="3485"/>
      <c r="D6" s="3485"/>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2" t="s">
        <v>956</v>
      </c>
      <c r="B15" s="3487" t="s">
        <v>109</v>
      </c>
      <c r="C15" s="3488"/>
    </row>
    <row r="16" spans="1:7" ht="13.5">
      <c r="A16" s="3493"/>
      <c r="B16" s="3487" t="s">
        <v>42</v>
      </c>
      <c r="C16" s="3488"/>
    </row>
    <row r="17" spans="1:3" ht="13.5">
      <c r="A17" s="3493"/>
      <c r="B17" s="3490" t="s">
        <v>957</v>
      </c>
      <c r="C17" s="1531" t="s">
        <v>956</v>
      </c>
    </row>
    <row r="18" spans="1:3" ht="13.5">
      <c r="A18" s="3493"/>
      <c r="B18" s="3490"/>
      <c r="C18" s="1531" t="s">
        <v>958</v>
      </c>
    </row>
    <row r="19" spans="1:3" ht="13.5">
      <c r="A19" s="3493"/>
      <c r="B19" s="3490"/>
      <c r="C19" s="1531" t="s">
        <v>959</v>
      </c>
    </row>
    <row r="20" spans="1:3" ht="13.5">
      <c r="A20" s="3494"/>
      <c r="B20" s="3489" t="s">
        <v>960</v>
      </c>
      <c r="C20" s="3488"/>
    </row>
    <row r="21" spans="1:3" ht="13.5">
      <c r="A21" s="1532" t="s">
        <v>961</v>
      </c>
      <c r="B21" s="1533"/>
      <c r="C21" s="1534"/>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1" t="s">
        <v>967</v>
      </c>
    </row>
    <row r="26" spans="1:3" ht="13.5">
      <c r="A26" s="3491"/>
      <c r="B26" s="3490"/>
      <c r="C26" s="1531" t="s">
        <v>968</v>
      </c>
    </row>
    <row r="27" spans="1:3" ht="13.5">
      <c r="A27" s="3491"/>
      <c r="B27" s="3490"/>
      <c r="C27" s="1531" t="s">
        <v>969</v>
      </c>
    </row>
    <row r="28" spans="1:3" ht="13.5">
      <c r="A28" s="3491"/>
      <c r="B28" s="3490"/>
      <c r="C28" s="1531" t="s">
        <v>970</v>
      </c>
    </row>
    <row r="29" spans="1:3" ht="13.5">
      <c r="A29" s="3491"/>
      <c r="B29" s="3490"/>
      <c r="C29" s="1531" t="s">
        <v>971</v>
      </c>
    </row>
    <row r="30" spans="1:3" ht="13.5">
      <c r="A30" s="3491"/>
      <c r="B30" s="3490"/>
      <c r="C30" s="1531" t="s">
        <v>972</v>
      </c>
    </row>
    <row r="31" spans="1:3" ht="13.5">
      <c r="A31" s="3491"/>
      <c r="B31" s="3490"/>
      <c r="C31" s="1531" t="s">
        <v>973</v>
      </c>
    </row>
    <row r="32" spans="1:3" ht="13.5">
      <c r="A32" s="3491"/>
      <c r="B32" s="3490"/>
      <c r="C32" s="1531" t="s">
        <v>974</v>
      </c>
    </row>
    <row r="33" spans="1:3" ht="13.5">
      <c r="A33" s="3491"/>
      <c r="B33" s="349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45432</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2"/>
      <c r="E18" s="3497" t="s">
        <v>2161</v>
      </c>
      <c r="F18" s="3496"/>
      <c r="G18" s="3496"/>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2024-05-20T05:32:23Z</dcterms:modified>
</cp:coreProperties>
</file>