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不动产收益法-车位" sheetId="75" r:id="rId34"/>
    <sheet name="典型户型修正" sheetId="31" state="hidden" r:id="rId35"/>
    <sheet name="中指及市调" sheetId="72" r:id="rId36"/>
    <sheet name="商业" sheetId="73" r:id="rId37"/>
    <sheet name="车位" sheetId="74"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Sheet1" sheetId="76"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3">'不动产收益法-车位'!$A$1:$F$43,'不动产收益法-车位'!$H$3:$M$29,'不动产收益法-车位'!$A$46:$F$70,'不动产收益法-车位'!$I$46:$M$60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8" i="39" l="1"/>
  <c r="G48" i="39"/>
  <c r="I48" i="39"/>
  <c r="A25" i="31"/>
  <c r="I13" i="3"/>
  <c r="F19" i="6" s="1"/>
  <c r="L14" i="1"/>
  <c r="L8" i="1"/>
  <c r="L7" i="1"/>
  <c r="C106" i="9"/>
  <c r="A24" i="31"/>
  <c r="Q73" i="75"/>
  <c r="Q60" i="75"/>
  <c r="D60" i="75"/>
  <c r="Q59" i="75"/>
  <c r="K59" i="75"/>
  <c r="P75" i="75" s="1"/>
  <c r="F58" i="75"/>
  <c r="J52" i="75"/>
  <c r="Q52" i="75" s="1"/>
  <c r="J50" i="75"/>
  <c r="J51" i="75" s="1"/>
  <c r="M47" i="75"/>
  <c r="F33" i="75"/>
  <c r="F60" i="75" s="1"/>
  <c r="F31" i="75"/>
  <c r="F23" i="75"/>
  <c r="D24" i="75" s="1"/>
  <c r="F21" i="75"/>
  <c r="F20" i="75"/>
  <c r="M19" i="75"/>
  <c r="F18" i="75"/>
  <c r="M17" i="75"/>
  <c r="F17" i="75"/>
  <c r="F15" i="75"/>
  <c r="D59" i="21"/>
  <c r="E59" i="21" s="1"/>
  <c r="F59" i="21" s="1"/>
  <c r="G59" i="21" s="1"/>
  <c r="H59" i="21" s="1"/>
  <c r="I59" i="21" s="1"/>
  <c r="J59" i="21" s="1"/>
  <c r="K59" i="21" s="1"/>
  <c r="L59" i="21" s="1"/>
  <c r="M59" i="21" s="1"/>
  <c r="N59" i="21" s="1"/>
  <c r="O59" i="21" s="1"/>
  <c r="C11" i="21"/>
  <c r="I40" i="39"/>
  <c r="G40" i="39"/>
  <c r="E40" i="39"/>
  <c r="C40" i="39"/>
  <c r="C13" i="39"/>
  <c r="I9" i="39"/>
  <c r="G9" i="39"/>
  <c r="E9" i="39"/>
  <c r="I7" i="39"/>
  <c r="G7" i="39"/>
  <c r="E7" i="39"/>
  <c r="E72" i="39"/>
  <c r="F72" i="39" s="1"/>
  <c r="G72" i="39" s="1"/>
  <c r="H72" i="39" s="1"/>
  <c r="I72" i="39" s="1"/>
  <c r="J72" i="39" s="1"/>
  <c r="K72" i="39" s="1"/>
  <c r="L72" i="39" s="1"/>
  <c r="M72" i="39" s="1"/>
  <c r="N72" i="39" s="1"/>
  <c r="O72" i="39" s="1"/>
  <c r="P72" i="39" s="1"/>
  <c r="Q72" i="39" s="1"/>
  <c r="R72" i="39" s="1"/>
  <c r="D72" i="39"/>
  <c r="J52" i="15"/>
  <c r="M5" i="70"/>
  <c r="K5" i="70"/>
  <c r="L5" i="70" s="1"/>
  <c r="K4" i="70"/>
  <c r="L4" i="70" s="1"/>
  <c r="M4" i="70"/>
  <c r="B6" i="4"/>
  <c r="D3" i="4"/>
  <c r="G15" i="65"/>
  <c r="F15" i="65"/>
  <c r="E15" i="65"/>
  <c r="P62" i="75" l="1"/>
  <c r="D22" i="75"/>
  <c r="D23" i="75"/>
  <c r="L46"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c r="AD24" i="59"/>
  <c r="AE25" i="59"/>
  <c r="AF25" i="59" s="1"/>
  <c r="AG25" i="59"/>
  <c r="AH25" i="59"/>
  <c r="AD25" i="59"/>
  <c r="Q25" i="59"/>
  <c r="P25" i="59"/>
  <c r="O25" i="59"/>
  <c r="N25" i="59"/>
  <c r="B25" i="59" s="1"/>
  <c r="S25" i="59" s="1"/>
  <c r="N26" i="59"/>
  <c r="X3" i="59" s="1"/>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E15" i="66"/>
  <c r="F15" i="66"/>
  <c r="E16" i="66"/>
  <c r="F16" i="66"/>
  <c r="E17" i="66"/>
  <c r="F17" i="66"/>
  <c r="E18" i="66"/>
  <c r="F18" i="66"/>
  <c r="E19" i="66"/>
  <c r="F19" i="66"/>
  <c r="E20" i="66"/>
  <c r="F20" i="66"/>
  <c r="E21" i="66"/>
  <c r="F21" i="66"/>
  <c r="E22" i="66"/>
  <c r="F22" i="66"/>
  <c r="E23" i="66"/>
  <c r="F23" i="66"/>
  <c r="B3" i="66"/>
  <c r="B24" i="59"/>
  <c r="B23" i="59" s="1"/>
  <c r="E25" i="59"/>
  <c r="U25" i="59" s="1"/>
  <c r="F25" i="59"/>
  <c r="V25" i="59"/>
  <c r="AD26" i="59"/>
  <c r="AE26" i="59"/>
  <c r="AF26" i="59"/>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D25" i="59"/>
  <c r="B76" i="63"/>
  <c r="M5" i="54"/>
  <c r="A23" i="51"/>
  <c r="B17" i="63" s="1"/>
  <c r="Y12" i="46"/>
  <c r="AA9" i="46"/>
  <c r="AB9" i="46"/>
  <c r="AB10" i="46" s="1"/>
  <c r="AC9" i="46"/>
  <c r="AC10" i="46" s="1"/>
  <c r="AD9" i="46"/>
  <c r="AD10" i="46" s="1"/>
  <c r="AE9" i="46"/>
  <c r="AE10" i="46" s="1"/>
  <c r="AF9" i="46"/>
  <c r="AF10" i="46" s="1"/>
  <c r="AG9" i="46"/>
  <c r="AH9" i="46"/>
  <c r="AH10" i="46"/>
  <c r="AI9" i="46"/>
  <c r="AI10" i="46" s="1"/>
  <c r="AJ9" i="46"/>
  <c r="AJ10" i="46" s="1"/>
  <c r="Z9" i="46"/>
  <c r="Z10" i="46"/>
  <c r="Y10" i="46"/>
  <c r="Z12" i="46"/>
  <c r="AI12" i="46"/>
  <c r="B73" i="63"/>
  <c r="A21" i="64"/>
  <c r="B75" i="63" s="1"/>
  <c r="A27" i="64"/>
  <c r="A15" i="64"/>
  <c r="A14" i="64"/>
  <c r="A11" i="64"/>
  <c r="A3" i="64"/>
  <c r="A45" i="9"/>
  <c r="K40" i="9" s="1"/>
  <c r="A44" i="9"/>
  <c r="K39" i="9" s="1"/>
  <c r="C57" i="10"/>
  <c r="A28" i="64" s="1"/>
  <c r="C56" i="10"/>
  <c r="C55" i="10"/>
  <c r="C54" i="10"/>
  <c r="A26" i="64" s="1"/>
  <c r="B44" i="63"/>
  <c r="B40" i="63"/>
  <c r="B30" i="63"/>
  <c r="B27" i="63"/>
  <c r="B25" i="63"/>
  <c r="A11" i="51"/>
  <c r="B58" i="63"/>
  <c r="B53" i="63"/>
  <c r="A46" i="9"/>
  <c r="K41" i="9" s="1"/>
  <c r="B8" i="63"/>
  <c r="A21" i="55"/>
  <c r="B71" i="63" s="1"/>
  <c r="A20" i="55"/>
  <c r="B69" i="63"/>
  <c r="B26" i="63"/>
  <c r="B28" i="63"/>
  <c r="B29" i="63"/>
  <c r="B31" i="63"/>
  <c r="B33" i="63"/>
  <c r="B35" i="63"/>
  <c r="B36" i="63"/>
  <c r="B37" i="63"/>
  <c r="B63" i="63"/>
  <c r="B64" i="63"/>
  <c r="B68" i="63"/>
  <c r="D51" i="10"/>
  <c r="B59" i="63"/>
  <c r="B10" i="63"/>
  <c r="B51" i="10"/>
  <c r="A15" i="51"/>
  <c r="B12" i="63" s="1"/>
  <c r="A14" i="51"/>
  <c r="B11" i="63" s="1"/>
  <c r="A4" i="55"/>
  <c r="B57" i="63" s="1"/>
  <c r="B41" i="63"/>
  <c r="G5" i="54"/>
  <c r="B34" i="63" s="1"/>
  <c r="E5" i="54"/>
  <c r="B32" i="63" s="1"/>
  <c r="R2" i="54"/>
  <c r="B24" i="63" s="1"/>
  <c r="B49" i="50"/>
  <c r="B5" i="63"/>
  <c r="B40" i="50"/>
  <c r="B3" i="63" s="1"/>
  <c r="I19" i="46"/>
  <c r="Q29" i="59"/>
  <c r="F29" i="59" s="1"/>
  <c r="F28" i="59" s="1"/>
  <c r="F27" i="59" s="1"/>
  <c r="P29" i="59"/>
  <c r="O29" i="59"/>
  <c r="C29" i="59" s="1"/>
  <c r="N29" i="59"/>
  <c r="B29" i="59" s="1"/>
  <c r="S29" i="59" s="1"/>
  <c r="D90" i="59"/>
  <c r="F89" i="59"/>
  <c r="F88" i="59" s="1"/>
  <c r="F87" i="59" s="1"/>
  <c r="E89" i="59"/>
  <c r="E88" i="59" s="1"/>
  <c r="E87" i="59" s="1"/>
  <c r="C89" i="59"/>
  <c r="C88" i="59" s="1"/>
  <c r="D89" i="59"/>
  <c r="B89" i="59"/>
  <c r="B88" i="59" s="1"/>
  <c r="B87" i="59" s="1"/>
  <c r="D86" i="59"/>
  <c r="F85" i="59"/>
  <c r="F84" i="59" s="1"/>
  <c r="E85" i="59"/>
  <c r="E84" i="59"/>
  <c r="E83" i="59" s="1"/>
  <c r="C85" i="59"/>
  <c r="D85" i="59" s="1"/>
  <c r="B85" i="59"/>
  <c r="B84" i="59" s="1"/>
  <c r="B83" i="59" s="1"/>
  <c r="F83" i="59"/>
  <c r="D82" i="59"/>
  <c r="Q81" i="59"/>
  <c r="P81" i="59"/>
  <c r="O81" i="59"/>
  <c r="N81" i="59"/>
  <c r="F81" i="59"/>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E76" i="59" s="1"/>
  <c r="E75" i="59" s="1"/>
  <c r="U77" i="59"/>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c r="E69" i="59"/>
  <c r="E68" i="59"/>
  <c r="P68" i="59" s="1"/>
  <c r="C69" i="59"/>
  <c r="D69" i="59" s="1"/>
  <c r="B69" i="59"/>
  <c r="N69" i="59" s="1"/>
  <c r="F68" i="59"/>
  <c r="F67" i="59"/>
  <c r="Q66" i="59" s="1"/>
  <c r="D66" i="59"/>
  <c r="Q65" i="59"/>
  <c r="P65" i="59"/>
  <c r="O65" i="59"/>
  <c r="N65" i="59"/>
  <c r="Q64" i="59"/>
  <c r="P64" i="59"/>
  <c r="O64" i="59"/>
  <c r="N64" i="59"/>
  <c r="Q63" i="59"/>
  <c r="P63" i="59"/>
  <c r="O63" i="59"/>
  <c r="C64" i="59" s="1"/>
  <c r="C65" i="59" s="1"/>
  <c r="N63" i="59"/>
  <c r="Q62" i="59"/>
  <c r="F63" i="59" s="1"/>
  <c r="F64" i="59" s="1"/>
  <c r="F65" i="59" s="1"/>
  <c r="P62" i="59"/>
  <c r="E63" i="59"/>
  <c r="E64" i="59" s="1"/>
  <c r="E65" i="59" s="1"/>
  <c r="U65" i="59" s="1"/>
  <c r="O62" i="59"/>
  <c r="C63" i="59"/>
  <c r="D63" i="59" s="1"/>
  <c r="N62" i="59"/>
  <c r="B63" i="59" s="1"/>
  <c r="D62" i="59"/>
  <c r="Q61" i="59"/>
  <c r="P61" i="59"/>
  <c r="O61" i="59"/>
  <c r="N61" i="59"/>
  <c r="Q60" i="59"/>
  <c r="P60" i="59"/>
  <c r="O60" i="59"/>
  <c r="N60" i="59"/>
  <c r="Q59" i="59"/>
  <c r="P59" i="59"/>
  <c r="O59" i="59"/>
  <c r="N59" i="59"/>
  <c r="Q58" i="59"/>
  <c r="F59" i="59" s="1"/>
  <c r="P58" i="59"/>
  <c r="E59" i="59" s="1"/>
  <c r="O58" i="59"/>
  <c r="C59" i="59"/>
  <c r="C60" i="59" s="1"/>
  <c r="N58" i="59"/>
  <c r="B59" i="59" s="1"/>
  <c r="B60" i="59" s="1"/>
  <c r="B61" i="59" s="1"/>
  <c r="S61" i="59" s="1"/>
  <c r="D58" i="59"/>
  <c r="Q57" i="59"/>
  <c r="P57" i="59"/>
  <c r="O57" i="59"/>
  <c r="N57" i="59"/>
  <c r="Q56" i="59"/>
  <c r="P56" i="59"/>
  <c r="O56" i="59"/>
  <c r="N56" i="59"/>
  <c r="Q55" i="59"/>
  <c r="P55" i="59"/>
  <c r="O55" i="59"/>
  <c r="N55" i="59"/>
  <c r="Q54" i="59"/>
  <c r="F55" i="59"/>
  <c r="P54" i="59"/>
  <c r="E55" i="59" s="1"/>
  <c r="O54" i="59"/>
  <c r="C55" i="59" s="1"/>
  <c r="N54" i="59"/>
  <c r="B55" i="59" s="1"/>
  <c r="B56" i="59" s="1"/>
  <c r="D54" i="59"/>
  <c r="Q53" i="59"/>
  <c r="P53" i="59"/>
  <c r="O53" i="59"/>
  <c r="N53" i="59"/>
  <c r="Q52" i="59"/>
  <c r="P52" i="59"/>
  <c r="O52" i="59"/>
  <c r="N52" i="59"/>
  <c r="Q51" i="59"/>
  <c r="P51" i="59"/>
  <c r="O51" i="59"/>
  <c r="N51" i="59"/>
  <c r="B52" i="59" s="1"/>
  <c r="B53" i="59" s="1"/>
  <c r="S53" i="59" s="1"/>
  <c r="Q50" i="59"/>
  <c r="F51" i="59" s="1"/>
  <c r="F52" i="59" s="1"/>
  <c r="F53" i="59" s="1"/>
  <c r="V53" i="59" s="1"/>
  <c r="P50" i="59"/>
  <c r="E51" i="59"/>
  <c r="E52" i="59" s="1"/>
  <c r="E53" i="59" s="1"/>
  <c r="U53" i="59" s="1"/>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C44" i="59" s="1"/>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Y40" i="59"/>
  <c r="Z40" i="59" s="1"/>
  <c r="N40" i="59"/>
  <c r="X40" i="59" s="1"/>
  <c r="Q39" i="59"/>
  <c r="P39" i="59"/>
  <c r="O39" i="59"/>
  <c r="Y39" i="59" s="1"/>
  <c r="Z39" i="59" s="1"/>
  <c r="N39" i="59"/>
  <c r="Q38" i="59"/>
  <c r="P38" i="59"/>
  <c r="E39" i="59" s="1"/>
  <c r="E40" i="59" s="1"/>
  <c r="E41" i="59" s="1"/>
  <c r="U41" i="59" s="1"/>
  <c r="O38" i="59"/>
  <c r="N38" i="59"/>
  <c r="B39" i="59" s="1"/>
  <c r="B40" i="59" s="1"/>
  <c r="B41" i="59" s="1"/>
  <c r="S41" i="59" s="1"/>
  <c r="D38" i="59"/>
  <c r="Q37" i="59"/>
  <c r="P37" i="59"/>
  <c r="O37" i="59"/>
  <c r="N37" i="59"/>
  <c r="X37" i="59" s="1"/>
  <c r="Q36" i="59"/>
  <c r="AB36" i="59" s="1"/>
  <c r="P36" i="59"/>
  <c r="AA36" i="59" s="1"/>
  <c r="O36" i="59"/>
  <c r="N36" i="59"/>
  <c r="Q35" i="59"/>
  <c r="P35" i="59"/>
  <c r="O35" i="59"/>
  <c r="N35" i="59"/>
  <c r="Q34" i="59"/>
  <c r="F35" i="59" s="1"/>
  <c r="F36" i="59" s="1"/>
  <c r="F37" i="59" s="1"/>
  <c r="V37" i="59" s="1"/>
  <c r="P34" i="59"/>
  <c r="E35" i="59"/>
  <c r="O34" i="59"/>
  <c r="C35" i="59" s="1"/>
  <c r="N34" i="59"/>
  <c r="D34" i="59"/>
  <c r="Q33" i="59"/>
  <c r="P33" i="59"/>
  <c r="O33" i="59"/>
  <c r="N33" i="59"/>
  <c r="Q32" i="59"/>
  <c r="P32" i="59"/>
  <c r="O32" i="59"/>
  <c r="N32" i="59"/>
  <c r="Q31" i="59"/>
  <c r="P31" i="59"/>
  <c r="O31" i="59"/>
  <c r="N31" i="59"/>
  <c r="Q30" i="59"/>
  <c r="P30" i="59"/>
  <c r="O30" i="59"/>
  <c r="C31" i="59" s="1"/>
  <c r="N30" i="59"/>
  <c r="D30" i="59"/>
  <c r="Y28" i="59"/>
  <c r="Z28" i="59" s="1"/>
  <c r="E31" i="59"/>
  <c r="S69" i="59"/>
  <c r="AA40" i="59"/>
  <c r="F56" i="59"/>
  <c r="F57" i="59" s="1"/>
  <c r="V57" i="59" s="1"/>
  <c r="V65" i="59"/>
  <c r="D43" i="59"/>
  <c r="C56" i="59"/>
  <c r="D56" i="59" s="1"/>
  <c r="D55" i="59"/>
  <c r="Q68" i="59"/>
  <c r="T69" i="59"/>
  <c r="P69" i="59"/>
  <c r="U69" i="59"/>
  <c r="Q69" i="59"/>
  <c r="C72" i="59"/>
  <c r="D73" i="59"/>
  <c r="C76" i="59"/>
  <c r="C75" i="59" s="1"/>
  <c r="D75" i="59" s="1"/>
  <c r="C80" i="59"/>
  <c r="D80" i="59" s="1"/>
  <c r="D81" i="59"/>
  <c r="U16" i="4"/>
  <c r="S16" i="4"/>
  <c r="Q16" i="4"/>
  <c r="O16" i="4"/>
  <c r="M16" i="4"/>
  <c r="K16" i="4"/>
  <c r="D72" i="59"/>
  <c r="C71" i="59"/>
  <c r="D71" i="59" s="1"/>
  <c r="O27" i="6"/>
  <c r="N27" i="6"/>
  <c r="P26" i="6"/>
  <c r="L26" i="6"/>
  <c r="P25" i="6"/>
  <c r="L25" i="6"/>
  <c r="P24" i="6"/>
  <c r="L24" i="6"/>
  <c r="P23" i="6"/>
  <c r="L23" i="6"/>
  <c r="P22" i="6"/>
  <c r="L22" i="6"/>
  <c r="P21" i="6"/>
  <c r="L21" i="6"/>
  <c r="P20" i="6"/>
  <c r="P19" i="6"/>
  <c r="Z18" i="36"/>
  <c r="Q18" i="36"/>
  <c r="C18" i="36"/>
  <c r="D66" i="36"/>
  <c r="E66" i="36" s="1"/>
  <c r="F18" i="36"/>
  <c r="AA18" i="36" s="1"/>
  <c r="Z18" i="35"/>
  <c r="Q18" i="35"/>
  <c r="F18" i="35"/>
  <c r="AA18" i="35" s="1"/>
  <c r="C18" i="35"/>
  <c r="D68" i="35"/>
  <c r="E68" i="35" s="1"/>
  <c r="F68" i="35" s="1"/>
  <c r="G68" i="35" s="1"/>
  <c r="Q21" i="37"/>
  <c r="Z21" i="37" s="1"/>
  <c r="F21" i="37"/>
  <c r="AA21" i="37" s="1"/>
  <c r="C21" i="37"/>
  <c r="E77" i="37"/>
  <c r="F77" i="37" s="1"/>
  <c r="G77" i="37" s="1"/>
  <c r="D77" i="37"/>
  <c r="Q21" i="34"/>
  <c r="Z21" i="34" s="1"/>
  <c r="C21" i="34"/>
  <c r="D84" i="34"/>
  <c r="F21" i="34"/>
  <c r="AA21" i="34" s="1"/>
  <c r="Z21" i="33"/>
  <c r="Q21" i="33"/>
  <c r="C21" i="33"/>
  <c r="D83" i="33"/>
  <c r="E83" i="33"/>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G20" i="20"/>
  <c r="C22" i="20"/>
  <c r="B65" i="46" s="1"/>
  <c r="S21" i="37"/>
  <c r="B54" i="46"/>
  <c r="H18" i="35"/>
  <c r="J18" i="35"/>
  <c r="H21" i="37"/>
  <c r="J21" i="37"/>
  <c r="E84" i="34"/>
  <c r="F84" i="34" s="1"/>
  <c r="G84" i="34" s="1"/>
  <c r="J21" i="34"/>
  <c r="H21" i="34"/>
  <c r="F21" i="33"/>
  <c r="H21" i="33"/>
  <c r="J21" i="33"/>
  <c r="H21" i="21"/>
  <c r="J21" i="21"/>
  <c r="AC21" i="21" s="1"/>
  <c r="H27" i="40"/>
  <c r="H31" i="39"/>
  <c r="AB31" i="39" s="1"/>
  <c r="F23" i="15"/>
  <c r="D22" i="15" s="1"/>
  <c r="G17" i="11"/>
  <c r="F15" i="15"/>
  <c r="F17" i="15"/>
  <c r="F18" i="15"/>
  <c r="F20" i="15"/>
  <c r="F21" i="15"/>
  <c r="F33" i="15"/>
  <c r="F60" i="15" s="1"/>
  <c r="K2" i="4"/>
  <c r="A2" i="9" s="1"/>
  <c r="K1" i="4"/>
  <c r="B1" i="4"/>
  <c r="C112" i="9"/>
  <c r="C7" i="11"/>
  <c r="F80" i="46"/>
  <c r="H81" i="46"/>
  <c r="D1" i="46"/>
  <c r="F113" i="46"/>
  <c r="D99" i="46"/>
  <c r="D108" i="46" s="1"/>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s="1"/>
  <c r="D87" i="46"/>
  <c r="M86" i="46"/>
  <c r="N86" i="46"/>
  <c r="D86" i="46"/>
  <c r="K86" i="46"/>
  <c r="J86" i="46" s="1"/>
  <c r="M85" i="46"/>
  <c r="N85" i="46" s="1"/>
  <c r="D85" i="46"/>
  <c r="K85" i="46"/>
  <c r="J85" i="46" s="1"/>
  <c r="M84" i="46"/>
  <c r="N84" i="46" s="1"/>
  <c r="K84" i="46"/>
  <c r="J84" i="46"/>
  <c r="M83" i="46"/>
  <c r="N83" i="46" s="1"/>
  <c r="K83" i="46"/>
  <c r="J83" i="46" s="1"/>
  <c r="M82" i="46"/>
  <c r="N82" i="46" s="1"/>
  <c r="K82" i="46"/>
  <c r="J82" i="46"/>
  <c r="D82" i="46"/>
  <c r="M81" i="46"/>
  <c r="N81" i="46" s="1"/>
  <c r="K81" i="46"/>
  <c r="J81" i="46" s="1"/>
  <c r="M80" i="46"/>
  <c r="N80" i="46" s="1"/>
  <c r="K80" i="46"/>
  <c r="J80" i="46" s="1"/>
  <c r="M77" i="46"/>
  <c r="N77" i="46" s="1"/>
  <c r="K77" i="46"/>
  <c r="J77" i="46" s="1"/>
  <c r="M76" i="46"/>
  <c r="N76" i="46"/>
  <c r="D76" i="46"/>
  <c r="K76" i="46"/>
  <c r="J76" i="46" s="1"/>
  <c r="M75" i="46"/>
  <c r="N75" i="46"/>
  <c r="K75" i="46"/>
  <c r="J75" i="46" s="1"/>
  <c r="M74" i="46"/>
  <c r="N74" i="46" s="1"/>
  <c r="K74" i="46"/>
  <c r="J74" i="46" s="1"/>
  <c r="D74" i="46"/>
  <c r="M73" i="46"/>
  <c r="N73" i="46" s="1"/>
  <c r="D73" i="46"/>
  <c r="K73" i="46"/>
  <c r="J73" i="46" s="1"/>
  <c r="M72" i="46"/>
  <c r="N72" i="46" s="1"/>
  <c r="K72" i="46"/>
  <c r="J72" i="46"/>
  <c r="D72" i="46"/>
  <c r="M71" i="46"/>
  <c r="N71" i="46" s="1"/>
  <c r="K71" i="46"/>
  <c r="J71" i="46"/>
  <c r="M70" i="46"/>
  <c r="N70" i="46" s="1"/>
  <c r="K70" i="46"/>
  <c r="J70" i="46" s="1"/>
  <c r="D70" i="46"/>
  <c r="M69" i="46"/>
  <c r="N69" i="46" s="1"/>
  <c r="K69" i="46"/>
  <c r="J69" i="46" s="1"/>
  <c r="M66" i="46"/>
  <c r="N66" i="46" s="1"/>
  <c r="K66" i="46"/>
  <c r="J66" i="46" s="1"/>
  <c r="M65" i="46"/>
  <c r="N65" i="46" s="1"/>
  <c r="K65" i="46"/>
  <c r="J65" i="46"/>
  <c r="D65" i="46"/>
  <c r="M64" i="46"/>
  <c r="N64" i="46"/>
  <c r="K64" i="46"/>
  <c r="J64" i="46" s="1"/>
  <c r="D64" i="46"/>
  <c r="M63" i="46"/>
  <c r="N63" i="46"/>
  <c r="K63" i="46"/>
  <c r="J63" i="46" s="1"/>
  <c r="D63" i="46"/>
  <c r="M62" i="46"/>
  <c r="N62" i="46" s="1"/>
  <c r="K62" i="46"/>
  <c r="J62" i="46" s="1"/>
  <c r="D62" i="46"/>
  <c r="M61" i="46"/>
  <c r="N61" i="46" s="1"/>
  <c r="K61" i="46"/>
  <c r="J61" i="46"/>
  <c r="D61" i="46"/>
  <c r="M60" i="46"/>
  <c r="N60" i="46"/>
  <c r="K60" i="46"/>
  <c r="J60" i="46"/>
  <c r="D60" i="46"/>
  <c r="M59" i="46"/>
  <c r="N59" i="46"/>
  <c r="K59" i="46"/>
  <c r="J59" i="46" s="1"/>
  <c r="D59" i="46"/>
  <c r="M58" i="46"/>
  <c r="N58" i="46" s="1"/>
  <c r="M55" i="46"/>
  <c r="N55" i="46" s="1"/>
  <c r="K55" i="46"/>
  <c r="J55" i="46"/>
  <c r="M54" i="46"/>
  <c r="N54" i="46" s="1"/>
  <c r="K54" i="46"/>
  <c r="J54" i="46" s="1"/>
  <c r="M53" i="46"/>
  <c r="N53" i="46" s="1"/>
  <c r="K53" i="46"/>
  <c r="J53" i="46" s="1"/>
  <c r="D53" i="46"/>
  <c r="M52" i="46"/>
  <c r="N52" i="46" s="1"/>
  <c r="K52" i="46"/>
  <c r="J52" i="46"/>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F11" i="1"/>
  <c r="F12" i="1"/>
  <c r="AP12" i="1" s="1"/>
  <c r="F13" i="1"/>
  <c r="AP13" i="1" s="1"/>
  <c r="D11" i="1"/>
  <c r="D12" i="1"/>
  <c r="D13" i="1"/>
  <c r="D6" i="1"/>
  <c r="D7" i="1"/>
  <c r="D8" i="1"/>
  <c r="D9" i="1"/>
  <c r="F10" i="1"/>
  <c r="AP10" i="1" s="1"/>
  <c r="D10" i="1"/>
  <c r="B2" i="1"/>
  <c r="C42" i="1" s="1"/>
  <c r="A12" i="1"/>
  <c r="R12" i="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L108" i="3" s="1"/>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A105" i="3" s="1"/>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A67" i="3" s="1"/>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L160" i="3" s="1"/>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L295" i="3" s="1"/>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A258" i="3" s="1"/>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L458" i="3" s="1"/>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A449" i="3" s="1"/>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K412" i="3"/>
  <c r="BJ412" i="3"/>
  <c r="BI412" i="3"/>
  <c r="BH412" i="3"/>
  <c r="BA412" i="3" s="1"/>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L408" i="3" s="1"/>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A405" i="3" s="1"/>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c r="C65" i="39" s="1"/>
  <c r="H64" i="39"/>
  <c r="I64" i="39"/>
  <c r="C64" i="39" s="1"/>
  <c r="H63" i="39"/>
  <c r="I63" i="39" s="1"/>
  <c r="C63" i="39" s="1"/>
  <c r="H61" i="39"/>
  <c r="I61" i="39" s="1"/>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S329" i="31" s="1"/>
  <c r="R330" i="31"/>
  <c r="S330" i="31" s="1"/>
  <c r="R331" i="31"/>
  <c r="R332" i="31"/>
  <c r="S332" i="31" s="1"/>
  <c r="R333" i="31"/>
  <c r="S333" i="31" s="1"/>
  <c r="R334" i="31"/>
  <c r="S334" i="31" s="1"/>
  <c r="R335" i="31"/>
  <c r="R336" i="31"/>
  <c r="S336" i="31" s="1"/>
  <c r="R337" i="31"/>
  <c r="S337" i="31" s="1"/>
  <c r="R338" i="31"/>
  <c r="S338" i="31" s="1"/>
  <c r="R339" i="31"/>
  <c r="R340" i="31"/>
  <c r="S340" i="31" s="1"/>
  <c r="R341" i="31"/>
  <c r="S341" i="31" s="1"/>
  <c r="R342" i="31"/>
  <c r="S342" i="31" s="1"/>
  <c r="R343" i="31"/>
  <c r="R344" i="31"/>
  <c r="S344" i="31" s="1"/>
  <c r="R345" i="31"/>
  <c r="S345" i="31" s="1"/>
  <c r="R346" i="31"/>
  <c r="S346" i="31" s="1"/>
  <c r="R347" i="31"/>
  <c r="R348" i="31"/>
  <c r="S348" i="31" s="1"/>
  <c r="R349" i="31"/>
  <c r="S349" i="31" s="1"/>
  <c r="R350" i="31"/>
  <c r="S350" i="31" s="1"/>
  <c r="R351" i="31"/>
  <c r="R352" i="31"/>
  <c r="S352" i="31" s="1"/>
  <c r="R353" i="31"/>
  <c r="S353" i="31" s="1"/>
  <c r="R354" i="31"/>
  <c r="S354" i="31" s="1"/>
  <c r="R355" i="31"/>
  <c r="R356" i="31"/>
  <c r="S356" i="31" s="1"/>
  <c r="R357" i="31"/>
  <c r="S357" i="31" s="1"/>
  <c r="R358" i="31"/>
  <c r="S358" i="31" s="1"/>
  <c r="R359" i="31"/>
  <c r="R360" i="31"/>
  <c r="S360" i="31" s="1"/>
  <c r="R361" i="31"/>
  <c r="S361" i="31" s="1"/>
  <c r="R362" i="31"/>
  <c r="S362" i="31" s="1"/>
  <c r="R363" i="31"/>
  <c r="R364" i="31"/>
  <c r="S364" i="31" s="1"/>
  <c r="R365" i="31"/>
  <c r="S365" i="31" s="1"/>
  <c r="R366" i="31"/>
  <c r="S366" i="31" s="1"/>
  <c r="R367" i="31"/>
  <c r="R368" i="31"/>
  <c r="S368" i="31" s="1"/>
  <c r="R369" i="31"/>
  <c r="S369" i="31" s="1"/>
  <c r="R370" i="31"/>
  <c r="S370" i="31" s="1"/>
  <c r="R371" i="31"/>
  <c r="R372" i="31"/>
  <c r="S372" i="31" s="1"/>
  <c r="R373" i="31"/>
  <c r="S373" i="31" s="1"/>
  <c r="R374" i="31"/>
  <c r="S374" i="31" s="1"/>
  <c r="R375" i="31"/>
  <c r="R376" i="31"/>
  <c r="S376" i="31" s="1"/>
  <c r="R377" i="31"/>
  <c r="S377" i="31" s="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S393" i="31" s="1"/>
  <c r="R394" i="31"/>
  <c r="S394" i="31" s="1"/>
  <c r="R395" i="31"/>
  <c r="R396" i="31"/>
  <c r="S396" i="31" s="1"/>
  <c r="R397" i="31"/>
  <c r="S397" i="31" s="1"/>
  <c r="R398" i="31"/>
  <c r="S398" i="31" s="1"/>
  <c r="R399" i="31"/>
  <c r="R400" i="31"/>
  <c r="R401" i="31"/>
  <c r="S401" i="31" s="1"/>
  <c r="R402" i="31"/>
  <c r="S402" i="31" s="1"/>
  <c r="R403" i="31"/>
  <c r="R404" i="31"/>
  <c r="S404" i="31" s="1"/>
  <c r="R405" i="31"/>
  <c r="S405" i="31" s="1"/>
  <c r="R406" i="31"/>
  <c r="S406" i="31" s="1"/>
  <c r="R407" i="31"/>
  <c r="R408" i="31"/>
  <c r="S408" i="31" s="1"/>
  <c r="R409" i="31"/>
  <c r="S409" i="31" s="1"/>
  <c r="R410" i="31"/>
  <c r="S410" i="31" s="1"/>
  <c r="R411" i="31"/>
  <c r="R412" i="31"/>
  <c r="S412" i="31" s="1"/>
  <c r="R413" i="31"/>
  <c r="S413" i="31" s="1"/>
  <c r="R414" i="31"/>
  <c r="S414" i="31" s="1"/>
  <c r="R415" i="31"/>
  <c r="R416" i="31"/>
  <c r="S416" i="31" s="1"/>
  <c r="R417" i="31"/>
  <c r="S417" i="31" s="1"/>
  <c r="R418" i="31"/>
  <c r="S418" i="31" s="1"/>
  <c r="R419" i="31"/>
  <c r="R420" i="31"/>
  <c r="S420" i="31" s="1"/>
  <c r="R421" i="31"/>
  <c r="S421" i="31" s="1"/>
  <c r="R422" i="31"/>
  <c r="S422" i="31" s="1"/>
  <c r="R423" i="3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9" i="31"/>
  <c r="S415" i="31"/>
  <c r="S411" i="31"/>
  <c r="S407" i="31"/>
  <c r="S403" i="31"/>
  <c r="S400" i="31"/>
  <c r="S399" i="31"/>
  <c r="S395" i="31"/>
  <c r="S391" i="31"/>
  <c r="S387" i="31"/>
  <c r="S383" i="31"/>
  <c r="S379" i="31"/>
  <c r="S375" i="31"/>
  <c r="S371" i="31"/>
  <c r="S367" i="31"/>
  <c r="S363" i="31"/>
  <c r="S359" i="31"/>
  <c r="S355" i="31"/>
  <c r="S351" i="31"/>
  <c r="S347" i="31"/>
  <c r="S343" i="31"/>
  <c r="S339" i="31"/>
  <c r="S335" i="31"/>
  <c r="S331"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19" i="31"/>
  <c r="S215" i="31"/>
  <c r="S211" i="31"/>
  <c r="S207" i="31"/>
  <c r="S183" i="31"/>
  <c r="S179" i="31"/>
  <c r="S175" i="31"/>
  <c r="S171" i="31"/>
  <c r="S163" i="31"/>
  <c r="S159" i="31"/>
  <c r="S155" i="31"/>
  <c r="S151" i="31"/>
  <c r="S147" i="31"/>
  <c r="S143" i="31"/>
  <c r="S139" i="31"/>
  <c r="S131" i="31"/>
  <c r="S127" i="31"/>
  <c r="S123" i="31"/>
  <c r="S479" i="31"/>
  <c r="S476" i="31"/>
  <c r="S443" i="31"/>
  <c r="S439" i="31"/>
  <c r="S119" i="31"/>
  <c r="S115" i="31"/>
  <c r="S459" i="31"/>
  <c r="S455" i="31"/>
  <c r="S451" i="31"/>
  <c r="S51" i="31"/>
  <c r="S47" i="31"/>
  <c r="S43" i="31"/>
  <c r="S63" i="31"/>
  <c r="S55" i="31"/>
  <c r="S95" i="31"/>
  <c r="S91" i="31"/>
  <c r="S83" i="31"/>
  <c r="S31" i="31"/>
  <c r="S99" i="31"/>
  <c r="S107" i="31"/>
  <c r="S111" i="31"/>
  <c r="S447" i="31"/>
  <c r="S507"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A524" i="3" s="1"/>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J5" i="31" s="1"/>
  <c r="I117" i="39"/>
  <c r="I5" i="31" s="1"/>
  <c r="H117" i="39"/>
  <c r="H5" i="31" s="1"/>
  <c r="G117" i="39"/>
  <c r="G5" i="31" s="1"/>
  <c r="F117" i="39"/>
  <c r="F5" i="31" s="1"/>
  <c r="E117" i="39"/>
  <c r="E5" i="31" s="1"/>
  <c r="D117" i="39"/>
  <c r="D5" i="31" s="1"/>
  <c r="C117" i="39"/>
  <c r="C5" i="31" s="1"/>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B110" i="37"/>
  <c r="J39" i="37" s="1"/>
  <c r="AC39" i="37" s="1"/>
  <c r="B108" i="37"/>
  <c r="F38" i="37" s="1"/>
  <c r="AA38" i="37" s="1"/>
  <c r="C23" i="37"/>
  <c r="C19" i="37"/>
  <c r="C17" i="37"/>
  <c r="C15" i="37"/>
  <c r="B112" i="37"/>
  <c r="D107" i="37"/>
  <c r="E107" i="37"/>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F26" i="37" s="1"/>
  <c r="AA26" i="37" s="1"/>
  <c r="D79" i="37"/>
  <c r="E79" i="37"/>
  <c r="D75" i="37"/>
  <c r="E75" i="37" s="1"/>
  <c r="F75" i="37" s="1"/>
  <c r="D73" i="37"/>
  <c r="E73" i="37"/>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c r="H81" i="36" s="1"/>
  <c r="I81" i="36" s="1"/>
  <c r="J81" i="36" s="1"/>
  <c r="K81" i="36" s="1"/>
  <c r="L81" i="36" s="1"/>
  <c r="M81" i="36" s="1"/>
  <c r="F79" i="36"/>
  <c r="E79" i="36"/>
  <c r="D79" i="36"/>
  <c r="C79" i="36"/>
  <c r="B93" i="36"/>
  <c r="B91" i="36"/>
  <c r="F32" i="36" s="1"/>
  <c r="S32" i="36" s="1"/>
  <c r="B95" i="36"/>
  <c r="F34" i="36" s="1"/>
  <c r="S34" i="36" s="1"/>
  <c r="D83" i="36"/>
  <c r="E83" i="36" s="1"/>
  <c r="F83" i="36" s="1"/>
  <c r="G83" i="36" s="1"/>
  <c r="H83" i="36" s="1"/>
  <c r="I83" i="36" s="1"/>
  <c r="J83" i="36" s="1"/>
  <c r="K83" i="36" s="1"/>
  <c r="L83" i="36" s="1"/>
  <c r="M83" i="36" s="1"/>
  <c r="D78" i="36"/>
  <c r="J26" i="36"/>
  <c r="W26" i="36" s="1"/>
  <c r="B75" i="36"/>
  <c r="B73" i="36"/>
  <c r="H24" i="36" s="1"/>
  <c r="J24" i="36"/>
  <c r="B71" i="36"/>
  <c r="H23" i="36" s="1"/>
  <c r="AB23" i="36" s="1"/>
  <c r="D70" i="36"/>
  <c r="H22" i="36"/>
  <c r="AB22" i="36" s="1"/>
  <c r="D68" i="36"/>
  <c r="E68" i="36"/>
  <c r="D64" i="36"/>
  <c r="E64" i="36" s="1"/>
  <c r="F64" i="36" s="1"/>
  <c r="G64" i="36" s="1"/>
  <c r="J16" i="36"/>
  <c r="D62" i="36"/>
  <c r="E62" i="36" s="1"/>
  <c r="F62" i="36" s="1"/>
  <c r="G62" i="36" s="1"/>
  <c r="B59" i="36"/>
  <c r="B57" i="36"/>
  <c r="B55" i="36"/>
  <c r="F54" i="36"/>
  <c r="G54" i="36" s="1"/>
  <c r="H54" i="36" s="1"/>
  <c r="I54" i="36" s="1"/>
  <c r="J10" i="36"/>
  <c r="C51" i="36"/>
  <c r="J9" i="36" s="1"/>
  <c r="AC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Q25" i="36"/>
  <c r="Z25" i="36"/>
  <c r="Q24" i="36"/>
  <c r="Z24" i="36" s="1"/>
  <c r="AB24" i="36"/>
  <c r="Q23" i="36"/>
  <c r="Z23" i="36" s="1"/>
  <c r="Q22" i="36"/>
  <c r="Z22" i="36" s="1"/>
  <c r="J22" i="36"/>
  <c r="AC22" i="36" s="1"/>
  <c r="Q20" i="36"/>
  <c r="Z20" i="36" s="1"/>
  <c r="Q16" i="36"/>
  <c r="Z16" i="36"/>
  <c r="Q14" i="36"/>
  <c r="Z14" i="36" s="1"/>
  <c r="Q13" i="36"/>
  <c r="Z13" i="36"/>
  <c r="Q12" i="36"/>
  <c r="Z12" i="36" s="1"/>
  <c r="Q11" i="36"/>
  <c r="Z11" i="36" s="1"/>
  <c r="Q10" i="36"/>
  <c r="Z10" i="36" s="1"/>
  <c r="F10" i="36"/>
  <c r="AA10" i="36" s="1"/>
  <c r="Q9" i="36"/>
  <c r="Z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AB27" i="35" s="1"/>
  <c r="F27" i="35"/>
  <c r="AA27" i="35" s="1"/>
  <c r="J22" i="35"/>
  <c r="AC22" i="35" s="1"/>
  <c r="B101" i="35"/>
  <c r="H36" i="35" s="1"/>
  <c r="B99" i="35"/>
  <c r="B97" i="35"/>
  <c r="B77" i="35"/>
  <c r="B75" i="35"/>
  <c r="J24" i="35" s="1"/>
  <c r="AC24" i="35" s="1"/>
  <c r="B73" i="35"/>
  <c r="J23" i="35" s="1"/>
  <c r="AC23" i="35" s="1"/>
  <c r="B57" i="35"/>
  <c r="F11" i="35" s="1"/>
  <c r="S11" i="35" s="1"/>
  <c r="B61" i="35"/>
  <c r="J13" i="35" s="1"/>
  <c r="AC13" i="35" s="1"/>
  <c r="B59" i="35"/>
  <c r="H12" i="35"/>
  <c r="B131" i="34"/>
  <c r="B129" i="34"/>
  <c r="B127" i="34"/>
  <c r="B99" i="34"/>
  <c r="B97" i="34"/>
  <c r="B95" i="34"/>
  <c r="B93" i="34"/>
  <c r="B75" i="34"/>
  <c r="B73" i="34"/>
  <c r="B71" i="34"/>
  <c r="B130" i="33"/>
  <c r="B128" i="33"/>
  <c r="J45" i="33" s="1"/>
  <c r="B126" i="33"/>
  <c r="B98" i="33"/>
  <c r="F31" i="33"/>
  <c r="AA31" i="33" s="1"/>
  <c r="B96" i="33"/>
  <c r="F30" i="33" s="1"/>
  <c r="S30" i="33" s="1"/>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s="1"/>
  <c r="G66" i="35" s="1"/>
  <c r="D64" i="35"/>
  <c r="E64" i="35" s="1"/>
  <c r="F64" i="35" s="1"/>
  <c r="G64" i="35" s="1"/>
  <c r="F56" i="35"/>
  <c r="G56" i="35" s="1"/>
  <c r="H56" i="35"/>
  <c r="I56" i="35" s="1"/>
  <c r="C53" i="35"/>
  <c r="F9" i="35" s="1"/>
  <c r="P39" i="35"/>
  <c r="P38" i="35"/>
  <c r="V37" i="35"/>
  <c r="T37" i="35"/>
  <c r="R37" i="35"/>
  <c r="P37" i="35"/>
  <c r="Q36" i="35"/>
  <c r="Z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F12" i="35"/>
  <c r="AA12" i="35" s="1"/>
  <c r="Q11" i="35"/>
  <c r="Z11" i="35"/>
  <c r="Q10" i="35"/>
  <c r="Z10" i="35" s="1"/>
  <c r="Q9" i="35"/>
  <c r="Z9" i="35"/>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W27" i="34" s="1"/>
  <c r="D88" i="34"/>
  <c r="E88" i="34" s="1"/>
  <c r="F88" i="34" s="1"/>
  <c r="G88" i="34" s="1"/>
  <c r="H88" i="34"/>
  <c r="I88" i="34" s="1"/>
  <c r="J88" i="34" s="1"/>
  <c r="K88" i="34" s="1"/>
  <c r="L88" i="34" s="1"/>
  <c r="M88" i="34" s="1"/>
  <c r="D86" i="34"/>
  <c r="E86" i="34" s="1"/>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c r="Q35" i="34"/>
  <c r="Z35" i="34" s="1"/>
  <c r="Q34" i="34"/>
  <c r="Z34" i="34" s="1"/>
  <c r="J34" i="34"/>
  <c r="H34" i="34"/>
  <c r="AB34" i="34" s="1"/>
  <c r="F34" i="34"/>
  <c r="AA34" i="34"/>
  <c r="Q33" i="34"/>
  <c r="Z33" i="34" s="1"/>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AC9" i="34"/>
  <c r="H9" i="34"/>
  <c r="AB9" i="34" s="1"/>
  <c r="F9" i="34"/>
  <c r="AA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c r="D85" i="33"/>
  <c r="E85" i="33" s="1"/>
  <c r="D81" i="33"/>
  <c r="E81" i="33" s="1"/>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Q39" i="33"/>
  <c r="Z39" i="33" s="1"/>
  <c r="J39" i="33"/>
  <c r="AC39" i="33" s="1"/>
  <c r="Q38" i="33"/>
  <c r="Z38" i="33" s="1"/>
  <c r="J38" i="33"/>
  <c r="AC38" i="33"/>
  <c r="H38" i="33"/>
  <c r="AB38" i="33" s="1"/>
  <c r="F38" i="33"/>
  <c r="S38" i="33" s="1"/>
  <c r="Q37" i="33"/>
  <c r="Z37" i="33" s="1"/>
  <c r="Q36" i="33"/>
  <c r="Z36" i="33"/>
  <c r="Q35" i="33"/>
  <c r="Z35" i="33" s="1"/>
  <c r="H35" i="33"/>
  <c r="AB35" i="33"/>
  <c r="Q34" i="33"/>
  <c r="Z34" i="33" s="1"/>
  <c r="Q33" i="33"/>
  <c r="Z33" i="33"/>
  <c r="J33" i="33"/>
  <c r="H33" i="33"/>
  <c r="AB33" i="33" s="1"/>
  <c r="F33" i="33"/>
  <c r="Q32" i="33"/>
  <c r="Z32" i="33"/>
  <c r="Q31" i="33"/>
  <c r="Z31" i="33" s="1"/>
  <c r="Q30" i="33"/>
  <c r="Z30" i="33"/>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H9" i="33"/>
  <c r="J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H35" i="21" s="1"/>
  <c r="AB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J46" i="21" s="1"/>
  <c r="B128" i="21"/>
  <c r="B126" i="21"/>
  <c r="B98" i="21"/>
  <c r="H31" i="21" s="1"/>
  <c r="B96" i="21"/>
  <c r="H30" i="21" s="1"/>
  <c r="B94" i="21"/>
  <c r="B92" i="21"/>
  <c r="F28" i="21" s="1"/>
  <c r="B90" i="21"/>
  <c r="B74" i="21"/>
  <c r="B72" i="21"/>
  <c r="B70" i="21"/>
  <c r="F12" i="21" s="1"/>
  <c r="AA12" i="21" s="1"/>
  <c r="F10" i="21"/>
  <c r="AA10" i="21" s="1"/>
  <c r="C7" i="2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c r="Q40" i="21"/>
  <c r="Z40" i="21" s="1"/>
  <c r="Q41" i="21"/>
  <c r="Z41" i="21"/>
  <c r="Q42" i="21"/>
  <c r="Z42" i="21" s="1"/>
  <c r="Q43" i="21"/>
  <c r="Z43" i="21" s="1"/>
  <c r="Q44" i="21"/>
  <c r="Z44" i="21"/>
  <c r="Q45" i="21"/>
  <c r="Z45" i="21" s="1"/>
  <c r="Q46" i="21"/>
  <c r="Z46" i="2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U38" i="21" s="1"/>
  <c r="F32" i="21"/>
  <c r="S32" i="21" s="1"/>
  <c r="F38" i="21"/>
  <c r="AA38" i="21" s="1"/>
  <c r="F36" i="21"/>
  <c r="S36" i="21" s="1"/>
  <c r="F39" i="21"/>
  <c r="AA39" i="21" s="1"/>
  <c r="J40" i="21"/>
  <c r="W40" i="21" s="1"/>
  <c r="J8" i="21"/>
  <c r="AC8" i="21" s="1"/>
  <c r="H8" i="21"/>
  <c r="H10" i="21"/>
  <c r="U10" i="21" s="1"/>
  <c r="H39" i="21"/>
  <c r="AB39" i="21" s="1"/>
  <c r="J34" i="21"/>
  <c r="W34" i="21" s="1"/>
  <c r="H36" i="21"/>
  <c r="U36" i="21" s="1"/>
  <c r="J10" i="21"/>
  <c r="AC10" i="21" s="1"/>
  <c r="H26" i="21"/>
  <c r="J12" i="21"/>
  <c r="H12" i="21"/>
  <c r="U12" i="21" s="1"/>
  <c r="J26" i="21"/>
  <c r="W26" i="21" s="1"/>
  <c r="F26" i="21"/>
  <c r="AA26" i="21" s="1"/>
  <c r="AB41" i="21"/>
  <c r="S41" i="21"/>
  <c r="S10" i="39"/>
  <c r="U30" i="37"/>
  <c r="E103" i="37"/>
  <c r="F103" i="37" s="1"/>
  <c r="G103" i="37" s="1"/>
  <c r="H103" i="37" s="1"/>
  <c r="F39" i="37"/>
  <c r="AA39" i="37" s="1"/>
  <c r="S39" i="37"/>
  <c r="W39" i="37"/>
  <c r="F29" i="36"/>
  <c r="AA29" i="36"/>
  <c r="F16" i="36"/>
  <c r="AA16" i="36" s="1"/>
  <c r="U22" i="36"/>
  <c r="AC31" i="36"/>
  <c r="J33" i="36"/>
  <c r="U31" i="35"/>
  <c r="W24" i="35"/>
  <c r="W31" i="35"/>
  <c r="U34" i="35"/>
  <c r="F36" i="34"/>
  <c r="S36" i="34" s="1"/>
  <c r="W9" i="34"/>
  <c r="S34" i="34"/>
  <c r="H39" i="33"/>
  <c r="AB39" i="33" s="1"/>
  <c r="F26" i="33"/>
  <c r="AA26" i="33" s="1"/>
  <c r="U33" i="33"/>
  <c r="W38" i="33"/>
  <c r="H39" i="37"/>
  <c r="AB39" i="37" s="1"/>
  <c r="W10" i="40"/>
  <c r="U11" i="40"/>
  <c r="U36" i="40"/>
  <c r="U36" i="39"/>
  <c r="H32" i="33"/>
  <c r="AB32" i="33" s="1"/>
  <c r="J27" i="36"/>
  <c r="W27" i="36" s="1"/>
  <c r="J30" i="35"/>
  <c r="W30" i="35" s="1"/>
  <c r="F22" i="35"/>
  <c r="S22" i="35" s="1"/>
  <c r="H10" i="35"/>
  <c r="U10" i="35" s="1"/>
  <c r="U24" i="36"/>
  <c r="E85" i="36"/>
  <c r="F85" i="36" s="1"/>
  <c r="G85" i="36" s="1"/>
  <c r="H85" i="36" s="1"/>
  <c r="I85" i="36" s="1"/>
  <c r="J85" i="36" s="1"/>
  <c r="K85" i="36" s="1"/>
  <c r="L85" i="36" s="1"/>
  <c r="M85" i="36" s="1"/>
  <c r="J29" i="36"/>
  <c r="AC29" i="36"/>
  <c r="F12" i="36"/>
  <c r="S12" i="36" s="1"/>
  <c r="F24" i="36"/>
  <c r="AA24" i="36" s="1"/>
  <c r="S10" i="36"/>
  <c r="H16" i="35"/>
  <c r="U16" i="35" s="1"/>
  <c r="H33" i="35"/>
  <c r="AB33" i="35"/>
  <c r="W8" i="35"/>
  <c r="AC8" i="35"/>
  <c r="F35" i="37"/>
  <c r="J34" i="37"/>
  <c r="W34" i="37" s="1"/>
  <c r="H43" i="34"/>
  <c r="H36" i="34"/>
  <c r="U36" i="34"/>
  <c r="F37" i="34"/>
  <c r="AA37" i="34" s="1"/>
  <c r="F33" i="34"/>
  <c r="S33" i="34"/>
  <c r="F19" i="34"/>
  <c r="AA19" i="34" s="1"/>
  <c r="J10" i="34"/>
  <c r="AC10" i="34" s="1"/>
  <c r="U9" i="34"/>
  <c r="W8" i="34"/>
  <c r="J28" i="34"/>
  <c r="AC28" i="34" s="1"/>
  <c r="E113" i="33"/>
  <c r="F113" i="33" s="1"/>
  <c r="G113" i="33" s="1"/>
  <c r="H113" i="33" s="1"/>
  <c r="I113" i="33" s="1"/>
  <c r="J113" i="33" s="1"/>
  <c r="K113" i="33" s="1"/>
  <c r="L113" i="33" s="1"/>
  <c r="M113" i="33" s="1"/>
  <c r="F36" i="33"/>
  <c r="S36" i="33" s="1"/>
  <c r="F19" i="33"/>
  <c r="S19" i="33" s="1"/>
  <c r="J19" i="33"/>
  <c r="AB30" i="36"/>
  <c r="H29" i="35"/>
  <c r="U34" i="37"/>
  <c r="S34" i="37"/>
  <c r="AA34" i="37"/>
  <c r="AC43" i="34"/>
  <c r="AB40" i="34"/>
  <c r="J19" i="34"/>
  <c r="AC19" i="34"/>
  <c r="H37" i="33"/>
  <c r="AB37" i="33" s="1"/>
  <c r="W43" i="34"/>
  <c r="AC42" i="34"/>
  <c r="W42" i="34"/>
  <c r="AA42" i="34"/>
  <c r="AC38" i="34"/>
  <c r="W38" i="34"/>
  <c r="AA38" i="34"/>
  <c r="S38" i="34"/>
  <c r="J37" i="33"/>
  <c r="W37" i="33" s="1"/>
  <c r="J42" i="21"/>
  <c r="W42" i="21" s="1"/>
  <c r="J44" i="34"/>
  <c r="AC44" i="34" s="1"/>
  <c r="F44" i="34"/>
  <c r="S44" i="34"/>
  <c r="J10" i="35"/>
  <c r="W10" i="35" s="1"/>
  <c r="AL5" i="3"/>
  <c r="BQ13" i="3"/>
  <c r="J14" i="21"/>
  <c r="F14" i="21"/>
  <c r="AA14" i="21" s="1"/>
  <c r="H14" i="21"/>
  <c r="U14" i="21" s="1"/>
  <c r="J44" i="21"/>
  <c r="AC44" i="21" s="1"/>
  <c r="H44" i="21"/>
  <c r="U44" i="21" s="1"/>
  <c r="F44" i="21"/>
  <c r="AA44" i="21" s="1"/>
  <c r="H46" i="21"/>
  <c r="AB46" i="21" s="1"/>
  <c r="W46" i="21"/>
  <c r="F46" i="21"/>
  <c r="AA46" i="21" s="1"/>
  <c r="H28" i="33"/>
  <c r="J28" i="33"/>
  <c r="F33" i="35"/>
  <c r="S33" i="35" s="1"/>
  <c r="J33" i="35"/>
  <c r="W33" i="35" s="1"/>
  <c r="F30" i="35"/>
  <c r="AA30" i="35" s="1"/>
  <c r="E89" i="35"/>
  <c r="F89" i="35" s="1"/>
  <c r="G89" i="35" s="1"/>
  <c r="H89" i="35" s="1"/>
  <c r="I89" i="35" s="1"/>
  <c r="J89" i="35" s="1"/>
  <c r="K89" i="35" s="1"/>
  <c r="L89" i="35" s="1"/>
  <c r="M89" i="35" s="1"/>
  <c r="H10" i="36"/>
  <c r="AB10" i="36" s="1"/>
  <c r="F28" i="36"/>
  <c r="S28" i="36"/>
  <c r="F27" i="36"/>
  <c r="S27" i="36" s="1"/>
  <c r="H27" i="21"/>
  <c r="AB27" i="21" s="1"/>
  <c r="J27" i="21"/>
  <c r="W27" i="21" s="1"/>
  <c r="F27" i="21"/>
  <c r="AA27" i="21" s="1"/>
  <c r="J31" i="21"/>
  <c r="AC31" i="21" s="1"/>
  <c r="U31" i="21"/>
  <c r="F31" i="21"/>
  <c r="S31" i="21" s="1"/>
  <c r="J29" i="33"/>
  <c r="W29" i="33"/>
  <c r="J31" i="33"/>
  <c r="AC31" i="33" s="1"/>
  <c r="H31" i="33"/>
  <c r="S31" i="33"/>
  <c r="H28" i="36"/>
  <c r="H32" i="36"/>
  <c r="AB32" i="36" s="1"/>
  <c r="J32" i="36"/>
  <c r="J11" i="36"/>
  <c r="W11" i="36" s="1"/>
  <c r="H13" i="36"/>
  <c r="AB13" i="36" s="1"/>
  <c r="J13" i="36"/>
  <c r="W13" i="36" s="1"/>
  <c r="F13" i="36"/>
  <c r="S13" i="36"/>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W40" i="37" s="1"/>
  <c r="F40" i="37"/>
  <c r="AA40" i="37" s="1"/>
  <c r="H14" i="33"/>
  <c r="U14" i="33"/>
  <c r="F14" i="33"/>
  <c r="AA14" i="33" s="1"/>
  <c r="J14" i="33"/>
  <c r="AC14" i="33" s="1"/>
  <c r="H30" i="33"/>
  <c r="J30" i="33"/>
  <c r="W30" i="33" s="1"/>
  <c r="H44" i="33"/>
  <c r="U44" i="33" s="1"/>
  <c r="J44" i="33"/>
  <c r="AC44" i="33" s="1"/>
  <c r="F44" i="33"/>
  <c r="S44" i="33" s="1"/>
  <c r="J46" i="33"/>
  <c r="AC46" i="33" s="1"/>
  <c r="F46" i="33"/>
  <c r="H46" i="33"/>
  <c r="AB46" i="33"/>
  <c r="J29" i="34"/>
  <c r="AC29" i="34" s="1"/>
  <c r="F29" i="34"/>
  <c r="S29" i="34" s="1"/>
  <c r="H29" i="34"/>
  <c r="U29" i="34" s="1"/>
  <c r="H45" i="34"/>
  <c r="U45" i="34"/>
  <c r="J45" i="34"/>
  <c r="W45" i="34" s="1"/>
  <c r="F45" i="34"/>
  <c r="AA45" i="34" s="1"/>
  <c r="F13" i="35"/>
  <c r="S13" i="35" s="1"/>
  <c r="H13" i="35"/>
  <c r="AB13" i="35" s="1"/>
  <c r="U13" i="35"/>
  <c r="J35" i="35"/>
  <c r="W35" i="35" s="1"/>
  <c r="F35" i="35"/>
  <c r="S35" i="35" s="1"/>
  <c r="H35" i="35"/>
  <c r="U35" i="35" s="1"/>
  <c r="J25" i="36"/>
  <c r="W25" i="36" s="1"/>
  <c r="F25" i="36"/>
  <c r="AA25" i="36"/>
  <c r="H25" i="36"/>
  <c r="AB25" i="36" s="1"/>
  <c r="H13" i="37"/>
  <c r="AB13" i="37"/>
  <c r="F13" i="37"/>
  <c r="S13" i="37" s="1"/>
  <c r="J13" i="37"/>
  <c r="AC13" i="37" s="1"/>
  <c r="F28" i="37"/>
  <c r="AA28" i="37" s="1"/>
  <c r="J28" i="37"/>
  <c r="AC28" i="37"/>
  <c r="H28" i="37"/>
  <c r="U28" i="37" s="1"/>
  <c r="H38" i="37"/>
  <c r="AB38" i="37"/>
  <c r="J38" i="37"/>
  <c r="AC38" i="37" s="1"/>
  <c r="S38" i="37"/>
  <c r="F14" i="37"/>
  <c r="AA14" i="37" s="1"/>
  <c r="F27" i="37"/>
  <c r="S27" i="37" s="1"/>
  <c r="AA27" i="37"/>
  <c r="J14" i="37"/>
  <c r="W14" i="37" s="1"/>
  <c r="J27" i="37"/>
  <c r="W27" i="37"/>
  <c r="W46" i="33"/>
  <c r="J36" i="37"/>
  <c r="AC36" i="37" s="1"/>
  <c r="G105" i="37"/>
  <c r="AB31" i="21"/>
  <c r="S46" i="21"/>
  <c r="AB14" i="21"/>
  <c r="U36" i="37"/>
  <c r="AC13" i="36"/>
  <c r="G529" i="3"/>
  <c r="G521" i="3"/>
  <c r="G517" i="3"/>
  <c r="G513" i="3"/>
  <c r="G508" i="3"/>
  <c r="G499" i="3"/>
  <c r="G493" i="3"/>
  <c r="G485" i="3"/>
  <c r="G17" i="3"/>
  <c r="G565" i="3"/>
  <c r="G561" i="3"/>
  <c r="G557" i="3"/>
  <c r="G549" i="3"/>
  <c r="G545" i="3"/>
  <c r="G539" i="3"/>
  <c r="BL569" i="3"/>
  <c r="BL561" i="3"/>
  <c r="BL553" i="3"/>
  <c r="BL519" i="3"/>
  <c r="BL483" i="3"/>
  <c r="G16" i="3"/>
  <c r="BL563" i="3"/>
  <c r="BL559" i="3"/>
  <c r="BL533" i="3"/>
  <c r="G518" i="3"/>
  <c r="G514" i="3"/>
  <c r="G510" i="3"/>
  <c r="BL485" i="3"/>
  <c r="G18" i="3"/>
  <c r="BA569" i="3"/>
  <c r="AZ569" i="3" s="1"/>
  <c r="BA561" i="3"/>
  <c r="AZ561" i="3"/>
  <c r="BA559" i="3"/>
  <c r="AZ559" i="3" s="1"/>
  <c r="BA545" i="3"/>
  <c r="BA531" i="3"/>
  <c r="BA521" i="3"/>
  <c r="BA509" i="3"/>
  <c r="BA505" i="3"/>
  <c r="BA501" i="3"/>
  <c r="BA19" i="3"/>
  <c r="BA560" i="3"/>
  <c r="BA550" i="3"/>
  <c r="AZ550" i="3" s="1"/>
  <c r="BA540" i="3"/>
  <c r="AZ540" i="3" s="1"/>
  <c r="BA520" i="3"/>
  <c r="BA516" i="3"/>
  <c r="AZ516" i="3" s="1"/>
  <c r="BA512" i="3"/>
  <c r="BA508" i="3"/>
  <c r="BA484" i="3"/>
  <c r="AZ484" i="3" s="1"/>
  <c r="BA20" i="3"/>
  <c r="G566" i="3"/>
  <c r="G562" i="3"/>
  <c r="G560" i="3"/>
  <c r="G558" i="3"/>
  <c r="G556" i="3"/>
  <c r="G550" i="3"/>
  <c r="G546" i="3"/>
  <c r="BL543" i="3"/>
  <c r="AC542" i="3"/>
  <c r="G542" i="3" s="1"/>
  <c r="BQ542" i="3"/>
  <c r="BQ568" i="3"/>
  <c r="BQ566" i="3"/>
  <c r="BQ564" i="3"/>
  <c r="BQ562" i="3"/>
  <c r="BL562" i="3" s="1"/>
  <c r="BQ560" i="3"/>
  <c r="BL560" i="3"/>
  <c r="AZ560" i="3" s="1"/>
  <c r="BQ558" i="3"/>
  <c r="BQ556" i="3"/>
  <c r="BL556" i="3" s="1"/>
  <c r="BQ554" i="3"/>
  <c r="BQ552" i="3"/>
  <c r="BL552" i="3"/>
  <c r="BQ550" i="3"/>
  <c r="BL550" i="3" s="1"/>
  <c r="BQ548" i="3"/>
  <c r="BL548" i="3" s="1"/>
  <c r="AZ548" i="3" s="1"/>
  <c r="BQ546" i="3"/>
  <c r="BQ544" i="3"/>
  <c r="G544" i="3"/>
  <c r="G522" i="3"/>
  <c r="BQ540" i="3"/>
  <c r="BL540" i="3"/>
  <c r="BQ538" i="3"/>
  <c r="BQ536" i="3"/>
  <c r="BQ534" i="3"/>
  <c r="BQ532" i="3"/>
  <c r="BQ530" i="3"/>
  <c r="BQ528" i="3"/>
  <c r="BQ526" i="3"/>
  <c r="BQ524" i="3"/>
  <c r="BQ522" i="3"/>
  <c r="BQ520" i="3"/>
  <c r="BL520" i="3" s="1"/>
  <c r="BQ518" i="3"/>
  <c r="BL518" i="3" s="1"/>
  <c r="BQ516" i="3"/>
  <c r="BL516" i="3"/>
  <c r="BQ514" i="3"/>
  <c r="BL514" i="3" s="1"/>
  <c r="BQ512" i="3"/>
  <c r="BQ510" i="3"/>
  <c r="BL510" i="3"/>
  <c r="BQ508" i="3"/>
  <c r="BL508" i="3" s="1"/>
  <c r="AZ508" i="3" s="1"/>
  <c r="AC506" i="3"/>
  <c r="G506" i="3" s="1"/>
  <c r="BQ506" i="3"/>
  <c r="BL506" i="3" s="1"/>
  <c r="G502" i="3"/>
  <c r="G498" i="3"/>
  <c r="BQ504" i="3"/>
  <c r="BL504" i="3" s="1"/>
  <c r="BQ502" i="3"/>
  <c r="BQ500" i="3"/>
  <c r="BL500" i="3" s="1"/>
  <c r="BQ498" i="3"/>
  <c r="BQ496" i="3"/>
  <c r="AC494" i="3"/>
  <c r="BQ494" i="3"/>
  <c r="G492" i="3"/>
  <c r="G484" i="3"/>
  <c r="G20" i="3"/>
  <c r="BQ492" i="3"/>
  <c r="BQ490" i="3"/>
  <c r="BQ488" i="3"/>
  <c r="BQ486" i="3"/>
  <c r="BQ484" i="3"/>
  <c r="BL484" i="3" s="1"/>
  <c r="BQ482" i="3"/>
  <c r="BL482" i="3"/>
  <c r="BQ20" i="3"/>
  <c r="BL20" i="3" s="1"/>
  <c r="AZ20" i="3" s="1"/>
  <c r="BQ18" i="3"/>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c r="F41" i="34"/>
  <c r="S41" i="34" s="1"/>
  <c r="H41" i="34"/>
  <c r="U41" i="34" s="1"/>
  <c r="J41" i="34"/>
  <c r="W41" i="34" s="1"/>
  <c r="F10" i="35"/>
  <c r="S10" i="35" s="1"/>
  <c r="F24" i="35"/>
  <c r="AA24" i="35" s="1"/>
  <c r="H24" i="35"/>
  <c r="AB24" i="35"/>
  <c r="H23" i="37"/>
  <c r="AB23" i="37" s="1"/>
  <c r="J32" i="37"/>
  <c r="AC32" i="37"/>
  <c r="F36" i="37"/>
  <c r="S36" i="37" s="1"/>
  <c r="F37" i="37"/>
  <c r="AA37" i="37" s="1"/>
  <c r="H42" i="33"/>
  <c r="U42" i="33" s="1"/>
  <c r="J43" i="33"/>
  <c r="AC43" i="33" s="1"/>
  <c r="G79" i="37"/>
  <c r="J23" i="37"/>
  <c r="F17" i="37"/>
  <c r="AA17" i="37" s="1"/>
  <c r="D3" i="21"/>
  <c r="U39" i="37"/>
  <c r="AC8" i="37"/>
  <c r="S25" i="37"/>
  <c r="AB8" i="34"/>
  <c r="AC37" i="33"/>
  <c r="S39" i="33"/>
  <c r="F43" i="33"/>
  <c r="AA43" i="33" s="1"/>
  <c r="AA23" i="37"/>
  <c r="G107" i="37"/>
  <c r="H107" i="37" s="1"/>
  <c r="I107" i="37" s="1"/>
  <c r="J107" i="37" s="1"/>
  <c r="K107" i="37" s="1"/>
  <c r="L107" i="37" s="1"/>
  <c r="M107" i="37" s="1"/>
  <c r="H19" i="34"/>
  <c r="AB19" i="34" s="1"/>
  <c r="J10" i="37"/>
  <c r="W10" i="37" s="1"/>
  <c r="F36" i="35"/>
  <c r="S36" i="35" s="1"/>
  <c r="J9" i="37"/>
  <c r="W9" i="37"/>
  <c r="H9" i="37"/>
  <c r="U9" i="37" s="1"/>
  <c r="F9" i="37"/>
  <c r="S9" i="37" s="1"/>
  <c r="F11" i="37"/>
  <c r="S11" i="37" s="1"/>
  <c r="J12" i="37"/>
  <c r="AC12" i="37"/>
  <c r="H12" i="37"/>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c r="F89" i="40"/>
  <c r="G89" i="40" s="1"/>
  <c r="J21" i="40"/>
  <c r="AC21" i="40"/>
  <c r="S27" i="31"/>
  <c r="G483" i="3"/>
  <c r="G515" i="3"/>
  <c r="G507" i="3"/>
  <c r="G501" i="3"/>
  <c r="BA15" i="3"/>
  <c r="BL17" i="3"/>
  <c r="BL15" i="3"/>
  <c r="BA14" i="3"/>
  <c r="AZ14" i="3" s="1"/>
  <c r="H13" i="40"/>
  <c r="U13" i="40" s="1"/>
  <c r="H12" i="48"/>
  <c r="I4" i="4"/>
  <c r="K141" i="21"/>
  <c r="K143" i="21"/>
  <c r="K144" i="21"/>
  <c r="I58" i="40"/>
  <c r="C58" i="40" s="1"/>
  <c r="I59" i="40"/>
  <c r="C59" i="40" s="1"/>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AZ358" i="3"/>
  <c r="G359" i="3"/>
  <c r="BA360" i="3"/>
  <c r="BA361" i="3"/>
  <c r="AZ361" i="3" s="1"/>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AZ134" i="3" s="1"/>
  <c r="BL135" i="3"/>
  <c r="G136" i="3"/>
  <c r="BA138" i="3"/>
  <c r="AZ138" i="3" s="1"/>
  <c r="BL139" i="3"/>
  <c r="G140" i="3"/>
  <c r="BA142" i="3"/>
  <c r="BL143" i="3"/>
  <c r="G144" i="3"/>
  <c r="BA146" i="3"/>
  <c r="BL147" i="3"/>
  <c r="AZ147" i="3" s="1"/>
  <c r="G148" i="3"/>
  <c r="BA150" i="3"/>
  <c r="BL151" i="3"/>
  <c r="BA153" i="3"/>
  <c r="BL154" i="3"/>
  <c r="G155" i="3"/>
  <c r="BA157" i="3"/>
  <c r="BL158" i="3"/>
  <c r="G159" i="3"/>
  <c r="BA161" i="3"/>
  <c r="BL162" i="3"/>
  <c r="G163" i="3"/>
  <c r="BA165" i="3"/>
  <c r="AZ165" i="3"/>
  <c r="BL166" i="3"/>
  <c r="G167" i="3"/>
  <c r="BA169" i="3"/>
  <c r="BL170" i="3"/>
  <c r="AZ170" i="3" s="1"/>
  <c r="G171" i="3"/>
  <c r="BA173" i="3"/>
  <c r="AZ173" i="3"/>
  <c r="BL174" i="3"/>
  <c r="AZ174" i="3" s="1"/>
  <c r="G175" i="3"/>
  <c r="BA178" i="3"/>
  <c r="BL179" i="3"/>
  <c r="AZ179" i="3" s="1"/>
  <c r="G180" i="3"/>
  <c r="AZ23" i="3"/>
  <c r="G537" i="3"/>
  <c r="BL181" i="3"/>
  <c r="G182" i="3"/>
  <c r="BA184" i="3"/>
  <c r="BL185" i="3"/>
  <c r="G186" i="3"/>
  <c r="BA188" i="3"/>
  <c r="AZ188" i="3" s="1"/>
  <c r="BL189" i="3"/>
  <c r="G190" i="3"/>
  <c r="BA192" i="3"/>
  <c r="BL193" i="3"/>
  <c r="AZ193" i="3" s="1"/>
  <c r="G194" i="3"/>
  <c r="BA196" i="3"/>
  <c r="AZ196" i="3" s="1"/>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BA359" i="3"/>
  <c r="BL359" i="3"/>
  <c r="AZ359" i="3"/>
  <c r="G360" i="3"/>
  <c r="G361" i="3"/>
  <c r="BL362" i="3"/>
  <c r="BA364" i="3"/>
  <c r="AZ364" i="3" s="1"/>
  <c r="BA365" i="3"/>
  <c r="BL365" i="3"/>
  <c r="AZ365" i="3" s="1"/>
  <c r="G366" i="3"/>
  <c r="G369" i="3"/>
  <c r="BL370" i="3"/>
  <c r="BA372" i="3"/>
  <c r="AZ372" i="3" s="1"/>
  <c r="BA373" i="3"/>
  <c r="AZ373" i="3" s="1"/>
  <c r="BL373" i="3"/>
  <c r="G374" i="3"/>
  <c r="G377" i="3"/>
  <c r="BL378" i="3"/>
  <c r="BA380" i="3"/>
  <c r="AZ380" i="3" s="1"/>
  <c r="BA381" i="3"/>
  <c r="AZ381" i="3" s="1"/>
  <c r="BL381" i="3"/>
  <c r="G382" i="3"/>
  <c r="G385" i="3"/>
  <c r="G523" i="3"/>
  <c r="BL297" i="3"/>
  <c r="G298" i="3"/>
  <c r="BA300" i="3"/>
  <c r="BL301" i="3"/>
  <c r="G302" i="3"/>
  <c r="BA304" i="3"/>
  <c r="AZ304" i="3" s="1"/>
  <c r="BL305" i="3"/>
  <c r="G306" i="3"/>
  <c r="BA308" i="3"/>
  <c r="BL309" i="3"/>
  <c r="G310" i="3"/>
  <c r="BA310" i="3"/>
  <c r="AZ310" i="3" s="1"/>
  <c r="BL311" i="3"/>
  <c r="G312" i="3"/>
  <c r="BA312" i="3"/>
  <c r="BL313" i="3"/>
  <c r="G314" i="3"/>
  <c r="BA314" i="3"/>
  <c r="AZ314" i="3" s="1"/>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AZ344" i="3" s="1"/>
  <c r="BL345" i="3"/>
  <c r="G346" i="3"/>
  <c r="BA348" i="3"/>
  <c r="BL349" i="3"/>
  <c r="G350" i="3"/>
  <c r="BA352" i="3"/>
  <c r="BL353" i="3"/>
  <c r="G354" i="3"/>
  <c r="BA356" i="3"/>
  <c r="AZ356" i="3" s="1"/>
  <c r="BL357" i="3"/>
  <c r="AZ357" i="3" s="1"/>
  <c r="G358" i="3"/>
  <c r="BA362" i="3"/>
  <c r="AZ362" i="3" s="1"/>
  <c r="BL363" i="3"/>
  <c r="G364" i="3"/>
  <c r="BA366" i="3"/>
  <c r="BL367" i="3"/>
  <c r="AZ367" i="3" s="1"/>
  <c r="G368" i="3"/>
  <c r="BA370" i="3"/>
  <c r="BL371" i="3"/>
  <c r="G372" i="3"/>
  <c r="BA374" i="3"/>
  <c r="AZ374" i="3" s="1"/>
  <c r="BL375" i="3"/>
  <c r="G376" i="3"/>
  <c r="BA378" i="3"/>
  <c r="BL379" i="3"/>
  <c r="G380" i="3"/>
  <c r="BA382" i="3"/>
  <c r="BL383" i="3"/>
  <c r="G384" i="3"/>
  <c r="H7" i="48"/>
  <c r="F33" i="46"/>
  <c r="H16" i="48"/>
  <c r="H9" i="48"/>
  <c r="H8" i="48"/>
  <c r="C12" i="46"/>
  <c r="AB16" i="35"/>
  <c r="AA13" i="40"/>
  <c r="F77" i="40"/>
  <c r="G77" i="40" s="1"/>
  <c r="H77" i="40" s="1"/>
  <c r="I77" i="40" s="1"/>
  <c r="J77" i="40" s="1"/>
  <c r="K77" i="40" s="1"/>
  <c r="L77" i="40" s="1"/>
  <c r="M77" i="40" s="1"/>
  <c r="R16" i="4"/>
  <c r="P16" i="4"/>
  <c r="D3" i="35"/>
  <c r="G4" i="4"/>
  <c r="J16" i="35"/>
  <c r="W16" i="35" s="1"/>
  <c r="AC26" i="36"/>
  <c r="AZ322" i="3"/>
  <c r="H13" i="39"/>
  <c r="AB13" i="39" s="1"/>
  <c r="F13" i="39"/>
  <c r="S13" i="39" s="1"/>
  <c r="J13" i="39"/>
  <c r="AC13" i="39" s="1"/>
  <c r="AA36" i="35"/>
  <c r="H11" i="37"/>
  <c r="AB11" i="37" s="1"/>
  <c r="W37" i="37"/>
  <c r="AA30" i="33"/>
  <c r="AA36" i="37"/>
  <c r="S42" i="33"/>
  <c r="U32" i="33"/>
  <c r="AC29" i="33"/>
  <c r="AC11" i="36"/>
  <c r="AB45" i="34"/>
  <c r="AC14" i="37"/>
  <c r="W44"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I103" i="37"/>
  <c r="J103" i="37"/>
  <c r="K103" i="37" s="1"/>
  <c r="L103" i="37" s="1"/>
  <c r="M103" i="37" s="1"/>
  <c r="H35" i="37"/>
  <c r="AB35" i="37" s="1"/>
  <c r="AB12" i="21"/>
  <c r="H32" i="21"/>
  <c r="U32" i="21" s="1"/>
  <c r="AB26" i="21"/>
  <c r="U26" i="21"/>
  <c r="J32" i="21"/>
  <c r="AC32" i="21" s="1"/>
  <c r="F40" i="21"/>
  <c r="S40" i="21" s="1"/>
  <c r="H40" i="21"/>
  <c r="AB40" i="21" s="1"/>
  <c r="AA8" i="33"/>
  <c r="S8" i="33"/>
  <c r="H66" i="33"/>
  <c r="F10" i="33"/>
  <c r="AA10" i="33" s="1"/>
  <c r="F11" i="33"/>
  <c r="S11" i="33"/>
  <c r="J15" i="33"/>
  <c r="AC15" i="33" s="1"/>
  <c r="H19" i="33"/>
  <c r="U19" i="33" s="1"/>
  <c r="F32" i="33"/>
  <c r="AA32" i="33" s="1"/>
  <c r="J32" i="33"/>
  <c r="AC32" i="33"/>
  <c r="F35" i="33"/>
  <c r="AA35" i="33" s="1"/>
  <c r="AB39" i="34"/>
  <c r="F11" i="34"/>
  <c r="AA11" i="34" s="1"/>
  <c r="S11" i="34"/>
  <c r="E80" i="34"/>
  <c r="F80" i="34" s="1"/>
  <c r="G80" i="34" s="1"/>
  <c r="H17" i="34"/>
  <c r="AB17" i="34" s="1"/>
  <c r="AC27" i="34"/>
  <c r="S12" i="35"/>
  <c r="AB28" i="35"/>
  <c r="U28" i="35"/>
  <c r="J13" i="33"/>
  <c r="W13" i="33" s="1"/>
  <c r="H13" i="33"/>
  <c r="U13" i="33" s="1"/>
  <c r="H29" i="33"/>
  <c r="AB29" i="33"/>
  <c r="F29" i="33"/>
  <c r="AA29" i="33"/>
  <c r="J12" i="34"/>
  <c r="AC12" i="34" s="1"/>
  <c r="H12" i="34"/>
  <c r="AB12" i="34" s="1"/>
  <c r="F12" i="34"/>
  <c r="S12" i="34"/>
  <c r="J14" i="34"/>
  <c r="W14" i="34" s="1"/>
  <c r="F14" i="34"/>
  <c r="S14" i="34"/>
  <c r="H14" i="34"/>
  <c r="AB14" i="34" s="1"/>
  <c r="H30" i="34"/>
  <c r="AB30" i="34" s="1"/>
  <c r="F30" i="34"/>
  <c r="S30" i="34" s="1"/>
  <c r="J30" i="34"/>
  <c r="W30" i="34"/>
  <c r="H32" i="34"/>
  <c r="AB32" i="34" s="1"/>
  <c r="F32" i="34"/>
  <c r="AA32" i="34"/>
  <c r="J32" i="34"/>
  <c r="W32" i="34" s="1"/>
  <c r="H46" i="34"/>
  <c r="AB46" i="34" s="1"/>
  <c r="F46" i="34"/>
  <c r="AA46" i="34" s="1"/>
  <c r="J46" i="34"/>
  <c r="AC46" i="34"/>
  <c r="H11" i="35"/>
  <c r="U11" i="35" s="1"/>
  <c r="J11" i="35"/>
  <c r="AC11" i="35" s="1"/>
  <c r="H32" i="37"/>
  <c r="AB32" i="37" s="1"/>
  <c r="H19" i="39"/>
  <c r="AB19" i="39" s="1"/>
  <c r="F43" i="39"/>
  <c r="AA43" i="39" s="1"/>
  <c r="H43" i="39"/>
  <c r="U43" i="39" s="1"/>
  <c r="J43" i="39"/>
  <c r="AC43" i="39" s="1"/>
  <c r="F99" i="37"/>
  <c r="G99" i="37" s="1"/>
  <c r="AC27" i="37"/>
  <c r="S45" i="34"/>
  <c r="AC40" i="37"/>
  <c r="S28" i="33"/>
  <c r="S14" i="21"/>
  <c r="AA44" i="34"/>
  <c r="AB29" i="35"/>
  <c r="U29" i="35"/>
  <c r="AC19" i="33"/>
  <c r="W19" i="33"/>
  <c r="U43" i="34"/>
  <c r="AB43" i="34"/>
  <c r="S35" i="37"/>
  <c r="AA35" i="37"/>
  <c r="AB10" i="35"/>
  <c r="BL571" i="3"/>
  <c r="BA571" i="3"/>
  <c r="BL570" i="3"/>
  <c r="F42" i="21"/>
  <c r="AA42" i="21" s="1"/>
  <c r="AB40" i="33"/>
  <c r="U40" i="33"/>
  <c r="AA35" i="34"/>
  <c r="S35" i="34"/>
  <c r="E90" i="34"/>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s="1"/>
  <c r="H33" i="36"/>
  <c r="U33" i="36"/>
  <c r="F33" i="36"/>
  <c r="AA33" i="36" s="1"/>
  <c r="H27" i="36"/>
  <c r="AB27" i="36"/>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S34" i="39" s="1"/>
  <c r="H34" i="39"/>
  <c r="AB34" i="39" s="1"/>
  <c r="J34" i="39"/>
  <c r="AC34" i="39"/>
  <c r="F39" i="39"/>
  <c r="H39" i="39"/>
  <c r="J39" i="39"/>
  <c r="W39" i="39" s="1"/>
  <c r="J29" i="35"/>
  <c r="AC29" i="35" s="1"/>
  <c r="F29" i="35"/>
  <c r="S29" i="35" s="1"/>
  <c r="W30" i="36"/>
  <c r="AC30" i="36"/>
  <c r="F37" i="39"/>
  <c r="S37" i="39" s="1"/>
  <c r="BL568" i="3"/>
  <c r="BA568" i="3"/>
  <c r="AZ568" i="3" s="1"/>
  <c r="BL567" i="3"/>
  <c r="BA567" i="3"/>
  <c r="BL566" i="3"/>
  <c r="BL565" i="3"/>
  <c r="BA564" i="3"/>
  <c r="BA563" i="3"/>
  <c r="AZ563" i="3" s="1"/>
  <c r="BL554" i="3"/>
  <c r="BA553" i="3"/>
  <c r="AZ553" i="3" s="1"/>
  <c r="BA552" i="3"/>
  <c r="AZ552" i="3" s="1"/>
  <c r="BL549" i="3"/>
  <c r="AZ549" i="3" s="1"/>
  <c r="BA549" i="3"/>
  <c r="BA548" i="3"/>
  <c r="BL547" i="3"/>
  <c r="BA547" i="3"/>
  <c r="BL539" i="3"/>
  <c r="BA539" i="3"/>
  <c r="AZ539" i="3" s="1"/>
  <c r="BA538" i="3"/>
  <c r="BL537" i="3"/>
  <c r="BA537" i="3"/>
  <c r="AZ537" i="3" s="1"/>
  <c r="BL536" i="3"/>
  <c r="BA535" i="3"/>
  <c r="BA534" i="3"/>
  <c r="BA533" i="3"/>
  <c r="AZ533" i="3" s="1"/>
  <c r="BL531" i="3"/>
  <c r="BA530" i="3"/>
  <c r="BL529" i="3"/>
  <c r="BA529" i="3"/>
  <c r="BL528" i="3"/>
  <c r="BA527" i="3"/>
  <c r="BA526" i="3"/>
  <c r="BA525" i="3"/>
  <c r="BL523" i="3"/>
  <c r="BA523" i="3"/>
  <c r="AZ523" i="3" s="1"/>
  <c r="BL522" i="3"/>
  <c r="BA522" i="3"/>
  <c r="AZ522" i="3"/>
  <c r="BL521" i="3"/>
  <c r="AZ521" i="3" s="1"/>
  <c r="BA519" i="3"/>
  <c r="AZ519" i="3" s="1"/>
  <c r="BA518" i="3"/>
  <c r="BL517" i="3"/>
  <c r="BA517" i="3"/>
  <c r="AZ517" i="3" s="1"/>
  <c r="BL515" i="3"/>
  <c r="BA515" i="3"/>
  <c r="AZ515" i="3" s="1"/>
  <c r="BA514" i="3"/>
  <c r="AZ514" i="3" s="1"/>
  <c r="BL513" i="3"/>
  <c r="BA513" i="3"/>
  <c r="BL512" i="3"/>
  <c r="AZ512" i="3" s="1"/>
  <c r="BA511" i="3"/>
  <c r="BA510" i="3"/>
  <c r="AZ510" i="3" s="1"/>
  <c r="BL509" i="3"/>
  <c r="AZ509" i="3" s="1"/>
  <c r="BL507" i="3"/>
  <c r="BA507" i="3"/>
  <c r="AZ507" i="3" s="1"/>
  <c r="BA506" i="3"/>
  <c r="BL505" i="3"/>
  <c r="AZ505" i="3" s="1"/>
  <c r="BA504" i="3"/>
  <c r="BA503" i="3"/>
  <c r="BA500" i="3"/>
  <c r="AZ500" i="3" s="1"/>
  <c r="BL499" i="3"/>
  <c r="BA499" i="3"/>
  <c r="BL498" i="3"/>
  <c r="BL497" i="3"/>
  <c r="BA497" i="3"/>
  <c r="BL496" i="3"/>
  <c r="BA496" i="3"/>
  <c r="AZ496" i="3" s="1"/>
  <c r="BA495" i="3"/>
  <c r="BL494" i="3"/>
  <c r="BA494" i="3"/>
  <c r="G494" i="3"/>
  <c r="BA491" i="3"/>
  <c r="BA490" i="3"/>
  <c r="BL489" i="3"/>
  <c r="BA489" i="3"/>
  <c r="AZ489" i="3" s="1"/>
  <c r="BL487" i="3"/>
  <c r="BL486" i="3"/>
  <c r="BA486" i="3"/>
  <c r="BA485" i="3"/>
  <c r="BA483" i="3"/>
  <c r="AZ483" i="3" s="1"/>
  <c r="BA482" i="3"/>
  <c r="AZ482" i="3" s="1"/>
  <c r="BL481" i="3"/>
  <c r="BJ5" i="3"/>
  <c r="BA481" i="3"/>
  <c r="BL19" i="3"/>
  <c r="AZ19" i="3" s="1"/>
  <c r="BA18" i="3"/>
  <c r="F114" i="34"/>
  <c r="G114" i="34"/>
  <c r="H114" i="34" s="1"/>
  <c r="I114" i="34" s="1"/>
  <c r="J114" i="34" s="1"/>
  <c r="K114" i="34" s="1"/>
  <c r="L114" i="34" s="1"/>
  <c r="M114" i="34" s="1"/>
  <c r="H38" i="34"/>
  <c r="AB38" i="34" s="1"/>
  <c r="U38" i="34"/>
  <c r="H30" i="40"/>
  <c r="AB30" i="40" s="1"/>
  <c r="G99" i="40"/>
  <c r="J30" i="40"/>
  <c r="AC30" i="40"/>
  <c r="F38" i="40"/>
  <c r="AA38" i="40" s="1"/>
  <c r="AA36" i="34"/>
  <c r="AC12" i="21"/>
  <c r="W12" i="21"/>
  <c r="U8" i="21"/>
  <c r="AB8" i="21"/>
  <c r="AB8" i="33"/>
  <c r="U8" i="33"/>
  <c r="E106" i="33"/>
  <c r="F106" i="33" s="1"/>
  <c r="G106" i="33" s="1"/>
  <c r="H106" i="33" s="1"/>
  <c r="I106" i="33" s="1"/>
  <c r="J106" i="33" s="1"/>
  <c r="K106" i="33" s="1"/>
  <c r="L106" i="33" s="1"/>
  <c r="M106" i="33" s="1"/>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W20" i="35" s="1"/>
  <c r="E72" i="35"/>
  <c r="F72" i="35" s="1"/>
  <c r="G72" i="35" s="1"/>
  <c r="H22" i="35"/>
  <c r="AB22" i="35" s="1"/>
  <c r="H23" i="35"/>
  <c r="U23" i="35" s="1"/>
  <c r="F23" i="35"/>
  <c r="AA23" i="35" s="1"/>
  <c r="AB36" i="35"/>
  <c r="U36" i="35"/>
  <c r="U31" i="36"/>
  <c r="S8" i="37"/>
  <c r="AA8" i="37"/>
  <c r="F14" i="39"/>
  <c r="AA14" i="39" s="1"/>
  <c r="H14" i="39"/>
  <c r="AB14" i="39"/>
  <c r="J14" i="39"/>
  <c r="F16" i="39"/>
  <c r="AA16" i="39" s="1"/>
  <c r="H16" i="39"/>
  <c r="U16" i="39" s="1"/>
  <c r="J16" i="39"/>
  <c r="AC16" i="39"/>
  <c r="E96" i="39"/>
  <c r="F15" i="40"/>
  <c r="AA15" i="40" s="1"/>
  <c r="J15" i="40"/>
  <c r="H15" i="40"/>
  <c r="U15" i="40" s="1"/>
  <c r="E91" i="40"/>
  <c r="F91" i="40" s="1"/>
  <c r="G91" i="40" s="1"/>
  <c r="H23" i="40"/>
  <c r="AB23" i="40" s="1"/>
  <c r="H41" i="40"/>
  <c r="AB41" i="40"/>
  <c r="F41" i="40"/>
  <c r="S41" i="40" s="1"/>
  <c r="J41" i="40"/>
  <c r="W41" i="40" s="1"/>
  <c r="H36" i="33"/>
  <c r="AB36" i="33" s="1"/>
  <c r="H37" i="34"/>
  <c r="U37" i="34" s="1"/>
  <c r="F15" i="39"/>
  <c r="AA15" i="39"/>
  <c r="H15" i="39"/>
  <c r="U15" i="39" s="1"/>
  <c r="J15" i="39"/>
  <c r="W15" i="39" s="1"/>
  <c r="AC15" i="39"/>
  <c r="H25" i="39"/>
  <c r="AB25" i="39" s="1"/>
  <c r="J25" i="39"/>
  <c r="AC25" i="39" s="1"/>
  <c r="F25" i="39"/>
  <c r="AA25" i="39" s="1"/>
  <c r="F45" i="39"/>
  <c r="AA45" i="39" s="1"/>
  <c r="H45" i="39"/>
  <c r="U45" i="39" s="1"/>
  <c r="J45" i="39"/>
  <c r="AC45" i="39" s="1"/>
  <c r="F47" i="39"/>
  <c r="AA47" i="39" s="1"/>
  <c r="H47" i="39"/>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W34" i="40" s="1"/>
  <c r="H16" i="40"/>
  <c r="AB16" i="40" s="1"/>
  <c r="H14" i="40"/>
  <c r="U14" i="40" s="1"/>
  <c r="F32" i="40"/>
  <c r="AA32" i="40" s="1"/>
  <c r="M1" i="46"/>
  <c r="M6" i="46"/>
  <c r="M10" i="46"/>
  <c r="N2" i="46"/>
  <c r="N5" i="46"/>
  <c r="F58" i="46"/>
  <c r="H61" i="46" s="1"/>
  <c r="N7" i="46"/>
  <c r="AZ244" i="3"/>
  <c r="AZ247" i="3"/>
  <c r="M7" i="46"/>
  <c r="M11" i="46"/>
  <c r="N3" i="46"/>
  <c r="N6" i="46"/>
  <c r="N10" i="46"/>
  <c r="F69" i="46"/>
  <c r="H71" i="46" s="1"/>
  <c r="J13" i="40"/>
  <c r="W13" i="40" s="1"/>
  <c r="S33" i="40"/>
  <c r="AB37" i="34"/>
  <c r="AC41" i="40"/>
  <c r="U41" i="40"/>
  <c r="J23" i="40"/>
  <c r="AC23" i="40" s="1"/>
  <c r="F23" i="40"/>
  <c r="S23" i="40" s="1"/>
  <c r="AB16" i="39"/>
  <c r="H20" i="35"/>
  <c r="U20" i="35" s="1"/>
  <c r="F20" i="35"/>
  <c r="S20" i="35" s="1"/>
  <c r="H15" i="34"/>
  <c r="U15" i="34" s="1"/>
  <c r="AB15" i="34"/>
  <c r="J15" i="34"/>
  <c r="H41" i="33"/>
  <c r="U41" i="33" s="1"/>
  <c r="F30" i="40"/>
  <c r="AA30" i="40" s="1"/>
  <c r="H99" i="40"/>
  <c r="I99" i="40" s="1"/>
  <c r="J99" i="40" s="1"/>
  <c r="K99" i="40" s="1"/>
  <c r="L99" i="40" s="1"/>
  <c r="M99" i="40" s="1"/>
  <c r="AZ486" i="3"/>
  <c r="AZ497" i="3"/>
  <c r="AZ529" i="3"/>
  <c r="AZ547" i="3"/>
  <c r="AA29" i="35"/>
  <c r="AB33" i="36"/>
  <c r="AA11" i="36"/>
  <c r="AA14" i="35"/>
  <c r="S14" i="35"/>
  <c r="F33" i="37"/>
  <c r="AA33" i="37" s="1"/>
  <c r="U46" i="34"/>
  <c r="AC30" i="34"/>
  <c r="AA14" i="34"/>
  <c r="W12" i="34"/>
  <c r="U29" i="33"/>
  <c r="AC13" i="33"/>
  <c r="U17" i="34"/>
  <c r="W32" i="33"/>
  <c r="H15" i="33"/>
  <c r="U15" i="33"/>
  <c r="AA11" i="33"/>
  <c r="AA40" i="21"/>
  <c r="U16" i="40"/>
  <c r="W32" i="40"/>
  <c r="H25" i="40"/>
  <c r="AB25" i="40" s="1"/>
  <c r="F93" i="40"/>
  <c r="G93" i="40"/>
  <c r="J37" i="34"/>
  <c r="AC37" i="34" s="1"/>
  <c r="J36" i="33"/>
  <c r="AC36" i="33" s="1"/>
  <c r="F96" i="39"/>
  <c r="G96" i="39" s="1"/>
  <c r="S16" i="39"/>
  <c r="J34" i="33"/>
  <c r="W34" i="33" s="1"/>
  <c r="U30" i="40"/>
  <c r="W29" i="35"/>
  <c r="AA39" i="39"/>
  <c r="S39" i="39"/>
  <c r="U34" i="39"/>
  <c r="AA33" i="39"/>
  <c r="W14" i="35"/>
  <c r="F90" i="34"/>
  <c r="G90" i="34" s="1"/>
  <c r="H90" i="34" s="1"/>
  <c r="I90" i="34" s="1"/>
  <c r="J90" i="34" s="1"/>
  <c r="K90" i="34" s="1"/>
  <c r="L90" i="34" s="1"/>
  <c r="M90" i="34" s="1"/>
  <c r="F27" i="34"/>
  <c r="S27" i="34" s="1"/>
  <c r="F32" i="37"/>
  <c r="S32" i="37" s="1"/>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AC16" i="35"/>
  <c r="AC13" i="40"/>
  <c r="J11" i="34"/>
  <c r="AC11" i="34" s="1"/>
  <c r="S17" i="34"/>
  <c r="F25" i="40"/>
  <c r="AA25" i="40" s="1"/>
  <c r="J11" i="33"/>
  <c r="AC11" i="33" s="1"/>
  <c r="H33" i="37"/>
  <c r="AB33" i="37"/>
  <c r="AP11" i="1"/>
  <c r="B11" i="1"/>
  <c r="E11" i="1" s="1"/>
  <c r="K11" i="1"/>
  <c r="M11" i="1" s="1"/>
  <c r="B9" i="1"/>
  <c r="E9" i="1" s="1"/>
  <c r="K9" i="1"/>
  <c r="M9" i="1" s="1"/>
  <c r="B7" i="1"/>
  <c r="E7" i="1" s="1"/>
  <c r="K7" i="1"/>
  <c r="M7" i="1" s="1"/>
  <c r="F6" i="1"/>
  <c r="AP6" i="1" s="1"/>
  <c r="G11" i="1"/>
  <c r="AC25" i="36"/>
  <c r="S8" i="36"/>
  <c r="AA26" i="36"/>
  <c r="AA28" i="36"/>
  <c r="U25" i="36"/>
  <c r="H20" i="36"/>
  <c r="U20" i="36" s="1"/>
  <c r="F68" i="36"/>
  <c r="G68" i="36"/>
  <c r="J20" i="36"/>
  <c r="AC20" i="36" s="1"/>
  <c r="F20" i="36"/>
  <c r="S20" i="36"/>
  <c r="J14" i="36"/>
  <c r="H14" i="36"/>
  <c r="AB14" i="36" s="1"/>
  <c r="F14" i="36"/>
  <c r="AA14" i="36" s="1"/>
  <c r="U27" i="36"/>
  <c r="U32" i="36"/>
  <c r="S33" i="36"/>
  <c r="AA27" i="36"/>
  <c r="S16" i="36"/>
  <c r="S29" i="36"/>
  <c r="AC33" i="35"/>
  <c r="U22" i="35"/>
  <c r="AA13" i="35"/>
  <c r="S8" i="35"/>
  <c r="U33" i="35"/>
  <c r="AB14" i="35"/>
  <c r="AC10" i="35"/>
  <c r="W13" i="35"/>
  <c r="AC18" i="35"/>
  <c r="W18" i="35"/>
  <c r="U18" i="35"/>
  <c r="AB18" i="35"/>
  <c r="S30" i="35"/>
  <c r="AA35" i="35"/>
  <c r="AB30" i="35"/>
  <c r="S27" i="35"/>
  <c r="S28" i="35"/>
  <c r="J26" i="35"/>
  <c r="F26" i="35"/>
  <c r="S26" i="35" s="1"/>
  <c r="H26" i="35"/>
  <c r="AB9" i="37"/>
  <c r="W12" i="37"/>
  <c r="AA9" i="37"/>
  <c r="S17" i="37"/>
  <c r="W28" i="37"/>
  <c r="AB37" i="37"/>
  <c r="AA31" i="37"/>
  <c r="S33" i="37"/>
  <c r="U32" i="37"/>
  <c r="AA32" i="37"/>
  <c r="J33" i="37"/>
  <c r="W33" i="37" s="1"/>
  <c r="H99" i="37"/>
  <c r="I99" i="37"/>
  <c r="J99" i="37" s="1"/>
  <c r="K99" i="37" s="1"/>
  <c r="L99" i="37" s="1"/>
  <c r="M99" i="37" s="1"/>
  <c r="S29" i="37"/>
  <c r="J19" i="37"/>
  <c r="AC19" i="37" s="1"/>
  <c r="G75" i="37"/>
  <c r="F19" i="37"/>
  <c r="AA19" i="37" s="1"/>
  <c r="H19" i="37"/>
  <c r="J17" i="37"/>
  <c r="AC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A33" i="34"/>
  <c r="U44" i="34"/>
  <c r="U34" i="34"/>
  <c r="U28" i="34"/>
  <c r="AA27" i="34"/>
  <c r="J25" i="34"/>
  <c r="W25" i="34" s="1"/>
  <c r="H25" i="34"/>
  <c r="F25" i="34"/>
  <c r="J23" i="34"/>
  <c r="AC23" i="34" s="1"/>
  <c r="F86" i="34"/>
  <c r="G86" i="34" s="1"/>
  <c r="F23" i="34"/>
  <c r="H23" i="34"/>
  <c r="U23" i="34" s="1"/>
  <c r="W17" i="34"/>
  <c r="U11" i="34"/>
  <c r="W10" i="34"/>
  <c r="U10" i="34"/>
  <c r="W37" i="34"/>
  <c r="AC40" i="34"/>
  <c r="W44" i="34"/>
  <c r="W19" i="34"/>
  <c r="W29" i="34"/>
  <c r="AC21" i="34"/>
  <c r="W21" i="34"/>
  <c r="AB21" i="34"/>
  <c r="U21" i="34"/>
  <c r="U27" i="34"/>
  <c r="U19" i="34"/>
  <c r="AB41" i="34"/>
  <c r="AA41" i="34"/>
  <c r="S9" i="34"/>
  <c r="S10" i="34"/>
  <c r="U39" i="33"/>
  <c r="U37" i="33"/>
  <c r="S35" i="33"/>
  <c r="AB11" i="33"/>
  <c r="U36" i="33"/>
  <c r="S29" i="33"/>
  <c r="W31" i="33"/>
  <c r="W43" i="33"/>
  <c r="U46" i="33"/>
  <c r="W39" i="33"/>
  <c r="U35" i="33"/>
  <c r="AB26" i="33"/>
  <c r="H25" i="33"/>
  <c r="AB25" i="33" s="1"/>
  <c r="J25" i="33"/>
  <c r="W25" i="33" s="1"/>
  <c r="F87" i="33"/>
  <c r="G87" i="33" s="1"/>
  <c r="H87" i="33" s="1"/>
  <c r="I87" i="33" s="1"/>
  <c r="J87" i="33" s="1"/>
  <c r="K87" i="33" s="1"/>
  <c r="L87" i="33" s="1"/>
  <c r="M87" i="33" s="1"/>
  <c r="F25" i="33"/>
  <c r="F85" i="33"/>
  <c r="G85" i="33" s="1"/>
  <c r="J23" i="33"/>
  <c r="AC23" i="33" s="1"/>
  <c r="F23" i="33"/>
  <c r="H23" i="33"/>
  <c r="U23" i="33" s="1"/>
  <c r="F79" i="33"/>
  <c r="G79" i="33" s="1"/>
  <c r="F17" i="33"/>
  <c r="H17" i="33"/>
  <c r="J17" i="33"/>
  <c r="AC17" i="33" s="1"/>
  <c r="AB15" i="33"/>
  <c r="S10" i="33"/>
  <c r="S14" i="33"/>
  <c r="AC21" i="33"/>
  <c r="W21" i="33"/>
  <c r="W14" i="33"/>
  <c r="AB10" i="33"/>
  <c r="AB21" i="33"/>
  <c r="U21" i="33"/>
  <c r="AA21" i="33"/>
  <c r="S21" i="33"/>
  <c r="AA44" i="33"/>
  <c r="AA36" i="33"/>
  <c r="S44" i="21"/>
  <c r="AC46" i="21"/>
  <c r="AC26" i="21"/>
  <c r="F15" i="21"/>
  <c r="S15" i="21" s="1"/>
  <c r="F77" i="21"/>
  <c r="G77" i="21" s="1"/>
  <c r="J15" i="21"/>
  <c r="W15" i="21" s="1"/>
  <c r="W44" i="21"/>
  <c r="AB21" i="21"/>
  <c r="U21" i="21"/>
  <c r="AA31" i="21"/>
  <c r="U33" i="40"/>
  <c r="S35" i="40"/>
  <c r="S14" i="40"/>
  <c r="S15" i="40"/>
  <c r="AB13" i="40"/>
  <c r="S16" i="40"/>
  <c r="W11" i="40"/>
  <c r="AA21" i="40"/>
  <c r="U21" i="40"/>
  <c r="W25" i="40"/>
  <c r="U25" i="40"/>
  <c r="F37" i="40"/>
  <c r="S37" i="40" s="1"/>
  <c r="J37" i="40"/>
  <c r="AC37" i="40" s="1"/>
  <c r="H37" i="40"/>
  <c r="U37" i="40" s="1"/>
  <c r="G112" i="40"/>
  <c r="H112" i="40"/>
  <c r="I112" i="40" s="1"/>
  <c r="J112" i="40" s="1"/>
  <c r="K112" i="40" s="1"/>
  <c r="L112" i="40" s="1"/>
  <c r="M112" i="40" s="1"/>
  <c r="F39" i="40"/>
  <c r="AA39" i="40" s="1"/>
  <c r="S38" i="40"/>
  <c r="H39" i="40"/>
  <c r="AB39" i="40" s="1"/>
  <c r="J39" i="40"/>
  <c r="W38" i="40"/>
  <c r="F29" i="40"/>
  <c r="S29" i="40" s="1"/>
  <c r="H29" i="40"/>
  <c r="J29" i="40"/>
  <c r="S30" i="40"/>
  <c r="AA23" i="40"/>
  <c r="F87" i="40"/>
  <c r="G87" i="40" s="1"/>
  <c r="F19" i="40"/>
  <c r="AA19" i="40" s="1"/>
  <c r="H19" i="40"/>
  <c r="J19" i="40"/>
  <c r="W19" i="40" s="1"/>
  <c r="W17" i="40"/>
  <c r="AC17" i="40"/>
  <c r="F17" i="40"/>
  <c r="AA17" i="40" s="1"/>
  <c r="H17" i="40"/>
  <c r="U17" i="40" s="1"/>
  <c r="W21" i="40"/>
  <c r="AB40" i="40"/>
  <c r="U10" i="40"/>
  <c r="U27" i="40"/>
  <c r="AB27" i="40"/>
  <c r="S11" i="39"/>
  <c r="AB45" i="39"/>
  <c r="AA21" i="39"/>
  <c r="S14" i="39"/>
  <c r="AB15" i="39"/>
  <c r="U11" i="39"/>
  <c r="S38" i="39"/>
  <c r="D18" i="9"/>
  <c r="M44" i="9" s="1"/>
  <c r="M43" i="9"/>
  <c r="D96" i="9"/>
  <c r="BA16" i="3"/>
  <c r="BA17" i="3"/>
  <c r="AZ17" i="3"/>
  <c r="F3" i="35"/>
  <c r="K1" i="43"/>
  <c r="K1" i="12"/>
  <c r="G1" i="44"/>
  <c r="G3" i="46"/>
  <c r="G22" i="46" s="1"/>
  <c r="AZ15" i="3"/>
  <c r="BK5" i="3"/>
  <c r="BO5" i="3"/>
  <c r="BN5" i="3"/>
  <c r="BL18" i="3"/>
  <c r="AZ18" i="3" s="1"/>
  <c r="BC5" i="3"/>
  <c r="BD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c r="A4" i="64"/>
  <c r="A4" i="51"/>
  <c r="B6" i="63" s="1"/>
  <c r="C51" i="10"/>
  <c r="A9" i="51" s="1"/>
  <c r="B9" i="63" s="1"/>
  <c r="I100" i="46"/>
  <c r="C24" i="46"/>
  <c r="N100" i="46"/>
  <c r="H100" i="46"/>
  <c r="F108" i="46"/>
  <c r="H80" i="46"/>
  <c r="E100" i="46"/>
  <c r="G100" i="46"/>
  <c r="H84" i="46"/>
  <c r="C100" i="46"/>
  <c r="J100" i="46"/>
  <c r="M100" i="46"/>
  <c r="AA12" i="36"/>
  <c r="U12" i="35"/>
  <c r="AB12" i="35"/>
  <c r="W11" i="35"/>
  <c r="AA11" i="35"/>
  <c r="S14" i="37"/>
  <c r="U13" i="37"/>
  <c r="C24" i="9"/>
  <c r="C25" i="9"/>
  <c r="I20" i="46"/>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32" i="36"/>
  <c r="U13" i="36"/>
  <c r="AA22" i="36"/>
  <c r="U10" i="36"/>
  <c r="AA13" i="36"/>
  <c r="W29" i="36"/>
  <c r="W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A29" i="34"/>
  <c r="S19" i="34"/>
  <c r="S8" i="34"/>
  <c r="AA19" i="33"/>
  <c r="AC25" i="33"/>
  <c r="S43" i="33"/>
  <c r="AB42" i="33"/>
  <c r="AB14" i="33"/>
  <c r="S26" i="33"/>
  <c r="S15" i="33"/>
  <c r="W25" i="21"/>
  <c r="AA25" i="21"/>
  <c r="U27" i="21"/>
  <c r="W31" i="21"/>
  <c r="S27" i="21"/>
  <c r="AC27" i="21"/>
  <c r="G95" i="40"/>
  <c r="J27" i="40"/>
  <c r="W27" i="40" s="1"/>
  <c r="W30" i="40"/>
  <c r="S34" i="40"/>
  <c r="U38" i="40"/>
  <c r="S40" i="40"/>
  <c r="S42" i="40"/>
  <c r="G104" i="39"/>
  <c r="J31" i="39"/>
  <c r="W31" i="39" s="1"/>
  <c r="S45" i="39"/>
  <c r="AC46" i="39"/>
  <c r="W42"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AB18" i="36"/>
  <c r="U26" i="35"/>
  <c r="AB26" i="35"/>
  <c r="W26" i="35"/>
  <c r="AC26" i="35"/>
  <c r="S19" i="37"/>
  <c r="W19" i="37"/>
  <c r="AB19" i="37"/>
  <c r="U19" i="37"/>
  <c r="W17" i="37"/>
  <c r="U25" i="34"/>
  <c r="AB25" i="34"/>
  <c r="AA25" i="34"/>
  <c r="S25" i="34"/>
  <c r="AC25" i="34"/>
  <c r="AB23" i="34"/>
  <c r="AA23" i="34"/>
  <c r="S23" i="34"/>
  <c r="W23" i="34"/>
  <c r="AA25" i="33"/>
  <c r="S25" i="33"/>
  <c r="AB23" i="33"/>
  <c r="S23" i="33"/>
  <c r="AA23" i="33"/>
  <c r="AA17" i="33"/>
  <c r="S17" i="33"/>
  <c r="U17" i="33"/>
  <c r="AB17" i="33"/>
  <c r="U39" i="40"/>
  <c r="AC39" i="40"/>
  <c r="W39" i="40"/>
  <c r="S39" i="40"/>
  <c r="AB37" i="40"/>
  <c r="AA37" i="40"/>
  <c r="U29" i="40"/>
  <c r="AB29" i="40"/>
  <c r="AC29" i="40"/>
  <c r="W29" i="40"/>
  <c r="AA29" i="40"/>
  <c r="AC19" i="40"/>
  <c r="S19" i="40"/>
  <c r="AB19" i="40"/>
  <c r="U19" i="40"/>
  <c r="AT6" i="3"/>
  <c r="E4" i="4"/>
  <c r="B21" i="55" s="1"/>
  <c r="B72" i="63" s="1"/>
  <c r="C4" i="4"/>
  <c r="B20" i="55" s="1"/>
  <c r="B70" i="63" s="1"/>
  <c r="J18" i="36"/>
  <c r="W18" i="36" s="1"/>
  <c r="AE6" i="1"/>
  <c r="AC18" i="36"/>
  <c r="AG6" i="1"/>
  <c r="L20" i="6"/>
  <c r="S9" i="1"/>
  <c r="R9" i="1"/>
  <c r="C45" i="9"/>
  <c r="N76" i="9"/>
  <c r="C46" i="9"/>
  <c r="O41" i="9" s="1"/>
  <c r="R8" i="54" s="1"/>
  <c r="B54" i="63" s="1"/>
  <c r="H58" i="46"/>
  <c r="J17" i="46"/>
  <c r="C17" i="46"/>
  <c r="F34" i="46"/>
  <c r="F38" i="46"/>
  <c r="F37" i="46"/>
  <c r="H113" i="46"/>
  <c r="H49" i="46"/>
  <c r="H53" i="46"/>
  <c r="D24" i="59"/>
  <c r="C23" i="59"/>
  <c r="C22" i="59" s="1"/>
  <c r="D23" i="59"/>
  <c r="F24" i="59"/>
  <c r="F23" i="59"/>
  <c r="F22" i="59" s="1"/>
  <c r="F21" i="59" s="1"/>
  <c r="Y23" i="59"/>
  <c r="Z23" i="59"/>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E22" i="46"/>
  <c r="H60" i="46"/>
  <c r="H59" i="46"/>
  <c r="H74" i="46"/>
  <c r="H65" i="46"/>
  <c r="H75" i="46"/>
  <c r="H72" i="46"/>
  <c r="H69" i="46"/>
  <c r="H77" i="46"/>
  <c r="H76" i="46"/>
  <c r="H55" i="46"/>
  <c r="H54" i="46"/>
  <c r="H52" i="46"/>
  <c r="H47" i="46"/>
  <c r="AD12" i="46"/>
  <c r="AH12" i="46"/>
  <c r="B22" i="59"/>
  <c r="B21" i="59" s="1"/>
  <c r="G20" i="46"/>
  <c r="E41" i="46" s="1"/>
  <c r="C41" i="46" s="1"/>
  <c r="S2" i="46"/>
  <c r="B14" i="67"/>
  <c r="J17" i="44"/>
  <c r="F11" i="44"/>
  <c r="F13" i="15"/>
  <c r="M22" i="15"/>
  <c r="F11" i="67"/>
  <c r="L47" i="15"/>
  <c r="F40" i="44"/>
  <c r="N5" i="65"/>
  <c r="L48" i="15"/>
  <c r="M9" i="15"/>
  <c r="F38" i="15"/>
  <c r="N6" i="65"/>
  <c r="M28" i="44"/>
  <c r="M25" i="44"/>
  <c r="B13" i="67"/>
  <c r="F42" i="15"/>
  <c r="F13" i="67"/>
  <c r="B10" i="67"/>
  <c r="N4" i="65"/>
  <c r="F9" i="15"/>
  <c r="F36" i="15"/>
  <c r="N3" i="65"/>
  <c r="M10" i="44"/>
  <c r="F26" i="15"/>
  <c r="E14" i="67"/>
  <c r="M23" i="15"/>
  <c r="M8" i="15"/>
  <c r="F9" i="44"/>
  <c r="F10" i="67"/>
  <c r="F28" i="44"/>
  <c r="M6" i="15"/>
  <c r="B12" i="67"/>
  <c r="M27" i="15"/>
  <c r="F8" i="15"/>
  <c r="M29" i="15"/>
  <c r="F37" i="15"/>
  <c r="F6" i="15"/>
  <c r="E12" i="67"/>
  <c r="E11" i="67"/>
  <c r="J4" i="65"/>
  <c r="F9" i="67"/>
  <c r="F43" i="44"/>
  <c r="E10" i="67"/>
  <c r="F8" i="67"/>
  <c r="F12" i="67"/>
  <c r="F16" i="15"/>
  <c r="F43" i="15"/>
  <c r="M29" i="44"/>
  <c r="B8" i="67"/>
  <c r="B11" i="67"/>
  <c r="F14" i="67"/>
  <c r="N7" i="65"/>
  <c r="J15" i="15"/>
  <c r="E8" i="67"/>
  <c r="B9" i="67"/>
  <c r="E9" i="67"/>
  <c r="M24" i="15"/>
  <c r="E13" i="67"/>
  <c r="F38" i="44"/>
  <c r="M26" i="15"/>
  <c r="F39" i="44"/>
  <c r="M24" i="44"/>
  <c r="S25" i="40" l="1"/>
  <c r="AC35" i="33"/>
  <c r="S15" i="34"/>
  <c r="H14" i="66"/>
  <c r="B7" i="66" s="1"/>
  <c r="O40" i="9"/>
  <c r="K31" i="9" s="1"/>
  <c r="K32" i="9" s="1"/>
  <c r="AB39" i="39"/>
  <c r="U39" i="39"/>
  <c r="AC45" i="33"/>
  <c r="W45" i="33"/>
  <c r="AC14" i="39"/>
  <c r="W14" i="39"/>
  <c r="S13" i="33"/>
  <c r="AA13" i="33"/>
  <c r="W15" i="34"/>
  <c r="AC15" i="34"/>
  <c r="AC15" i="40"/>
  <c r="W15" i="40"/>
  <c r="F29" i="6"/>
  <c r="AZ16" i="3"/>
  <c r="AB47" i="39"/>
  <c r="U47" i="39"/>
  <c r="AA28" i="34"/>
  <c r="S28" i="34"/>
  <c r="AA9" i="35"/>
  <c r="S9" i="35"/>
  <c r="AZ481" i="3"/>
  <c r="AZ571" i="3"/>
  <c r="AB19" i="33"/>
  <c r="AA10" i="35"/>
  <c r="AA22" i="35"/>
  <c r="F11" i="21"/>
  <c r="F43" i="21"/>
  <c r="BA570" i="3"/>
  <c r="J26" i="33"/>
  <c r="H45" i="33"/>
  <c r="AZ520" i="3"/>
  <c r="AB31" i="33"/>
  <c r="U31" i="33"/>
  <c r="E108" i="21"/>
  <c r="F108" i="21" s="1"/>
  <c r="G108" i="21" s="1"/>
  <c r="H108" i="21" s="1"/>
  <c r="I108" i="21" s="1"/>
  <c r="J108" i="21" s="1"/>
  <c r="K108" i="21" s="1"/>
  <c r="L108" i="21" s="1"/>
  <c r="M108" i="21" s="1"/>
  <c r="F35" i="21"/>
  <c r="AA35" i="21" s="1"/>
  <c r="AZ307" i="3"/>
  <c r="AZ114" i="3"/>
  <c r="AB44" i="33"/>
  <c r="AZ531" i="3"/>
  <c r="AC35" i="35"/>
  <c r="W28" i="34"/>
  <c r="BL572" i="3"/>
  <c r="AC39" i="34"/>
  <c r="W39" i="34"/>
  <c r="U27" i="35"/>
  <c r="G511" i="3"/>
  <c r="AZ324" i="3"/>
  <c r="AA46" i="33"/>
  <c r="S46" i="33"/>
  <c r="AC33" i="36"/>
  <c r="W33" i="36"/>
  <c r="BP5" i="3"/>
  <c r="G29" i="6" s="1"/>
  <c r="E29" i="6" s="1"/>
  <c r="BG5" i="3"/>
  <c r="C58" i="21"/>
  <c r="D58" i="21" s="1"/>
  <c r="E58" i="21" s="1"/>
  <c r="I7" i="21"/>
  <c r="G7" i="21"/>
  <c r="E7" i="21"/>
  <c r="H9" i="35"/>
  <c r="J9" i="35"/>
  <c r="BL558" i="3"/>
  <c r="BA555" i="3"/>
  <c r="W33" i="39"/>
  <c r="J29" i="39"/>
  <c r="AC29" i="39" s="1"/>
  <c r="W40" i="40"/>
  <c r="AZ511" i="3"/>
  <c r="AB15" i="37"/>
  <c r="AZ370" i="3"/>
  <c r="AZ323" i="3"/>
  <c r="W23" i="35"/>
  <c r="F30" i="21"/>
  <c r="J11" i="21"/>
  <c r="W11" i="21" s="1"/>
  <c r="J35" i="21"/>
  <c r="W35" i="21" s="1"/>
  <c r="F9" i="36"/>
  <c r="BA498" i="3"/>
  <c r="AZ498" i="3" s="1"/>
  <c r="H15" i="21"/>
  <c r="U15" i="21" s="1"/>
  <c r="S16" i="35"/>
  <c r="W23" i="40"/>
  <c r="W11" i="34"/>
  <c r="AC16" i="40"/>
  <c r="AB14" i="40"/>
  <c r="AZ485" i="3"/>
  <c r="AZ506" i="3"/>
  <c r="AZ518" i="3"/>
  <c r="AC30" i="33"/>
  <c r="S37" i="34"/>
  <c r="AZ366" i="3"/>
  <c r="AZ321" i="3"/>
  <c r="AZ343" i="3"/>
  <c r="AZ298" i="3"/>
  <c r="AZ504" i="3"/>
  <c r="F45" i="33"/>
  <c r="H11" i="21"/>
  <c r="U11" i="21" s="1"/>
  <c r="W22" i="36"/>
  <c r="H9" i="36"/>
  <c r="BL511" i="3"/>
  <c r="F34" i="15"/>
  <c r="F61" i="15" s="1"/>
  <c r="F34" i="75"/>
  <c r="F61" i="75" s="1"/>
  <c r="M20" i="75"/>
  <c r="W33" i="40"/>
  <c r="AC32" i="34"/>
  <c r="S23" i="35"/>
  <c r="AB46" i="39"/>
  <c r="AA34" i="33"/>
  <c r="U42" i="40"/>
  <c r="AB23" i="35"/>
  <c r="AZ494" i="3"/>
  <c r="AZ513" i="3"/>
  <c r="AB17" i="37"/>
  <c r="AZ378" i="3"/>
  <c r="AZ352" i="3"/>
  <c r="AZ327" i="3"/>
  <c r="AB43" i="33"/>
  <c r="U23" i="37"/>
  <c r="AB44" i="21"/>
  <c r="AB8" i="36"/>
  <c r="U38" i="33"/>
  <c r="H43" i="21"/>
  <c r="J43" i="21"/>
  <c r="AC43" i="21" s="1"/>
  <c r="F23" i="36"/>
  <c r="AA41" i="33"/>
  <c r="AB34" i="40"/>
  <c r="AZ499" i="3"/>
  <c r="AZ567" i="3"/>
  <c r="H29" i="39"/>
  <c r="U29" i="39" s="1"/>
  <c r="AZ570" i="3"/>
  <c r="AB35" i="35"/>
  <c r="AZ339" i="3"/>
  <c r="AZ135" i="3"/>
  <c r="U31" i="37"/>
  <c r="H19" i="21"/>
  <c r="AB19" i="21" s="1"/>
  <c r="AA38" i="33"/>
  <c r="W12" i="35"/>
  <c r="AC12" i="35"/>
  <c r="J23" i="36"/>
  <c r="AZ389" i="3"/>
  <c r="H26" i="37"/>
  <c r="G406" i="3"/>
  <c r="BA423" i="3"/>
  <c r="AZ423" i="3" s="1"/>
  <c r="BL423" i="3"/>
  <c r="BL424" i="3"/>
  <c r="G426" i="3"/>
  <c r="BL433" i="3"/>
  <c r="BA441" i="3"/>
  <c r="AZ441" i="3" s="1"/>
  <c r="G445" i="3"/>
  <c r="BL445" i="3"/>
  <c r="BA464" i="3"/>
  <c r="AZ464" i="3" s="1"/>
  <c r="BA465" i="3"/>
  <c r="BA480" i="3"/>
  <c r="BA400" i="3"/>
  <c r="AZ400" i="3" s="1"/>
  <c r="BA401" i="3"/>
  <c r="AZ401" i="3" s="1"/>
  <c r="BL430" i="3"/>
  <c r="BL443" i="3"/>
  <c r="BA461" i="3"/>
  <c r="BA462" i="3"/>
  <c r="BL467" i="3"/>
  <c r="G468" i="3"/>
  <c r="BL468" i="3"/>
  <c r="BL302" i="3"/>
  <c r="AZ302" i="3" s="1"/>
  <c r="BA319" i="3"/>
  <c r="AZ319" i="3" s="1"/>
  <c r="BL326" i="3"/>
  <c r="AZ326" i="3" s="1"/>
  <c r="BL366" i="3"/>
  <c r="BA368" i="3"/>
  <c r="BA369" i="3"/>
  <c r="AZ369" i="3" s="1"/>
  <c r="BA386" i="3"/>
  <c r="BL490" i="3"/>
  <c r="AZ490" i="3" s="1"/>
  <c r="BL530" i="3"/>
  <c r="AZ530" i="3" s="1"/>
  <c r="U29" i="36"/>
  <c r="H25" i="37"/>
  <c r="G534" i="3"/>
  <c r="G528" i="3"/>
  <c r="G504" i="3"/>
  <c r="BL502" i="3"/>
  <c r="G490" i="3"/>
  <c r="BL403" i="3"/>
  <c r="BA415" i="3"/>
  <c r="AZ415" i="3" s="1"/>
  <c r="BA416" i="3"/>
  <c r="G538" i="3"/>
  <c r="K145" i="21"/>
  <c r="BA395" i="3"/>
  <c r="BA396" i="3"/>
  <c r="G399" i="3"/>
  <c r="G400" i="3"/>
  <c r="G402" i="3"/>
  <c r="G421" i="3"/>
  <c r="BA459" i="3"/>
  <c r="BL461" i="3"/>
  <c r="G463" i="3"/>
  <c r="BA472" i="3"/>
  <c r="BA477" i="3"/>
  <c r="AZ477" i="3" s="1"/>
  <c r="BA313" i="3"/>
  <c r="AZ313" i="3" s="1"/>
  <c r="BL386" i="3"/>
  <c r="BL387" i="3"/>
  <c r="G388" i="3"/>
  <c r="AZ258" i="3"/>
  <c r="BR5" i="3"/>
  <c r="BL398" i="3"/>
  <c r="BA411" i="3"/>
  <c r="BA414" i="3"/>
  <c r="AZ414" i="3" s="1"/>
  <c r="BL415" i="3"/>
  <c r="BL419" i="3"/>
  <c r="BL420" i="3"/>
  <c r="BA446" i="3"/>
  <c r="BA457" i="3"/>
  <c r="AZ384" i="3"/>
  <c r="AZ29" i="3"/>
  <c r="BB5" i="3"/>
  <c r="E8" i="6" s="1"/>
  <c r="BA390" i="3"/>
  <c r="AZ390" i="3" s="1"/>
  <c r="BL393" i="3"/>
  <c r="BL394" i="3"/>
  <c r="AZ394" i="3" s="1"/>
  <c r="G397" i="3"/>
  <c r="BA406" i="3"/>
  <c r="BA409" i="3"/>
  <c r="AZ409" i="3" s="1"/>
  <c r="BL412" i="3"/>
  <c r="AZ412" i="3" s="1"/>
  <c r="G418" i="3"/>
  <c r="BA431" i="3"/>
  <c r="AZ431" i="3" s="1"/>
  <c r="BA432" i="3"/>
  <c r="BA433" i="3"/>
  <c r="BL434" i="3"/>
  <c r="BL459" i="3"/>
  <c r="BL460" i="3"/>
  <c r="BA469" i="3"/>
  <c r="AZ469" i="3" s="1"/>
  <c r="BL472" i="3"/>
  <c r="G474" i="3"/>
  <c r="BA311" i="3"/>
  <c r="AZ311" i="3" s="1"/>
  <c r="G564" i="3"/>
  <c r="G551" i="3"/>
  <c r="G512" i="3"/>
  <c r="G503" i="3"/>
  <c r="G496" i="3"/>
  <c r="G389" i="3"/>
  <c r="BL389" i="3"/>
  <c r="BL390" i="3"/>
  <c r="BL391" i="3"/>
  <c r="AZ391" i="3" s="1"/>
  <c r="G393" i="3"/>
  <c r="G394" i="3"/>
  <c r="BL395" i="3"/>
  <c r="BA444" i="3"/>
  <c r="G447" i="3"/>
  <c r="BL471" i="3"/>
  <c r="G472" i="3"/>
  <c r="BA335" i="3"/>
  <c r="BL348" i="3"/>
  <c r="AZ348" i="3" s="1"/>
  <c r="G548" i="3"/>
  <c r="G535" i="3"/>
  <c r="G505" i="3"/>
  <c r="BL392" i="3"/>
  <c r="AZ392" i="3" s="1"/>
  <c r="BA421" i="3"/>
  <c r="AZ421" i="3" s="1"/>
  <c r="BL426" i="3"/>
  <c r="BL427" i="3"/>
  <c r="BA429" i="3"/>
  <c r="AZ429" i="3" s="1"/>
  <c r="BA452" i="3"/>
  <c r="BL479" i="3"/>
  <c r="BA375" i="3"/>
  <c r="AZ375" i="3" s="1"/>
  <c r="BL382" i="3"/>
  <c r="AZ382" i="3" s="1"/>
  <c r="BA207" i="3"/>
  <c r="BA426" i="3"/>
  <c r="AZ426" i="3" s="1"/>
  <c r="BA436" i="3"/>
  <c r="AZ436" i="3" s="1"/>
  <c r="BL446" i="3"/>
  <c r="G448" i="3"/>
  <c r="BA467" i="3"/>
  <c r="AZ467" i="3" s="1"/>
  <c r="BL475" i="3"/>
  <c r="G476" i="3"/>
  <c r="BA301" i="3"/>
  <c r="AZ301" i="3" s="1"/>
  <c r="BA315" i="3"/>
  <c r="AZ315" i="3" s="1"/>
  <c r="BL316" i="3"/>
  <c r="AZ316" i="3" s="1"/>
  <c r="BA325" i="3"/>
  <c r="AZ325" i="3" s="1"/>
  <c r="G341" i="3"/>
  <c r="BA349" i="3"/>
  <c r="AZ349" i="3" s="1"/>
  <c r="BA371" i="3"/>
  <c r="AZ371" i="3" s="1"/>
  <c r="BA385" i="3"/>
  <c r="AZ385" i="3" s="1"/>
  <c r="BA387" i="3"/>
  <c r="AZ387" i="3" s="1"/>
  <c r="BA205" i="3"/>
  <c r="AZ205" i="3" s="1"/>
  <c r="BA209" i="3"/>
  <c r="AZ209" i="3" s="1"/>
  <c r="BA211" i="3"/>
  <c r="AZ211" i="3" s="1"/>
  <c r="BA213" i="3"/>
  <c r="AZ213" i="3" s="1"/>
  <c r="BA217" i="3"/>
  <c r="AZ217" i="3" s="1"/>
  <c r="BA219" i="3"/>
  <c r="AZ219" i="3" s="1"/>
  <c r="BA221" i="3"/>
  <c r="AZ221" i="3" s="1"/>
  <c r="BA225" i="3"/>
  <c r="AZ225" i="3" s="1"/>
  <c r="BA227" i="3"/>
  <c r="AZ227" i="3" s="1"/>
  <c r="BA229" i="3"/>
  <c r="AZ229" i="3" s="1"/>
  <c r="BA233" i="3"/>
  <c r="AZ233" i="3" s="1"/>
  <c r="BA235" i="3"/>
  <c r="AZ235" i="3" s="1"/>
  <c r="BA237" i="3"/>
  <c r="AZ237" i="3" s="1"/>
  <c r="BA238" i="3"/>
  <c r="AZ238" i="3" s="1"/>
  <c r="BA241" i="3"/>
  <c r="AZ241" i="3" s="1"/>
  <c r="BA243" i="3"/>
  <c r="AZ243" i="3" s="1"/>
  <c r="BA245" i="3"/>
  <c r="BA246" i="3"/>
  <c r="AZ246" i="3" s="1"/>
  <c r="BA249" i="3"/>
  <c r="AZ249" i="3" s="1"/>
  <c r="BA252" i="3"/>
  <c r="AZ252" i="3" s="1"/>
  <c r="BL255" i="3"/>
  <c r="AZ255" i="3" s="1"/>
  <c r="G257" i="3"/>
  <c r="G258" i="3"/>
  <c r="BL258" i="3"/>
  <c r="BL260" i="3"/>
  <c r="AZ260" i="3" s="1"/>
  <c r="BL263" i="3"/>
  <c r="BL265" i="3"/>
  <c r="BA282" i="3"/>
  <c r="AZ282" i="3" s="1"/>
  <c r="BA287" i="3"/>
  <c r="AZ287" i="3" s="1"/>
  <c r="BA291" i="3"/>
  <c r="BL294" i="3"/>
  <c r="AZ294" i="3" s="1"/>
  <c r="BA123" i="3"/>
  <c r="AZ123" i="3" s="1"/>
  <c r="BL126" i="3"/>
  <c r="AZ126" i="3" s="1"/>
  <c r="BA137" i="3"/>
  <c r="AZ137" i="3" s="1"/>
  <c r="BA140" i="3"/>
  <c r="AZ140" i="3" s="1"/>
  <c r="AZ30" i="3"/>
  <c r="BL47" i="3"/>
  <c r="G94" i="3"/>
  <c r="AZ111" i="3"/>
  <c r="BA337" i="3"/>
  <c r="AZ337" i="3" s="1"/>
  <c r="BL351" i="3"/>
  <c r="AZ351" i="3" s="1"/>
  <c r="BL384" i="3"/>
  <c r="BA388" i="3"/>
  <c r="AZ388" i="3" s="1"/>
  <c r="BL207" i="3"/>
  <c r="G209" i="3"/>
  <c r="BA212" i="3"/>
  <c r="AZ212" i="3" s="1"/>
  <c r="BL215" i="3"/>
  <c r="AZ215" i="3" s="1"/>
  <c r="G217" i="3"/>
  <c r="BA220" i="3"/>
  <c r="AZ220" i="3" s="1"/>
  <c r="BL223" i="3"/>
  <c r="AZ223" i="3" s="1"/>
  <c r="G225" i="3"/>
  <c r="BA228" i="3"/>
  <c r="AZ228" i="3" s="1"/>
  <c r="BL231" i="3"/>
  <c r="AZ231" i="3" s="1"/>
  <c r="G233" i="3"/>
  <c r="BA236" i="3"/>
  <c r="AZ236" i="3" s="1"/>
  <c r="BL239" i="3"/>
  <c r="AZ239" i="3" s="1"/>
  <c r="G241" i="3"/>
  <c r="BL256" i="3"/>
  <c r="BL259" i="3"/>
  <c r="BA276" i="3"/>
  <c r="BA280" i="3"/>
  <c r="AZ280" i="3" s="1"/>
  <c r="G282" i="3"/>
  <c r="BA285" i="3"/>
  <c r="AZ285" i="3" s="1"/>
  <c r="BA286" i="3"/>
  <c r="AZ286" i="3" s="1"/>
  <c r="BA288" i="3"/>
  <c r="AZ288" i="3" s="1"/>
  <c r="BA290" i="3"/>
  <c r="G293" i="3"/>
  <c r="G294" i="3"/>
  <c r="G296" i="3"/>
  <c r="BL113" i="3"/>
  <c r="BL141" i="3"/>
  <c r="BL142" i="3"/>
  <c r="AZ142" i="3" s="1"/>
  <c r="BA149" i="3"/>
  <c r="BA159" i="3"/>
  <c r="G164" i="3"/>
  <c r="BA172" i="3"/>
  <c r="BL180" i="3"/>
  <c r="BA26" i="3"/>
  <c r="AZ26" i="3" s="1"/>
  <c r="BA41" i="3"/>
  <c r="BA42" i="3"/>
  <c r="BA55" i="3"/>
  <c r="G68" i="3"/>
  <c r="BL75" i="3"/>
  <c r="BL93" i="3"/>
  <c r="BL242" i="3"/>
  <c r="G247" i="3"/>
  <c r="BL248" i="3"/>
  <c r="BL251" i="3"/>
  <c r="BL253" i="3"/>
  <c r="BL254" i="3"/>
  <c r="BL264" i="3"/>
  <c r="BA268" i="3"/>
  <c r="AZ268" i="3" s="1"/>
  <c r="BA272" i="3"/>
  <c r="BA275" i="3"/>
  <c r="BA278" i="3"/>
  <c r="BL283" i="3"/>
  <c r="BL289" i="3"/>
  <c r="BL292" i="3"/>
  <c r="BL293" i="3"/>
  <c r="BL120" i="3"/>
  <c r="BL122" i="3"/>
  <c r="AZ122" i="3" s="1"/>
  <c r="BL163" i="3"/>
  <c r="C48" i="59"/>
  <c r="D48" i="59" s="1"/>
  <c r="D47" i="59"/>
  <c r="BL206" i="3"/>
  <c r="BL214" i="3"/>
  <c r="BL222" i="3"/>
  <c r="BL230" i="3"/>
  <c r="BL237" i="3"/>
  <c r="BL238" i="3"/>
  <c r="BL243" i="3"/>
  <c r="BL245" i="3"/>
  <c r="BL246" i="3"/>
  <c r="BL287" i="3"/>
  <c r="BL291" i="3"/>
  <c r="BA117" i="3"/>
  <c r="BA128" i="3"/>
  <c r="BA131" i="3"/>
  <c r="AZ131" i="3" s="1"/>
  <c r="BL140" i="3"/>
  <c r="BL161" i="3"/>
  <c r="AZ161" i="3" s="1"/>
  <c r="BL172" i="3"/>
  <c r="G467" i="3"/>
  <c r="BA479" i="3"/>
  <c r="AZ479" i="3" s="1"/>
  <c r="BA297" i="3"/>
  <c r="AZ297" i="3" s="1"/>
  <c r="BL312" i="3"/>
  <c r="AZ312" i="3" s="1"/>
  <c r="BA321" i="3"/>
  <c r="BL334" i="3"/>
  <c r="BL335" i="3"/>
  <c r="BL368" i="3"/>
  <c r="G381" i="3"/>
  <c r="BA266" i="3"/>
  <c r="BL269" i="3"/>
  <c r="BL273" i="3"/>
  <c r="AZ273" i="3" s="1"/>
  <c r="BL274" i="3"/>
  <c r="AZ274" i="3" s="1"/>
  <c r="BL280" i="3"/>
  <c r="G119" i="3"/>
  <c r="BL121" i="3"/>
  <c r="BA127" i="3"/>
  <c r="AZ127" i="3" s="1"/>
  <c r="BL130" i="3"/>
  <c r="AZ130" i="3" s="1"/>
  <c r="G133" i="3"/>
  <c r="BL133" i="3"/>
  <c r="BA135" i="3"/>
  <c r="G149" i="3"/>
  <c r="BA155" i="3"/>
  <c r="AZ155" i="3" s="1"/>
  <c r="BL157" i="3"/>
  <c r="AZ157" i="3" s="1"/>
  <c r="BL159" i="3"/>
  <c r="G161" i="3"/>
  <c r="BL171" i="3"/>
  <c r="BA204" i="3"/>
  <c r="G25" i="3"/>
  <c r="BA39" i="3"/>
  <c r="AZ39" i="3" s="1"/>
  <c r="BA49" i="3"/>
  <c r="AZ49" i="3" s="1"/>
  <c r="BA70" i="3"/>
  <c r="AZ70" i="3" s="1"/>
  <c r="AZ73" i="3"/>
  <c r="BA399" i="3"/>
  <c r="AZ399" i="3" s="1"/>
  <c r="BA402" i="3"/>
  <c r="AZ402" i="3" s="1"/>
  <c r="BA403" i="3"/>
  <c r="BA404" i="3"/>
  <c r="AZ404" i="3" s="1"/>
  <c r="G412" i="3"/>
  <c r="G414" i="3"/>
  <c r="G415" i="3"/>
  <c r="BA448" i="3"/>
  <c r="AZ448" i="3" s="1"/>
  <c r="BA450" i="3"/>
  <c r="BL454" i="3"/>
  <c r="AZ454" i="3" s="1"/>
  <c r="BL456" i="3"/>
  <c r="AZ456" i="3" s="1"/>
  <c r="BA478" i="3"/>
  <c r="BL308" i="3"/>
  <c r="AZ308" i="3" s="1"/>
  <c r="BA318" i="3"/>
  <c r="BL332" i="3"/>
  <c r="AZ332" i="3" s="1"/>
  <c r="BA341" i="3"/>
  <c r="AZ341" i="3" s="1"/>
  <c r="G370" i="3"/>
  <c r="G379" i="3"/>
  <c r="BA265" i="3"/>
  <c r="AZ265" i="3" s="1"/>
  <c r="G23" i="3"/>
  <c r="BA35" i="3"/>
  <c r="BA36" i="3"/>
  <c r="AZ36" i="3" s="1"/>
  <c r="BA37" i="3"/>
  <c r="AZ37" i="3" s="1"/>
  <c r="BA51" i="3"/>
  <c r="AZ51" i="3" s="1"/>
  <c r="BL88" i="3"/>
  <c r="BL97" i="3"/>
  <c r="C45" i="59"/>
  <c r="D44" i="59"/>
  <c r="BA397" i="3"/>
  <c r="AZ397" i="3" s="1"/>
  <c r="BA398" i="3"/>
  <c r="G405" i="3"/>
  <c r="BL405" i="3"/>
  <c r="G407" i="3"/>
  <c r="G409" i="3"/>
  <c r="BL410" i="3"/>
  <c r="BL411" i="3"/>
  <c r="AZ411" i="3" s="1"/>
  <c r="BL414" i="3"/>
  <c r="BA447" i="3"/>
  <c r="BL452" i="3"/>
  <c r="G453" i="3"/>
  <c r="BL453" i="3"/>
  <c r="BL455" i="3"/>
  <c r="G459" i="3"/>
  <c r="BA475" i="3"/>
  <c r="AZ475" i="3" s="1"/>
  <c r="BL306" i="3"/>
  <c r="AZ306" i="3" s="1"/>
  <c r="BA317" i="3"/>
  <c r="AZ317" i="3" s="1"/>
  <c r="BL330" i="3"/>
  <c r="AZ330" i="3" s="1"/>
  <c r="BL376" i="3"/>
  <c r="AZ376" i="3" s="1"/>
  <c r="BL270" i="3"/>
  <c r="AZ270" i="3" s="1"/>
  <c r="BA296" i="3"/>
  <c r="BA113" i="3"/>
  <c r="BA115" i="3"/>
  <c r="AZ115" i="3" s="1"/>
  <c r="G117" i="3"/>
  <c r="BA125" i="3"/>
  <c r="BL144" i="3"/>
  <c r="BL146" i="3"/>
  <c r="AZ146" i="3" s="1"/>
  <c r="G170" i="3"/>
  <c r="BA182" i="3"/>
  <c r="BL187" i="3"/>
  <c r="G191" i="3"/>
  <c r="BA203" i="3"/>
  <c r="AZ203" i="3" s="1"/>
  <c r="BL406" i="3"/>
  <c r="BL407" i="3"/>
  <c r="BA422" i="3"/>
  <c r="BA424" i="3"/>
  <c r="AZ424" i="3" s="1"/>
  <c r="BA425" i="3"/>
  <c r="BA427" i="3"/>
  <c r="BA434" i="3"/>
  <c r="AZ434" i="3" s="1"/>
  <c r="BA435" i="3"/>
  <c r="BA437" i="3"/>
  <c r="AZ437" i="3" s="1"/>
  <c r="BA442" i="3"/>
  <c r="G449" i="3"/>
  <c r="BL449" i="3"/>
  <c r="AZ449" i="3" s="1"/>
  <c r="G451" i="3"/>
  <c r="BA470" i="3"/>
  <c r="BA473" i="3"/>
  <c r="BL476" i="3"/>
  <c r="BL477" i="3"/>
  <c r="BL480" i="3"/>
  <c r="BL319" i="3"/>
  <c r="BA350" i="3"/>
  <c r="G363" i="3"/>
  <c r="BA383" i="3"/>
  <c r="AZ383" i="3" s="1"/>
  <c r="BA208" i="3"/>
  <c r="BA216" i="3"/>
  <c r="BA224" i="3"/>
  <c r="BA232" i="3"/>
  <c r="BA240" i="3"/>
  <c r="BA248" i="3"/>
  <c r="BA250" i="3"/>
  <c r="BA251" i="3"/>
  <c r="AZ251" i="3" s="1"/>
  <c r="BA253" i="3"/>
  <c r="AZ253" i="3" s="1"/>
  <c r="BA254" i="3"/>
  <c r="AZ254" i="3" s="1"/>
  <c r="BA262" i="3"/>
  <c r="AZ262" i="3" s="1"/>
  <c r="G266" i="3"/>
  <c r="BA281" i="3"/>
  <c r="BA292" i="3"/>
  <c r="AZ292" i="3" s="1"/>
  <c r="BA293" i="3"/>
  <c r="BL114" i="3"/>
  <c r="BL116" i="3"/>
  <c r="BA124" i="3"/>
  <c r="AZ124" i="3" s="1"/>
  <c r="BA143" i="3"/>
  <c r="AZ143" i="3" s="1"/>
  <c r="BA162" i="3"/>
  <c r="AZ162" i="3" s="1"/>
  <c r="BA163" i="3"/>
  <c r="BL164" i="3"/>
  <c r="AZ164" i="3" s="1"/>
  <c r="BL169" i="3"/>
  <c r="AZ169" i="3" s="1"/>
  <c r="BA180" i="3"/>
  <c r="BA181" i="3"/>
  <c r="AZ181" i="3" s="1"/>
  <c r="BA185" i="3"/>
  <c r="AZ185" i="3" s="1"/>
  <c r="BL191" i="3"/>
  <c r="BA32" i="3"/>
  <c r="AZ32" i="3" s="1"/>
  <c r="BA33" i="3"/>
  <c r="BA34" i="3"/>
  <c r="AZ34" i="3" s="1"/>
  <c r="BA43" i="3"/>
  <c r="AZ43" i="3" s="1"/>
  <c r="BL46" i="3"/>
  <c r="BL57" i="3"/>
  <c r="BL63" i="3"/>
  <c r="BA76" i="3"/>
  <c r="BA84" i="3"/>
  <c r="AZ84" i="3" s="1"/>
  <c r="BL267" i="3"/>
  <c r="BL118" i="3"/>
  <c r="AZ118" i="3" s="1"/>
  <c r="G122" i="3"/>
  <c r="BA136" i="3"/>
  <c r="G143" i="3"/>
  <c r="G145" i="3"/>
  <c r="BL150" i="3"/>
  <c r="AZ150" i="3" s="1"/>
  <c r="G153" i="3"/>
  <c r="BL194" i="3"/>
  <c r="AZ194" i="3" s="1"/>
  <c r="BA47" i="3"/>
  <c r="BL65" i="3"/>
  <c r="BL67" i="3"/>
  <c r="G69" i="3"/>
  <c r="G70" i="3"/>
  <c r="BL73" i="3"/>
  <c r="BA75" i="3"/>
  <c r="AZ75" i="3" s="1"/>
  <c r="BA77" i="3"/>
  <c r="BA79" i="3"/>
  <c r="AZ79" i="3" s="1"/>
  <c r="BA82" i="3"/>
  <c r="AZ82" i="3" s="1"/>
  <c r="G87" i="3"/>
  <c r="G88" i="3"/>
  <c r="G90" i="3"/>
  <c r="BL92" i="3"/>
  <c r="G96" i="3"/>
  <c r="G97" i="3"/>
  <c r="G99" i="3"/>
  <c r="BL99" i="3"/>
  <c r="BL104" i="3"/>
  <c r="BL107" i="3"/>
  <c r="BL111" i="3"/>
  <c r="S18" i="36"/>
  <c r="D76" i="59"/>
  <c r="D77" i="59"/>
  <c r="Y26" i="59"/>
  <c r="Z26" i="59" s="1"/>
  <c r="B57" i="59"/>
  <c r="S57" i="59" s="1"/>
  <c r="B72" i="59"/>
  <c r="B71" i="59" s="1"/>
  <c r="AC12" i="46"/>
  <c r="X24" i="59"/>
  <c r="BA21" i="3"/>
  <c r="BA22" i="3"/>
  <c r="AZ22" i="3" s="1"/>
  <c r="BA24" i="3"/>
  <c r="AZ24" i="3" s="1"/>
  <c r="BA44" i="3"/>
  <c r="AZ44" i="3" s="1"/>
  <c r="BA45" i="3"/>
  <c r="AZ45" i="3" s="1"/>
  <c r="BA46" i="3"/>
  <c r="AZ46" i="3" s="1"/>
  <c r="BA48" i="3"/>
  <c r="AZ48" i="3" s="1"/>
  <c r="BA50" i="3"/>
  <c r="BL68" i="3"/>
  <c r="BL69" i="3"/>
  <c r="BL71" i="3"/>
  <c r="G79" i="3"/>
  <c r="G82" i="3"/>
  <c r="BL84" i="3"/>
  <c r="G86" i="3"/>
  <c r="BL86" i="3"/>
  <c r="BL87" i="3"/>
  <c r="BL95" i="3"/>
  <c r="BL96" i="3"/>
  <c r="BL101" i="3"/>
  <c r="O69" i="59"/>
  <c r="Y31" i="59"/>
  <c r="Z31" i="59" s="1"/>
  <c r="F72" i="59"/>
  <c r="F71" i="59" s="1"/>
  <c r="AE12" i="46"/>
  <c r="E24" i="59"/>
  <c r="E23" i="59" s="1"/>
  <c r="E22" i="59" s="1"/>
  <c r="E21" i="59" s="1"/>
  <c r="K76" i="9"/>
  <c r="X28" i="59"/>
  <c r="BL55" i="3"/>
  <c r="BA57" i="3"/>
  <c r="BL77" i="3"/>
  <c r="P27" i="6"/>
  <c r="C79" i="59"/>
  <c r="D79" i="59" s="1"/>
  <c r="X30" i="59"/>
  <c r="AB31" i="59"/>
  <c r="AB33" i="59"/>
  <c r="E48" i="59"/>
  <c r="E49" i="59" s="1"/>
  <c r="U49" i="59" s="1"/>
  <c r="BL167" i="3"/>
  <c r="AZ167" i="3" s="1"/>
  <c r="G169" i="3"/>
  <c r="G177" i="3"/>
  <c r="BL178" i="3"/>
  <c r="AZ178" i="3" s="1"/>
  <c r="BL184" i="3"/>
  <c r="AZ184" i="3" s="1"/>
  <c r="BA201" i="3"/>
  <c r="AZ201" i="3" s="1"/>
  <c r="G203" i="3"/>
  <c r="G21" i="3"/>
  <c r="BL22" i="3"/>
  <c r="BL24" i="3"/>
  <c r="BL26" i="3"/>
  <c r="BA31" i="3"/>
  <c r="AZ31" i="3" s="1"/>
  <c r="G36" i="3"/>
  <c r="G37" i="3"/>
  <c r="BL38" i="3"/>
  <c r="AZ38" i="3" s="1"/>
  <c r="BL40" i="3"/>
  <c r="AZ40" i="3" s="1"/>
  <c r="G42" i="3"/>
  <c r="G43" i="3"/>
  <c r="BL44" i="3"/>
  <c r="BL45" i="3"/>
  <c r="BL50" i="3"/>
  <c r="BL52" i="3"/>
  <c r="G54" i="3"/>
  <c r="G55" i="3"/>
  <c r="G57" i="3"/>
  <c r="BA59" i="3"/>
  <c r="BA60" i="3"/>
  <c r="AZ60" i="3" s="1"/>
  <c r="BA62" i="3"/>
  <c r="BA102" i="3"/>
  <c r="E72" i="59"/>
  <c r="E71" i="59" s="1"/>
  <c r="E67" i="59"/>
  <c r="A26" i="51"/>
  <c r="B19" i="63" s="1"/>
  <c r="X15" i="59"/>
  <c r="BL29" i="3"/>
  <c r="BL35" i="3"/>
  <c r="BL36" i="3"/>
  <c r="BL41" i="3"/>
  <c r="BL42" i="3"/>
  <c r="BL53" i="3"/>
  <c r="BL54" i="3"/>
  <c r="BL56" i="3"/>
  <c r="AZ56" i="3" s="1"/>
  <c r="BL58" i="3"/>
  <c r="BA63" i="3"/>
  <c r="AZ63" i="3" s="1"/>
  <c r="BA65" i="3"/>
  <c r="BA89" i="3"/>
  <c r="BA92" i="3"/>
  <c r="AZ92" i="3" s="1"/>
  <c r="BA99" i="3"/>
  <c r="AZ99" i="3" s="1"/>
  <c r="BA106" i="3"/>
  <c r="BA107" i="3"/>
  <c r="BA108" i="3"/>
  <c r="AZ108" i="3" s="1"/>
  <c r="E32" i="59"/>
  <c r="E33" i="59" s="1"/>
  <c r="U33" i="59" s="1"/>
  <c r="AA37" i="59"/>
  <c r="E60" i="59"/>
  <c r="E61" i="59" s="1"/>
  <c r="U61" i="59" s="1"/>
  <c r="B28" i="59"/>
  <c r="BA256" i="3"/>
  <c r="BA259" i="3"/>
  <c r="BA263" i="3"/>
  <c r="AZ263" i="3" s="1"/>
  <c r="BL266" i="3"/>
  <c r="G268" i="3"/>
  <c r="BL268" i="3"/>
  <c r="G271" i="3"/>
  <c r="G273" i="3"/>
  <c r="BL275" i="3"/>
  <c r="BA120" i="3"/>
  <c r="BA121" i="3"/>
  <c r="AZ121" i="3" s="1"/>
  <c r="G123" i="3"/>
  <c r="G126" i="3"/>
  <c r="BL155" i="3"/>
  <c r="G157" i="3"/>
  <c r="G196" i="3"/>
  <c r="BL200" i="3"/>
  <c r="AZ200" i="3" s="1"/>
  <c r="BL27" i="3"/>
  <c r="AZ27" i="3" s="1"/>
  <c r="BL30" i="3"/>
  <c r="BL32" i="3"/>
  <c r="BL33" i="3"/>
  <c r="BL39" i="3"/>
  <c r="G60" i="3"/>
  <c r="BL61" i="3"/>
  <c r="AZ61" i="3" s="1"/>
  <c r="G63" i="3"/>
  <c r="BA66" i="3"/>
  <c r="AZ66" i="3" s="1"/>
  <c r="BA68" i="3"/>
  <c r="BA69" i="3"/>
  <c r="BA71" i="3"/>
  <c r="AZ71" i="3" s="1"/>
  <c r="BA72" i="3"/>
  <c r="AZ72" i="3" s="1"/>
  <c r="BA86" i="3"/>
  <c r="AZ86" i="3" s="1"/>
  <c r="BA87" i="3"/>
  <c r="AZ87" i="3" s="1"/>
  <c r="BA88" i="3"/>
  <c r="BA91" i="3"/>
  <c r="AZ91" i="3" s="1"/>
  <c r="BA94" i="3"/>
  <c r="BA95" i="3"/>
  <c r="BA96" i="3"/>
  <c r="G103" i="3"/>
  <c r="BL103" i="3"/>
  <c r="G105" i="3"/>
  <c r="BL105" i="3"/>
  <c r="BL106" i="3"/>
  <c r="BA110" i="3"/>
  <c r="AZ110" i="3" s="1"/>
  <c r="C31" i="39"/>
  <c r="E80" i="59"/>
  <c r="E79" i="59" s="1"/>
  <c r="AB28" i="59"/>
  <c r="AB37" i="59"/>
  <c r="F60" i="59"/>
  <c r="F61" i="59" s="1"/>
  <c r="V61" i="59" s="1"/>
  <c r="BL145" i="3"/>
  <c r="BA148" i="3"/>
  <c r="AZ148" i="3" s="1"/>
  <c r="BL153" i="3"/>
  <c r="AZ153" i="3" s="1"/>
  <c r="BA187" i="3"/>
  <c r="AZ187" i="3" s="1"/>
  <c r="BA190" i="3"/>
  <c r="BA191" i="3"/>
  <c r="BL59" i="3"/>
  <c r="BL62" i="3"/>
  <c r="AZ62" i="3" s="1"/>
  <c r="BL64" i="3"/>
  <c r="G66" i="3"/>
  <c r="BL70" i="3"/>
  <c r="BA74" i="3"/>
  <c r="AZ74" i="3" s="1"/>
  <c r="BA78" i="3"/>
  <c r="AZ78" i="3" s="1"/>
  <c r="BA80" i="3"/>
  <c r="BA81" i="3"/>
  <c r="AZ81" i="3" s="1"/>
  <c r="BA83" i="3"/>
  <c r="BA85" i="3"/>
  <c r="BL90" i="3"/>
  <c r="AZ90" i="3" s="1"/>
  <c r="BL91" i="3"/>
  <c r="BA93" i="3"/>
  <c r="BA97" i="3"/>
  <c r="AZ97" i="3" s="1"/>
  <c r="BL100" i="3"/>
  <c r="BL102" i="3"/>
  <c r="C57" i="59"/>
  <c r="AB29" i="59"/>
  <c r="AB32" i="59"/>
  <c r="X36" i="59"/>
  <c r="G1" i="75"/>
  <c r="AC11" i="46"/>
  <c r="AC13" i="46" s="1"/>
  <c r="F101" i="46"/>
  <c r="F106" i="46" s="1"/>
  <c r="AB11" i="46"/>
  <c r="J101" i="46"/>
  <c r="J106" i="46" s="1"/>
  <c r="E9" i="12"/>
  <c r="K101" i="46"/>
  <c r="K103" i="46" s="1"/>
  <c r="Y11" i="46"/>
  <c r="Y13" i="46" s="1"/>
  <c r="S4" i="46"/>
  <c r="AH11" i="46"/>
  <c r="AH13" i="46" s="1"/>
  <c r="G101" i="46"/>
  <c r="G103" i="46" s="1"/>
  <c r="S3" i="46"/>
  <c r="AE11" i="46"/>
  <c r="AE13" i="46" s="1"/>
  <c r="L101" i="46"/>
  <c r="L105" i="46" s="1"/>
  <c r="I101" i="46"/>
  <c r="I105" i="46" s="1"/>
  <c r="D101" i="46"/>
  <c r="D105" i="46" s="1"/>
  <c r="BA13" i="3"/>
  <c r="S40" i="39"/>
  <c r="I4" i="6"/>
  <c r="U35" i="21"/>
  <c r="I6" i="31"/>
  <c r="M8" i="1"/>
  <c r="S39" i="21"/>
  <c r="H113" i="21"/>
  <c r="J37" i="21"/>
  <c r="F37" i="21"/>
  <c r="H37" i="21"/>
  <c r="AA32" i="21"/>
  <c r="AC40" i="21"/>
  <c r="W41" i="21"/>
  <c r="S35" i="21"/>
  <c r="U40" i="21"/>
  <c r="W43" i="21"/>
  <c r="W39" i="21"/>
  <c r="U39" i="21"/>
  <c r="AB38" i="21"/>
  <c r="AC38" i="21"/>
  <c r="S38" i="21"/>
  <c r="AC42" i="21"/>
  <c r="AB42" i="21"/>
  <c r="S42" i="21"/>
  <c r="AB36" i="21"/>
  <c r="W36" i="21"/>
  <c r="AA36" i="21"/>
  <c r="AB34" i="21"/>
  <c r="AC34" i="21"/>
  <c r="S34" i="21"/>
  <c r="W32" i="21"/>
  <c r="AB32" i="21"/>
  <c r="AB11" i="21"/>
  <c r="AC11" i="21"/>
  <c r="S10" i="21"/>
  <c r="W10" i="21"/>
  <c r="AB10" i="21"/>
  <c r="S8" i="21"/>
  <c r="F85" i="21"/>
  <c r="G85" i="21" s="1"/>
  <c r="H23" i="21"/>
  <c r="U23" i="21" s="1"/>
  <c r="J23" i="21"/>
  <c r="AC23" i="21" s="1"/>
  <c r="F23" i="21"/>
  <c r="AA23" i="21" s="1"/>
  <c r="F19" i="21"/>
  <c r="AA19" i="21" s="1"/>
  <c r="J19" i="21"/>
  <c r="F79" i="21"/>
  <c r="G79" i="21" s="1"/>
  <c r="F17" i="21"/>
  <c r="S17" i="21" s="1"/>
  <c r="H17" i="21"/>
  <c r="AB17" i="21" s="1"/>
  <c r="J17" i="21"/>
  <c r="AC17" i="21" s="1"/>
  <c r="S28" i="21"/>
  <c r="AA28" i="21"/>
  <c r="S26" i="21"/>
  <c r="H28" i="21"/>
  <c r="AB28" i="21" s="1"/>
  <c r="AB25" i="21"/>
  <c r="J28" i="21"/>
  <c r="AA21" i="21"/>
  <c r="W21" i="21"/>
  <c r="U19" i="21"/>
  <c r="U17" i="21"/>
  <c r="AB15" i="21"/>
  <c r="AA15" i="21"/>
  <c r="AC15" i="21"/>
  <c r="W37" i="39"/>
  <c r="AC37" i="39"/>
  <c r="W36" i="39"/>
  <c r="AB33" i="39"/>
  <c r="AC39" i="39"/>
  <c r="H37" i="39"/>
  <c r="AB37" i="39" s="1"/>
  <c r="AA34" i="39"/>
  <c r="AA37" i="39"/>
  <c r="AB38" i="39"/>
  <c r="AC38" i="39"/>
  <c r="U31" i="39"/>
  <c r="W29" i="39"/>
  <c r="J27" i="39"/>
  <c r="AC27" i="39" s="1"/>
  <c r="H27" i="39"/>
  <c r="AB27" i="39" s="1"/>
  <c r="F27" i="39"/>
  <c r="AA27" i="39" s="1"/>
  <c r="F23" i="39"/>
  <c r="AA23" i="39" s="1"/>
  <c r="J23" i="39"/>
  <c r="AC23" i="39" s="1"/>
  <c r="H23" i="39"/>
  <c r="AB23" i="39" s="1"/>
  <c r="F19" i="39"/>
  <c r="S19" i="39" s="1"/>
  <c r="J19" i="39"/>
  <c r="W19" i="39" s="1"/>
  <c r="G90" i="39"/>
  <c r="J17" i="39"/>
  <c r="W17" i="39" s="1"/>
  <c r="H17" i="39"/>
  <c r="U17" i="39" s="1"/>
  <c r="F17" i="39"/>
  <c r="AA17" i="39" s="1"/>
  <c r="AB29" i="39"/>
  <c r="W25" i="39"/>
  <c r="S29" i="39"/>
  <c r="U19" i="39"/>
  <c r="AB17" i="39"/>
  <c r="AC17" i="39"/>
  <c r="AC21" i="39"/>
  <c r="U21" i="39"/>
  <c r="F121" i="39"/>
  <c r="G121" i="39" s="1"/>
  <c r="H121" i="39" s="1"/>
  <c r="I121" i="39" s="1"/>
  <c r="J121" i="39" s="1"/>
  <c r="K121" i="39" s="1"/>
  <c r="L121" i="39" s="1"/>
  <c r="M121" i="39" s="1"/>
  <c r="F41" i="39"/>
  <c r="AA41" i="39" s="1"/>
  <c r="H41" i="39"/>
  <c r="AB41" i="39" s="1"/>
  <c r="J41" i="39"/>
  <c r="AC41" i="39" s="1"/>
  <c r="AB44" i="39"/>
  <c r="AA44" i="39"/>
  <c r="W43" i="39"/>
  <c r="S43" i="39"/>
  <c r="AB43" i="39"/>
  <c r="U42" i="39"/>
  <c r="S41" i="39"/>
  <c r="W40" i="39"/>
  <c r="AA13" i="39"/>
  <c r="W13" i="39"/>
  <c r="U13" i="39"/>
  <c r="M22" i="44"/>
  <c r="F36" i="44"/>
  <c r="M20" i="15"/>
  <c r="G7" i="1"/>
  <c r="AA11" i="46"/>
  <c r="F22" i="46"/>
  <c r="D22" i="46" s="1"/>
  <c r="C21" i="46" s="1"/>
  <c r="AD11" i="46"/>
  <c r="AD13" i="46" s="1"/>
  <c r="H101" i="46"/>
  <c r="H102" i="46" s="1"/>
  <c r="E5" i="6"/>
  <c r="D12" i="11" s="1"/>
  <c r="C12" i="11" s="1"/>
  <c r="S6" i="46"/>
  <c r="S5" i="46"/>
  <c r="C23" i="46"/>
  <c r="AF11" i="46"/>
  <c r="AF13" i="46" s="1"/>
  <c r="Z11" i="46"/>
  <c r="Z13" i="46" s="1"/>
  <c r="Z7" i="46"/>
  <c r="N104" i="45"/>
  <c r="C101" i="46"/>
  <c r="C109" i="46" s="1"/>
  <c r="N101" i="46"/>
  <c r="N105" i="46" s="1"/>
  <c r="J22" i="46"/>
  <c r="H22" i="46"/>
  <c r="S7" i="46"/>
  <c r="AI11" i="46"/>
  <c r="AI13" i="46" s="1"/>
  <c r="AG11" i="46"/>
  <c r="E101" i="46"/>
  <c r="E109" i="46" s="1"/>
  <c r="B113" i="46"/>
  <c r="I115" i="46" s="1"/>
  <c r="J115" i="46" s="1"/>
  <c r="K115" i="46" s="1"/>
  <c r="L115" i="46" s="1"/>
  <c r="M115" i="46" s="1"/>
  <c r="AJ11" i="46"/>
  <c r="AJ13" i="46" s="1"/>
  <c r="M101" i="46"/>
  <c r="M105" i="46" s="1"/>
  <c r="F104" i="46"/>
  <c r="F107" i="46"/>
  <c r="B41" i="1"/>
  <c r="G8" i="1"/>
  <c r="F28" i="6"/>
  <c r="F30" i="6" s="1"/>
  <c r="BE5" i="3"/>
  <c r="A18" i="51"/>
  <c r="B14" i="63" s="1"/>
  <c r="K5" i="54"/>
  <c r="B38" i="63" s="1"/>
  <c r="T41" i="4"/>
  <c r="A17" i="51" s="1"/>
  <c r="B13" i="63" s="1"/>
  <c r="L5" i="54"/>
  <c r="B39" i="63" s="1"/>
  <c r="A18" i="64"/>
  <c r="B74" i="63" s="1"/>
  <c r="C53" i="10"/>
  <c r="A25" i="64" s="1"/>
  <c r="G9" i="1"/>
  <c r="AP7" i="1"/>
  <c r="AP16" i="1" s="1"/>
  <c r="F22" i="11" s="1"/>
  <c r="L16" i="4"/>
  <c r="N16" i="4"/>
  <c r="G12" i="1"/>
  <c r="J57" i="39"/>
  <c r="A9" i="64"/>
  <c r="R7" i="54"/>
  <c r="B52" i="63" s="1"/>
  <c r="F20" i="59"/>
  <c r="F19" i="59" s="1"/>
  <c r="F18" i="59" s="1"/>
  <c r="F17" i="59" s="1"/>
  <c r="V21" i="59"/>
  <c r="B20" i="59"/>
  <c r="B19" i="59" s="1"/>
  <c r="B18" i="59" s="1"/>
  <c r="S21" i="59"/>
  <c r="C21" i="59"/>
  <c r="D22" i="59"/>
  <c r="K33" i="9"/>
  <c r="K34" i="9" s="1"/>
  <c r="AC27" i="40"/>
  <c r="W17" i="33"/>
  <c r="W23" i="33"/>
  <c r="AA26" i="35"/>
  <c r="U14" i="36"/>
  <c r="W37" i="40"/>
  <c r="U41" i="39"/>
  <c r="W42" i="40"/>
  <c r="W10" i="33"/>
  <c r="AB41" i="33"/>
  <c r="W11" i="33"/>
  <c r="S32" i="33"/>
  <c r="AC34" i="33"/>
  <c r="W36" i="33"/>
  <c r="S47" i="39"/>
  <c r="AC34" i="40"/>
  <c r="U25" i="39"/>
  <c r="AA41" i="40"/>
  <c r="U23" i="40"/>
  <c r="AB15" i="40"/>
  <c r="AC20" i="35"/>
  <c r="U34" i="33"/>
  <c r="U37" i="39"/>
  <c r="W44" i="39"/>
  <c r="AB11" i="36"/>
  <c r="W15" i="33"/>
  <c r="H5" i="3"/>
  <c r="S33" i="33"/>
  <c r="AA33" i="33"/>
  <c r="W9" i="33"/>
  <c r="AC9" i="33"/>
  <c r="AC10" i="36"/>
  <c r="W10" i="36"/>
  <c r="H12" i="36"/>
  <c r="J12" i="36"/>
  <c r="W24" i="36"/>
  <c r="AC24" i="36"/>
  <c r="J34" i="36"/>
  <c r="H34" i="36"/>
  <c r="AA37" i="33"/>
  <c r="S37" i="33"/>
  <c r="AA40" i="33"/>
  <c r="S40" i="33"/>
  <c r="BA566" i="3"/>
  <c r="AZ566" i="3" s="1"/>
  <c r="BA565" i="3"/>
  <c r="AZ565" i="3" s="1"/>
  <c r="BL564" i="3"/>
  <c r="AZ564" i="3" s="1"/>
  <c r="BA558" i="3"/>
  <c r="AZ558" i="3" s="1"/>
  <c r="BL557" i="3"/>
  <c r="BA557" i="3"/>
  <c r="AZ557" i="3" s="1"/>
  <c r="BA556" i="3"/>
  <c r="AZ556" i="3" s="1"/>
  <c r="BL555" i="3"/>
  <c r="BA554" i="3"/>
  <c r="AZ554" i="3" s="1"/>
  <c r="BL551" i="3"/>
  <c r="BA551" i="3"/>
  <c r="BL546" i="3"/>
  <c r="BA546" i="3"/>
  <c r="BL545" i="3"/>
  <c r="AZ545" i="3" s="1"/>
  <c r="BL544" i="3"/>
  <c r="BA544" i="3"/>
  <c r="BA543" i="3"/>
  <c r="AZ543" i="3" s="1"/>
  <c r="BL542" i="3"/>
  <c r="BA542" i="3"/>
  <c r="BL541" i="3"/>
  <c r="BA541" i="3"/>
  <c r="AZ345" i="3"/>
  <c r="AZ305" i="3"/>
  <c r="AB30" i="33"/>
  <c r="U30" i="33"/>
  <c r="W28" i="33"/>
  <c r="AC28" i="33"/>
  <c r="AC14" i="21"/>
  <c r="W14" i="21"/>
  <c r="S43" i="21"/>
  <c r="AA43" i="21"/>
  <c r="H13" i="21"/>
  <c r="F13" i="21"/>
  <c r="J13" i="21"/>
  <c r="J29" i="21"/>
  <c r="F29" i="21"/>
  <c r="H29" i="21"/>
  <c r="J45" i="21"/>
  <c r="H45" i="21"/>
  <c r="F45" i="21"/>
  <c r="AC8" i="33"/>
  <c r="W8" i="33"/>
  <c r="F27" i="33"/>
  <c r="H27" i="33"/>
  <c r="J27" i="33"/>
  <c r="W36" i="34"/>
  <c r="AC36" i="34"/>
  <c r="F25" i="35"/>
  <c r="J25" i="35"/>
  <c r="H25" i="35"/>
  <c r="AB26" i="36"/>
  <c r="U26" i="36"/>
  <c r="AB10" i="37"/>
  <c r="U10" i="37"/>
  <c r="BL527" i="3"/>
  <c r="AZ527" i="3" s="1"/>
  <c r="BL526" i="3"/>
  <c r="AZ526" i="3" s="1"/>
  <c r="BL525" i="3"/>
  <c r="AZ525" i="3" s="1"/>
  <c r="BL524" i="3"/>
  <c r="AZ524" i="3" s="1"/>
  <c r="BF5" i="3"/>
  <c r="E13" i="6" s="1"/>
  <c r="BL488" i="3"/>
  <c r="BA488" i="3"/>
  <c r="BA487" i="3"/>
  <c r="AZ487" i="3" s="1"/>
  <c r="AC5" i="3"/>
  <c r="I14" i="66"/>
  <c r="B8" i="66" s="1"/>
  <c r="W20" i="36"/>
  <c r="AB20" i="35"/>
  <c r="AC14" i="40"/>
  <c r="AC34" i="37"/>
  <c r="AZ328" i="3"/>
  <c r="AB12" i="37"/>
  <c r="U12" i="37"/>
  <c r="C29" i="39"/>
  <c r="U43" i="21"/>
  <c r="AB43" i="21"/>
  <c r="BL13" i="3"/>
  <c r="U30" i="21"/>
  <c r="AB30" i="21"/>
  <c r="B70" i="46"/>
  <c r="C23" i="39"/>
  <c r="H9" i="21"/>
  <c r="J9" i="21"/>
  <c r="F9" i="21"/>
  <c r="U9" i="33"/>
  <c r="AB9" i="33"/>
  <c r="J36" i="35"/>
  <c r="J12" i="33"/>
  <c r="F12" i="33"/>
  <c r="J13" i="34"/>
  <c r="H13" i="34"/>
  <c r="F13" i="34"/>
  <c r="H31" i="34"/>
  <c r="J31" i="34"/>
  <c r="F31" i="34"/>
  <c r="F47" i="34"/>
  <c r="H47" i="34"/>
  <c r="J47" i="34"/>
  <c r="W27" i="35"/>
  <c r="AC27" i="35"/>
  <c r="U27" i="37"/>
  <c r="AB27" i="37"/>
  <c r="AA31" i="35"/>
  <c r="S31" i="35"/>
  <c r="BL534" i="3"/>
  <c r="AZ534" i="3" s="1"/>
  <c r="BL532" i="3"/>
  <c r="BA532" i="3"/>
  <c r="BA528" i="3"/>
  <c r="AZ528" i="3" s="1"/>
  <c r="BA502" i="3"/>
  <c r="AZ502" i="3" s="1"/>
  <c r="BL501" i="3"/>
  <c r="AZ501" i="3" s="1"/>
  <c r="BL495" i="3"/>
  <c r="AZ495" i="3" s="1"/>
  <c r="BH5" i="3"/>
  <c r="BL493" i="3"/>
  <c r="BA493" i="3"/>
  <c r="BL492" i="3"/>
  <c r="BA492" i="3"/>
  <c r="BL491" i="3"/>
  <c r="AZ491" i="3" s="1"/>
  <c r="AB13" i="46"/>
  <c r="S25" i="39"/>
  <c r="U35" i="40"/>
  <c r="U25" i="33"/>
  <c r="AA20" i="35"/>
  <c r="AZ363" i="3"/>
  <c r="AZ329" i="3"/>
  <c r="W23" i="37"/>
  <c r="AC23" i="37"/>
  <c r="S12" i="21"/>
  <c r="AZ562" i="3"/>
  <c r="AZ555" i="3"/>
  <c r="AB28" i="36"/>
  <c r="U28" i="36"/>
  <c r="AB42" i="34"/>
  <c r="BA572" i="3"/>
  <c r="AZ572" i="3" s="1"/>
  <c r="H12" i="33"/>
  <c r="W33" i="33"/>
  <c r="AC33" i="33"/>
  <c r="AC40" i="33"/>
  <c r="W40" i="33"/>
  <c r="BL538" i="3"/>
  <c r="AZ538" i="3" s="1"/>
  <c r="BA536" i="3"/>
  <c r="AZ536" i="3" s="1"/>
  <c r="BL535" i="3"/>
  <c r="AZ535" i="3" s="1"/>
  <c r="BL503" i="3"/>
  <c r="AZ503" i="3" s="1"/>
  <c r="AZ405" i="3"/>
  <c r="BT5" i="3"/>
  <c r="G28" i="6" s="1"/>
  <c r="E28" i="6" s="1"/>
  <c r="BI5" i="3"/>
  <c r="J34" i="35"/>
  <c r="F34" i="35"/>
  <c r="G15" i="3"/>
  <c r="AZ396" i="3"/>
  <c r="AZ420" i="3"/>
  <c r="AC41" i="34"/>
  <c r="U46" i="21"/>
  <c r="AB40" i="37"/>
  <c r="J30" i="21"/>
  <c r="W8" i="21"/>
  <c r="F9" i="33"/>
  <c r="G563" i="3"/>
  <c r="AZ393" i="3"/>
  <c r="BA407" i="3"/>
  <c r="AZ407" i="3" s="1"/>
  <c r="BA410" i="3"/>
  <c r="AZ410" i="3" s="1"/>
  <c r="BL416" i="3"/>
  <c r="AZ416" i="3" s="1"/>
  <c r="BL418" i="3"/>
  <c r="AZ418" i="3" s="1"/>
  <c r="G420" i="3"/>
  <c r="BL422" i="3"/>
  <c r="AZ422" i="3" s="1"/>
  <c r="BA430" i="3"/>
  <c r="AZ430" i="3" s="1"/>
  <c r="BL432" i="3"/>
  <c r="BL439" i="3"/>
  <c r="AZ439" i="3" s="1"/>
  <c r="G441" i="3"/>
  <c r="BA443" i="3"/>
  <c r="AZ443" i="3" s="1"/>
  <c r="BA445" i="3"/>
  <c r="AZ445" i="3" s="1"/>
  <c r="BA451" i="3"/>
  <c r="AZ451" i="3" s="1"/>
  <c r="G454" i="3"/>
  <c r="G456" i="3"/>
  <c r="BL457" i="3"/>
  <c r="AZ457" i="3" s="1"/>
  <c r="BA460" i="3"/>
  <c r="AZ460" i="3" s="1"/>
  <c r="BA463" i="3"/>
  <c r="AZ463" i="3" s="1"/>
  <c r="AZ465" i="3"/>
  <c r="BA466" i="3"/>
  <c r="AZ466" i="3" s="1"/>
  <c r="G469" i="3"/>
  <c r="BL470" i="3"/>
  <c r="AZ470" i="3" s="1"/>
  <c r="BL473" i="3"/>
  <c r="AZ473" i="3" s="1"/>
  <c r="BA476" i="3"/>
  <c r="AZ476" i="3" s="1"/>
  <c r="BL350" i="3"/>
  <c r="AZ350" i="3" s="1"/>
  <c r="BL360" i="3"/>
  <c r="AZ360" i="3" s="1"/>
  <c r="AZ368" i="3"/>
  <c r="G207" i="3"/>
  <c r="BL208" i="3"/>
  <c r="G215" i="3"/>
  <c r="BL216" i="3"/>
  <c r="G223" i="3"/>
  <c r="BL224" i="3"/>
  <c r="G231" i="3"/>
  <c r="AZ266" i="3"/>
  <c r="AZ275" i="3"/>
  <c r="A30" i="64"/>
  <c r="A30" i="51"/>
  <c r="B22" i="63" s="1"/>
  <c r="AZ432" i="3"/>
  <c r="BA471" i="3"/>
  <c r="AZ471" i="3" s="1"/>
  <c r="BA474" i="3"/>
  <c r="AZ474" i="3" s="1"/>
  <c r="AZ334" i="3"/>
  <c r="BA353" i="3"/>
  <c r="AZ353" i="3" s="1"/>
  <c r="BA257" i="3"/>
  <c r="AZ257" i="3" s="1"/>
  <c r="A11" i="55"/>
  <c r="B62" i="63" s="1"/>
  <c r="BA408" i="3"/>
  <c r="AZ408" i="3" s="1"/>
  <c r="G411" i="3"/>
  <c r="BL413" i="3"/>
  <c r="AZ413" i="3" s="1"/>
  <c r="BA417" i="3"/>
  <c r="AZ417" i="3" s="1"/>
  <c r="BA419" i="3"/>
  <c r="AZ419" i="3" s="1"/>
  <c r="BL425" i="3"/>
  <c r="AZ425" i="3" s="1"/>
  <c r="BA428" i="3"/>
  <c r="AZ428" i="3" s="1"/>
  <c r="G431" i="3"/>
  <c r="BL435" i="3"/>
  <c r="AZ435" i="3" s="1"/>
  <c r="BA438" i="3"/>
  <c r="AZ438" i="3" s="1"/>
  <c r="BA440" i="3"/>
  <c r="AZ440" i="3" s="1"/>
  <c r="BL442" i="3"/>
  <c r="AZ442" i="3" s="1"/>
  <c r="BL444" i="3"/>
  <c r="AZ444" i="3" s="1"/>
  <c r="G446" i="3"/>
  <c r="BL447" i="3"/>
  <c r="AZ447" i="3" s="1"/>
  <c r="BL448" i="3"/>
  <c r="BL450" i="3"/>
  <c r="AZ450" i="3" s="1"/>
  <c r="BA453" i="3"/>
  <c r="AZ453" i="3" s="1"/>
  <c r="BA455" i="3"/>
  <c r="AZ455" i="3" s="1"/>
  <c r="BA458" i="3"/>
  <c r="AZ458" i="3" s="1"/>
  <c r="G461" i="3"/>
  <c r="BL462" i="3"/>
  <c r="AZ462" i="3" s="1"/>
  <c r="BL465" i="3"/>
  <c r="BA468" i="3"/>
  <c r="AZ468" i="3" s="1"/>
  <c r="G477" i="3"/>
  <c r="BL478" i="3"/>
  <c r="AZ478" i="3" s="1"/>
  <c r="BA309" i="3"/>
  <c r="AZ309" i="3" s="1"/>
  <c r="G313" i="3"/>
  <c r="BL318" i="3"/>
  <c r="AZ318" i="3" s="1"/>
  <c r="BA333" i="3"/>
  <c r="AZ333" i="3" s="1"/>
  <c r="BL342" i="3"/>
  <c r="AZ342" i="3" s="1"/>
  <c r="G375" i="3"/>
  <c r="AZ386" i="3"/>
  <c r="BA206" i="3"/>
  <c r="AZ206" i="3" s="1"/>
  <c r="AZ208" i="3"/>
  <c r="AZ210" i="3"/>
  <c r="BA214" i="3"/>
  <c r="AZ214" i="3" s="1"/>
  <c r="AZ216" i="3"/>
  <c r="AZ218" i="3"/>
  <c r="BA222" i="3"/>
  <c r="AZ222" i="3" s="1"/>
  <c r="AZ224" i="3"/>
  <c r="AZ226" i="3"/>
  <c r="BA230" i="3"/>
  <c r="AZ230" i="3" s="1"/>
  <c r="AZ232" i="3"/>
  <c r="AZ234" i="3"/>
  <c r="AZ240" i="3"/>
  <c r="AZ242" i="3"/>
  <c r="AZ248" i="3"/>
  <c r="AZ250" i="3"/>
  <c r="AZ256" i="3"/>
  <c r="AZ259" i="3"/>
  <c r="AZ277" i="3"/>
  <c r="AZ283" i="3"/>
  <c r="G262" i="3"/>
  <c r="AZ269" i="3"/>
  <c r="AZ116" i="3"/>
  <c r="AZ149" i="3"/>
  <c r="AZ182" i="3"/>
  <c r="AZ198" i="3"/>
  <c r="AZ96" i="3"/>
  <c r="BA261" i="3"/>
  <c r="AZ261" i="3" s="1"/>
  <c r="BL272" i="3"/>
  <c r="AZ272" i="3" s="1"/>
  <c r="BL290" i="3"/>
  <c r="AZ290" i="3" s="1"/>
  <c r="AZ296" i="3"/>
  <c r="AZ133" i="3"/>
  <c r="AZ145" i="3"/>
  <c r="AZ21" i="3"/>
  <c r="AZ64" i="3"/>
  <c r="AZ76" i="3"/>
  <c r="AZ85" i="3"/>
  <c r="G260" i="3"/>
  <c r="BA264" i="3"/>
  <c r="AZ264" i="3" s="1"/>
  <c r="BA267" i="3"/>
  <c r="AZ267" i="3" s="1"/>
  <c r="G276" i="3"/>
  <c r="BL276" i="3"/>
  <c r="AZ276" i="3" s="1"/>
  <c r="BA279" i="3"/>
  <c r="AZ279" i="3" s="1"/>
  <c r="BL281" i="3"/>
  <c r="AZ281" i="3" s="1"/>
  <c r="BA289" i="3"/>
  <c r="AZ289" i="3" s="1"/>
  <c r="AZ113" i="3"/>
  <c r="BL117" i="3"/>
  <c r="AZ117" i="3" s="1"/>
  <c r="AZ136" i="3"/>
  <c r="BL152" i="3"/>
  <c r="AZ152" i="3" s="1"/>
  <c r="AZ159" i="3"/>
  <c r="AZ172" i="3"/>
  <c r="BA189" i="3"/>
  <c r="AZ189" i="3" s="1"/>
  <c r="AZ50" i="3"/>
  <c r="AZ52" i="3"/>
  <c r="BL125" i="3"/>
  <c r="AZ125" i="3" s="1"/>
  <c r="BA129" i="3"/>
  <c r="AZ129" i="3" s="1"/>
  <c r="BA151" i="3"/>
  <c r="AZ151" i="3" s="1"/>
  <c r="BL156" i="3"/>
  <c r="BA160" i="3"/>
  <c r="AZ160" i="3" s="1"/>
  <c r="BA177" i="3"/>
  <c r="AZ177" i="3" s="1"/>
  <c r="BL190" i="3"/>
  <c r="AZ190" i="3" s="1"/>
  <c r="G193" i="3"/>
  <c r="BA197" i="3"/>
  <c r="AZ197" i="3" s="1"/>
  <c r="BA202" i="3"/>
  <c r="AZ202" i="3" s="1"/>
  <c r="BL204" i="3"/>
  <c r="AZ204" i="3" s="1"/>
  <c r="G22" i="3"/>
  <c r="AZ53" i="3"/>
  <c r="AZ54" i="3"/>
  <c r="AZ58" i="3"/>
  <c r="AZ65" i="3"/>
  <c r="AZ67" i="3"/>
  <c r="AZ77" i="3"/>
  <c r="AZ105" i="3"/>
  <c r="BL278" i="3"/>
  <c r="AZ278" i="3" s="1"/>
  <c r="BA284" i="3"/>
  <c r="AZ284" i="3" s="1"/>
  <c r="G288" i="3"/>
  <c r="BA295" i="3"/>
  <c r="AZ295" i="3" s="1"/>
  <c r="BA119" i="3"/>
  <c r="AZ119" i="3" s="1"/>
  <c r="BL128" i="3"/>
  <c r="AZ128" i="3" s="1"/>
  <c r="BA132" i="3"/>
  <c r="AZ132" i="3" s="1"/>
  <c r="BA139" i="3"/>
  <c r="AZ139" i="3" s="1"/>
  <c r="BA141" i="3"/>
  <c r="AZ141" i="3" s="1"/>
  <c r="BA144" i="3"/>
  <c r="BL149" i="3"/>
  <c r="BA154" i="3"/>
  <c r="AZ154" i="3" s="1"/>
  <c r="BA156" i="3"/>
  <c r="AZ156" i="3" s="1"/>
  <c r="BA158" i="3"/>
  <c r="AZ158" i="3" s="1"/>
  <c r="G160" i="3"/>
  <c r="G162" i="3"/>
  <c r="BA166" i="3"/>
  <c r="AZ166" i="3" s="1"/>
  <c r="BA168" i="3"/>
  <c r="AZ168" i="3" s="1"/>
  <c r="BA171" i="3"/>
  <c r="AZ171" i="3" s="1"/>
  <c r="BL176" i="3"/>
  <c r="AZ176" i="3" s="1"/>
  <c r="G179" i="3"/>
  <c r="BA183" i="3"/>
  <c r="AZ183" i="3" s="1"/>
  <c r="BA186" i="3"/>
  <c r="AZ186" i="3" s="1"/>
  <c r="BL192" i="3"/>
  <c r="AZ192" i="3" s="1"/>
  <c r="BL195" i="3"/>
  <c r="AZ195" i="3" s="1"/>
  <c r="BA199" i="3"/>
  <c r="AZ199" i="3" s="1"/>
  <c r="BL21" i="3"/>
  <c r="AZ109" i="3"/>
  <c r="AZ100" i="3"/>
  <c r="AZ103" i="3"/>
  <c r="B85" i="46"/>
  <c r="C27" i="40"/>
  <c r="E29" i="59"/>
  <c r="AA27" i="59"/>
  <c r="AA26" i="59"/>
  <c r="AA28" i="59"/>
  <c r="AA29" i="59"/>
  <c r="AA12" i="46"/>
  <c r="AA10" i="46"/>
  <c r="BL80" i="3"/>
  <c r="AZ80" i="3" s="1"/>
  <c r="BL83" i="3"/>
  <c r="BL89" i="3"/>
  <c r="AZ89" i="3" s="1"/>
  <c r="BL94" i="3"/>
  <c r="AZ94" i="3" s="1"/>
  <c r="BA112" i="3"/>
  <c r="AZ112" i="3" s="1"/>
  <c r="C52" i="59"/>
  <c r="D51" i="59"/>
  <c r="G93" i="3"/>
  <c r="BA98" i="3"/>
  <c r="BA101" i="3"/>
  <c r="AZ101" i="3" s="1"/>
  <c r="BA104" i="3"/>
  <c r="AZ104" i="3" s="1"/>
  <c r="BL109" i="3"/>
  <c r="AA3" i="59"/>
  <c r="C32" i="59"/>
  <c r="D31" i="59"/>
  <c r="D60" i="59"/>
  <c r="C61" i="59"/>
  <c r="B37" i="50"/>
  <c r="B2" i="63" s="1"/>
  <c r="Y9" i="59"/>
  <c r="Z9" i="59" s="1"/>
  <c r="X9" i="59"/>
  <c r="AA9" i="59"/>
  <c r="AB9" i="59"/>
  <c r="AA31" i="39"/>
  <c r="S31" i="39"/>
  <c r="E36" i="59"/>
  <c r="E37" i="59" s="1"/>
  <c r="U37" i="59" s="1"/>
  <c r="Y38" i="59"/>
  <c r="Z38" i="59" s="1"/>
  <c r="C39" i="59"/>
  <c r="Y36" i="59"/>
  <c r="Z36" i="59" s="1"/>
  <c r="Y35" i="59"/>
  <c r="Z35" i="59" s="1"/>
  <c r="V81" i="59"/>
  <c r="F80" i="59"/>
  <c r="F79" i="59" s="1"/>
  <c r="AG10" i="46"/>
  <c r="AG12" i="46"/>
  <c r="B74" i="46"/>
  <c r="D64" i="59"/>
  <c r="D88" i="59"/>
  <c r="C87" i="59"/>
  <c r="D87" i="59" s="1"/>
  <c r="AA33" i="59"/>
  <c r="B44" i="59"/>
  <c r="B45" i="59" s="1"/>
  <c r="S45" i="59" s="1"/>
  <c r="E56" i="59"/>
  <c r="E57" i="59" s="1"/>
  <c r="U57" i="59" s="1"/>
  <c r="B64" i="59"/>
  <c r="B65" i="59" s="1"/>
  <c r="S65" i="59" s="1"/>
  <c r="AA38" i="59"/>
  <c r="Y32" i="59"/>
  <c r="Z32" i="59" s="1"/>
  <c r="B27" i="59"/>
  <c r="S21" i="34"/>
  <c r="T65" i="59"/>
  <c r="D65" i="59"/>
  <c r="AB30" i="59"/>
  <c r="F31" i="59"/>
  <c r="F32" i="59" s="1"/>
  <c r="F33" i="59" s="1"/>
  <c r="V33" i="59" s="1"/>
  <c r="AB3" i="59"/>
  <c r="AB25" i="59"/>
  <c r="AB26" i="59"/>
  <c r="AB27" i="59"/>
  <c r="C36" i="59"/>
  <c r="D35" i="59"/>
  <c r="AA35" i="59"/>
  <c r="AA34" i="59"/>
  <c r="D29" i="59"/>
  <c r="T29" i="59"/>
  <c r="C28" i="59"/>
  <c r="AA30" i="59"/>
  <c r="X25" i="59"/>
  <c r="X26" i="59"/>
  <c r="X27" i="59"/>
  <c r="S18" i="35"/>
  <c r="C84" i="59"/>
  <c r="C68" i="59"/>
  <c r="D59" i="59"/>
  <c r="X29" i="59"/>
  <c r="Y30" i="59"/>
  <c r="Z30" i="59" s="1"/>
  <c r="X31" i="59"/>
  <c r="X34" i="59"/>
  <c r="B35" i="59"/>
  <c r="B36" i="59" s="1"/>
  <c r="B37" i="59" s="1"/>
  <c r="S37" i="59" s="1"/>
  <c r="AB34" i="59"/>
  <c r="AB35" i="59"/>
  <c r="AB38" i="59"/>
  <c r="F39" i="59"/>
  <c r="F40" i="59" s="1"/>
  <c r="F41" i="59" s="1"/>
  <c r="V41" i="59" s="1"/>
  <c r="AB39" i="59"/>
  <c r="Y7" i="59"/>
  <c r="Z7" i="59" s="1"/>
  <c r="Y8" i="59"/>
  <c r="Z8" i="59" s="1"/>
  <c r="Y6" i="59"/>
  <c r="Z6" i="59" s="1"/>
  <c r="Y5" i="59"/>
  <c r="Z5" i="59" s="1"/>
  <c r="Y10" i="59"/>
  <c r="Z10" i="59" s="1"/>
  <c r="B68" i="59"/>
  <c r="X32" i="59"/>
  <c r="Y24" i="59"/>
  <c r="Z24" i="59" s="1"/>
  <c r="AB19" i="59"/>
  <c r="AB24" i="59"/>
  <c r="X18" i="59"/>
  <c r="Y15" i="59"/>
  <c r="Z15" i="59" s="1"/>
  <c r="Y18" i="59"/>
  <c r="Z18" i="59" s="1"/>
  <c r="Y29" i="59"/>
  <c r="Z29" i="59" s="1"/>
  <c r="Y27" i="59"/>
  <c r="Z27" i="59" s="1"/>
  <c r="B31" i="59"/>
  <c r="B32" i="59" s="1"/>
  <c r="B33" i="59" s="1"/>
  <c r="S33" i="59" s="1"/>
  <c r="Y33" i="59"/>
  <c r="Z33" i="59" s="1"/>
  <c r="X35" i="59"/>
  <c r="X38" i="59"/>
  <c r="X39" i="59"/>
  <c r="AA5" i="59"/>
  <c r="AA8" i="59"/>
  <c r="AA6" i="59"/>
  <c r="AA7" i="59"/>
  <c r="AA10" i="59"/>
  <c r="Q67" i="59"/>
  <c r="X33" i="59"/>
  <c r="V29" i="59"/>
  <c r="A28" i="51"/>
  <c r="AA24" i="59"/>
  <c r="X22" i="59"/>
  <c r="AA19" i="59"/>
  <c r="X19" i="59"/>
  <c r="AA13" i="59"/>
  <c r="AA18" i="59"/>
  <c r="AA31" i="59"/>
  <c r="AA32" i="59"/>
  <c r="Y34" i="59"/>
  <c r="Z34" i="59" s="1"/>
  <c r="Y37" i="59"/>
  <c r="Z37" i="59" s="1"/>
  <c r="X8" i="59"/>
  <c r="X5" i="59"/>
  <c r="X7" i="59"/>
  <c r="X6" i="59"/>
  <c r="X11" i="59"/>
  <c r="X10" i="59"/>
  <c r="AB7" i="59"/>
  <c r="AB5" i="59"/>
  <c r="AB6" i="59"/>
  <c r="AB8" i="59"/>
  <c r="AB10" i="59"/>
  <c r="AB40" i="59"/>
  <c r="Y25" i="59"/>
  <c r="Z25" i="59" s="1"/>
  <c r="AA39" i="59"/>
  <c r="Y19" i="59"/>
  <c r="Z19" i="59" s="1"/>
  <c r="AB14" i="59"/>
  <c r="AB18" i="59"/>
  <c r="L76" i="9"/>
  <c r="P75" i="15"/>
  <c r="X17" i="59"/>
  <c r="AB12" i="59"/>
  <c r="AA14" i="59"/>
  <c r="Y12" i="59"/>
  <c r="Z12" i="59" s="1"/>
  <c r="X12" i="59"/>
  <c r="AB13" i="59"/>
  <c r="AB15" i="59"/>
  <c r="Y14" i="59"/>
  <c r="Z14" i="59" s="1"/>
  <c r="X13" i="59"/>
  <c r="AA22" i="59"/>
  <c r="AA16" i="59"/>
  <c r="AA12" i="59"/>
  <c r="AA15" i="59"/>
  <c r="Y11" i="59"/>
  <c r="Z11" i="59" s="1"/>
  <c r="X14" i="59"/>
  <c r="AB16" i="59"/>
  <c r="AB11" i="59"/>
  <c r="AA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H16" i="1"/>
  <c r="G27" i="12"/>
  <c r="G13" i="3"/>
  <c r="Q16" i="1"/>
  <c r="Q17" i="1" s="1"/>
  <c r="F34" i="44"/>
  <c r="F24" i="43"/>
  <c r="C24" i="43" s="1"/>
  <c r="H109" i="46"/>
  <c r="D106" i="46"/>
  <c r="D104" i="46"/>
  <c r="D107" i="46"/>
  <c r="F103" i="46"/>
  <c r="F102" i="46"/>
  <c r="F109" i="46"/>
  <c r="C25" i="43"/>
  <c r="C2" i="65"/>
  <c r="G20" i="43"/>
  <c r="G26" i="12"/>
  <c r="F70" i="9"/>
  <c r="F66" i="9"/>
  <c r="P72" i="9" s="1"/>
  <c r="F28" i="15"/>
  <c r="C28" i="15" s="1"/>
  <c r="F30" i="44"/>
  <c r="C30" i="44" s="1"/>
  <c r="D86" i="9"/>
  <c r="F29" i="12"/>
  <c r="F32" i="15"/>
  <c r="F59" i="15" s="1"/>
  <c r="F71" i="9"/>
  <c r="K106" i="46"/>
  <c r="E15" i="6"/>
  <c r="E12" i="6"/>
  <c r="E11" i="6"/>
  <c r="E14" i="6"/>
  <c r="O11" i="1"/>
  <c r="P11" i="1" s="1"/>
  <c r="O6" i="1"/>
  <c r="P6" i="1" s="1"/>
  <c r="O7" i="1"/>
  <c r="P7" i="1" s="1"/>
  <c r="O12" i="1"/>
  <c r="P12" i="1" s="1"/>
  <c r="O10" i="1"/>
  <c r="P10" i="1" s="1"/>
  <c r="O9" i="1"/>
  <c r="P9" i="1" s="1"/>
  <c r="O13" i="1"/>
  <c r="P13" i="1" s="1"/>
  <c r="G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F50" i="15"/>
  <c r="C27" i="15"/>
  <c r="F64" i="15"/>
  <c r="F70" i="15"/>
  <c r="M9" i="44"/>
  <c r="L59" i="15"/>
  <c r="L58" i="15"/>
  <c r="J53" i="15"/>
  <c r="J57" i="15"/>
  <c r="J55" i="15" s="1"/>
  <c r="J58" i="15" s="1"/>
  <c r="Q51" i="15" s="1"/>
  <c r="I54" i="15"/>
  <c r="L56" i="15"/>
  <c r="F63" i="15"/>
  <c r="C4" i="65"/>
  <c r="B39" i="1" s="1"/>
  <c r="M22" i="75"/>
  <c r="F40" i="15"/>
  <c r="I4" i="65"/>
  <c r="F10" i="44"/>
  <c r="J3" i="65"/>
  <c r="I3" i="65"/>
  <c r="J7" i="65"/>
  <c r="F7" i="15"/>
  <c r="M28" i="75"/>
  <c r="F13" i="75"/>
  <c r="F40" i="75"/>
  <c r="L48" i="75"/>
  <c r="M6" i="75"/>
  <c r="M8" i="44"/>
  <c r="F26" i="75"/>
  <c r="M31" i="44"/>
  <c r="C16" i="15"/>
  <c r="M9" i="75"/>
  <c r="J36" i="15"/>
  <c r="I5" i="65"/>
  <c r="M8" i="75"/>
  <c r="F7" i="75"/>
  <c r="F37" i="75"/>
  <c r="L48" i="44"/>
  <c r="M27" i="75"/>
  <c r="M28" i="15"/>
  <c r="F8" i="44"/>
  <c r="I6" i="65"/>
  <c r="I7" i="65"/>
  <c r="M26" i="44"/>
  <c r="M30" i="44"/>
  <c r="F43" i="75"/>
  <c r="F36" i="75"/>
  <c r="F42" i="75"/>
  <c r="J15" i="75"/>
  <c r="F15" i="44"/>
  <c r="M26" i="75"/>
  <c r="F6" i="75"/>
  <c r="M11" i="44"/>
  <c r="F8" i="75"/>
  <c r="L49" i="44"/>
  <c r="F38" i="75"/>
  <c r="J5" i="65"/>
  <c r="M24" i="75"/>
  <c r="F9" i="75"/>
  <c r="F45" i="44"/>
  <c r="F16" i="75"/>
  <c r="M29" i="75"/>
  <c r="J6" i="65"/>
  <c r="L47" i="75"/>
  <c r="F18" i="44"/>
  <c r="M23" i="75"/>
  <c r="J36" i="75"/>
  <c r="E58" i="39" l="1"/>
  <c r="E53" i="40"/>
  <c r="L19" i="6"/>
  <c r="L27" i="6" s="1"/>
  <c r="K15" i="1"/>
  <c r="E10" i="6"/>
  <c r="AZ144" i="3"/>
  <c r="AC35" i="21"/>
  <c r="AZ93" i="3"/>
  <c r="AZ95" i="3"/>
  <c r="AZ69" i="3"/>
  <c r="AZ59" i="3"/>
  <c r="AZ180" i="3"/>
  <c r="AZ427" i="3"/>
  <c r="D45" i="59"/>
  <c r="T45" i="59"/>
  <c r="AZ42" i="3"/>
  <c r="AZ245" i="3"/>
  <c r="AZ459" i="3"/>
  <c r="AZ461" i="3"/>
  <c r="AA23" i="36"/>
  <c r="S23" i="36"/>
  <c r="AZ83" i="3"/>
  <c r="AZ68" i="3"/>
  <c r="AZ107" i="3"/>
  <c r="AZ57" i="3"/>
  <c r="AZ293" i="3"/>
  <c r="AZ403" i="3"/>
  <c r="AZ41" i="3"/>
  <c r="AZ207" i="3"/>
  <c r="AB25" i="37"/>
  <c r="U25" i="37"/>
  <c r="AB26" i="37"/>
  <c r="U26" i="37"/>
  <c r="AZ120" i="3"/>
  <c r="AZ106" i="3"/>
  <c r="AZ47" i="3"/>
  <c r="F32" i="75"/>
  <c r="F59" i="75" s="1"/>
  <c r="M18" i="75"/>
  <c r="F28" i="75"/>
  <c r="C28" i="75" s="1"/>
  <c r="AZ88" i="3"/>
  <c r="P66" i="59"/>
  <c r="P67" i="59"/>
  <c r="AZ33" i="3"/>
  <c r="AZ163" i="3"/>
  <c r="AZ291" i="3"/>
  <c r="AC23" i="36"/>
  <c r="W23" i="36"/>
  <c r="U45" i="33"/>
  <c r="AB45" i="33"/>
  <c r="D57" i="59"/>
  <c r="T57" i="59"/>
  <c r="AB9" i="36"/>
  <c r="U9" i="36"/>
  <c r="AA9" i="36"/>
  <c r="S9" i="36"/>
  <c r="W9" i="35"/>
  <c r="AC9" i="35"/>
  <c r="AC26" i="33"/>
  <c r="W26" i="33"/>
  <c r="AZ492" i="3"/>
  <c r="AZ542" i="3"/>
  <c r="AZ551" i="3"/>
  <c r="AA13" i="46"/>
  <c r="AZ102" i="3"/>
  <c r="E20" i="59"/>
  <c r="E19" i="59" s="1"/>
  <c r="E18" i="59" s="1"/>
  <c r="E17" i="59" s="1"/>
  <c r="U21" i="59"/>
  <c r="AZ398" i="3"/>
  <c r="AZ452" i="3"/>
  <c r="AZ406" i="3"/>
  <c r="AZ472" i="3"/>
  <c r="AZ480" i="3"/>
  <c r="AB9" i="35"/>
  <c r="U9" i="35"/>
  <c r="J7" i="33"/>
  <c r="AZ191" i="3"/>
  <c r="AZ35" i="3"/>
  <c r="AZ446" i="3"/>
  <c r="AZ395" i="3"/>
  <c r="AZ55" i="3"/>
  <c r="AZ335" i="3"/>
  <c r="AZ433" i="3"/>
  <c r="S45" i="33"/>
  <c r="AA45" i="33"/>
  <c r="S30" i="21"/>
  <c r="AA30" i="21"/>
  <c r="S11" i="21"/>
  <c r="AA11" i="21"/>
  <c r="F105" i="46"/>
  <c r="G106" i="46"/>
  <c r="L58" i="75"/>
  <c r="L59" i="75"/>
  <c r="F63" i="75"/>
  <c r="F65" i="75"/>
  <c r="C6" i="75"/>
  <c r="C32" i="75" s="1"/>
  <c r="F67" i="75"/>
  <c r="C27" i="75"/>
  <c r="F64" i="75"/>
  <c r="L57" i="75"/>
  <c r="I54" i="75"/>
  <c r="J60" i="75"/>
  <c r="Q49" i="75" s="1"/>
  <c r="J53" i="75"/>
  <c r="L60" i="75"/>
  <c r="J59" i="75"/>
  <c r="L56" i="75"/>
  <c r="J57" i="75"/>
  <c r="J55" i="75" s="1"/>
  <c r="J58" i="75" s="1"/>
  <c r="Q51" i="75" s="1"/>
  <c r="F50" i="75"/>
  <c r="Q72" i="75"/>
  <c r="F49" i="75"/>
  <c r="M7" i="75"/>
  <c r="J6" i="75" s="1"/>
  <c r="J18" i="75" s="1"/>
  <c r="F70" i="75"/>
  <c r="F27" i="6"/>
  <c r="L104" i="46"/>
  <c r="H104" i="46"/>
  <c r="H103" i="46"/>
  <c r="L103" i="46"/>
  <c r="L106" i="46"/>
  <c r="H107" i="46"/>
  <c r="L102" i="46"/>
  <c r="J103" i="46"/>
  <c r="J104" i="46"/>
  <c r="C107" i="46"/>
  <c r="D21" i="12"/>
  <c r="C21" i="12" s="1"/>
  <c r="J107" i="46"/>
  <c r="L109" i="46"/>
  <c r="J105" i="46"/>
  <c r="J109" i="46"/>
  <c r="J102" i="46"/>
  <c r="N104" i="46"/>
  <c r="K109" i="46"/>
  <c r="G105" i="46"/>
  <c r="D103" i="46"/>
  <c r="D102" i="46"/>
  <c r="D109" i="46"/>
  <c r="L107" i="46"/>
  <c r="I104" i="46"/>
  <c r="K105" i="46"/>
  <c r="G109" i="46"/>
  <c r="G104" i="46"/>
  <c r="I103" i="46"/>
  <c r="D118" i="46"/>
  <c r="E118" i="46" s="1"/>
  <c r="F118" i="46" s="1"/>
  <c r="K107" i="46"/>
  <c r="G107" i="46"/>
  <c r="I107" i="46"/>
  <c r="I109" i="46"/>
  <c r="I106" i="46"/>
  <c r="C106" i="46"/>
  <c r="K102" i="46"/>
  <c r="G102" i="46"/>
  <c r="K104" i="46"/>
  <c r="I102" i="46"/>
  <c r="J6" i="31"/>
  <c r="E306" i="31"/>
  <c r="E314" i="31"/>
  <c r="E322" i="31"/>
  <c r="E330" i="31"/>
  <c r="E338" i="31"/>
  <c r="E346" i="31"/>
  <c r="E354"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4" i="31"/>
  <c r="E25" i="31"/>
  <c r="E308" i="31"/>
  <c r="E316" i="31"/>
  <c r="E324" i="31"/>
  <c r="E332" i="31"/>
  <c r="E340" i="31"/>
  <c r="E348" i="31"/>
  <c r="E356" i="31"/>
  <c r="E364"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26" i="31"/>
  <c r="E520" i="31"/>
  <c r="E300" i="31"/>
  <c r="E310" i="31"/>
  <c r="E318" i="31"/>
  <c r="E326" i="31"/>
  <c r="E334" i="31"/>
  <c r="E342" i="31"/>
  <c r="E350" i="31"/>
  <c r="E358"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27" i="31"/>
  <c r="E516" i="31"/>
  <c r="E304" i="31"/>
  <c r="E312" i="31"/>
  <c r="E320" i="31"/>
  <c r="E328" i="31"/>
  <c r="E336" i="31"/>
  <c r="E344" i="31"/>
  <c r="E352" i="31"/>
  <c r="E360"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28" i="31"/>
  <c r="N102" i="46"/>
  <c r="O8" i="1"/>
  <c r="P8" i="1" s="1"/>
  <c r="F11" i="75"/>
  <c r="M11" i="75"/>
  <c r="J10" i="75" s="1"/>
  <c r="S23" i="21"/>
  <c r="W23" i="21"/>
  <c r="AA17" i="21"/>
  <c r="U37" i="21"/>
  <c r="AB37" i="21"/>
  <c r="S37" i="21"/>
  <c r="AA37" i="21"/>
  <c r="W37" i="21"/>
  <c r="AC37" i="21"/>
  <c r="AB23" i="21"/>
  <c r="S19" i="21"/>
  <c r="W19" i="21"/>
  <c r="AC19" i="21"/>
  <c r="W17" i="21"/>
  <c r="AC28" i="21"/>
  <c r="W28" i="21"/>
  <c r="U28" i="21"/>
  <c r="C5" i="46"/>
  <c r="U23" i="39"/>
  <c r="W27" i="39"/>
  <c r="U27" i="39"/>
  <c r="S27" i="39"/>
  <c r="W23" i="39"/>
  <c r="S23" i="39"/>
  <c r="AC19" i="39"/>
  <c r="AA19" i="39"/>
  <c r="S17" i="39"/>
  <c r="W41" i="39"/>
  <c r="N107" i="46"/>
  <c r="N103" i="46"/>
  <c r="N109" i="46"/>
  <c r="N106" i="46"/>
  <c r="H105" i="46"/>
  <c r="H106" i="46"/>
  <c r="M109" i="46"/>
  <c r="M106" i="46"/>
  <c r="M107" i="46"/>
  <c r="AG13" i="46"/>
  <c r="M103" i="46"/>
  <c r="M102" i="46"/>
  <c r="M104" i="46"/>
  <c r="B118" i="46"/>
  <c r="C118" i="46" s="1"/>
  <c r="E107" i="46"/>
  <c r="C105" i="46"/>
  <c r="E104" i="46"/>
  <c r="B115" i="46"/>
  <c r="C115" i="46" s="1"/>
  <c r="B117" i="46"/>
  <c r="C117" i="46" s="1"/>
  <c r="I116" i="46"/>
  <c r="J116" i="46" s="1"/>
  <c r="K116" i="46" s="1"/>
  <c r="L116" i="46" s="1"/>
  <c r="M116" i="46" s="1"/>
  <c r="I118" i="46"/>
  <c r="J118" i="46" s="1"/>
  <c r="K118" i="46" s="1"/>
  <c r="L118" i="46" s="1"/>
  <c r="M118" i="46" s="1"/>
  <c r="C102" i="46"/>
  <c r="C103" i="46"/>
  <c r="I117" i="46"/>
  <c r="J117" i="46" s="1"/>
  <c r="K117" i="46" s="1"/>
  <c r="L117" i="46" s="1"/>
  <c r="M117" i="46" s="1"/>
  <c r="D116" i="46"/>
  <c r="E116" i="46" s="1"/>
  <c r="F116" i="46" s="1"/>
  <c r="G116" i="46" s="1"/>
  <c r="H116" i="46" s="1"/>
  <c r="E106" i="46"/>
  <c r="E105" i="46"/>
  <c r="E103" i="46"/>
  <c r="C104" i="46"/>
  <c r="E102" i="46"/>
  <c r="B116" i="46"/>
  <c r="C116" i="46" s="1"/>
  <c r="D115" i="46"/>
  <c r="E115" i="46" s="1"/>
  <c r="F115" i="46" s="1"/>
  <c r="G115" i="46" s="1"/>
  <c r="H115" i="46" s="1"/>
  <c r="G118" i="46"/>
  <c r="H118" i="46" s="1"/>
  <c r="D117" i="46"/>
  <c r="E117" i="46" s="1"/>
  <c r="F117" i="46" s="1"/>
  <c r="G117" i="46" s="1"/>
  <c r="H117" i="46" s="1"/>
  <c r="M18" i="15"/>
  <c r="F72" i="9"/>
  <c r="M20" i="44"/>
  <c r="F31" i="6"/>
  <c r="E16" i="6"/>
  <c r="A25" i="51"/>
  <c r="B18" i="63" s="1"/>
  <c r="A3" i="55"/>
  <c r="B56" i="63" s="1"/>
  <c r="A17" i="64"/>
  <c r="K17" i="4"/>
  <c r="A22" i="51" s="1"/>
  <c r="B16" i="63" s="1"/>
  <c r="J7" i="21"/>
  <c r="W7" i="21" s="1"/>
  <c r="J1" i="65"/>
  <c r="L60" i="44"/>
  <c r="Q76" i="44" s="1"/>
  <c r="L59" i="44"/>
  <c r="Q75" i="44" s="1"/>
  <c r="Q72" i="15"/>
  <c r="J58" i="44"/>
  <c r="J56" i="44" s="1"/>
  <c r="J59" i="44" s="1"/>
  <c r="Q52" i="44" s="1"/>
  <c r="I55" i="44"/>
  <c r="J54" i="44"/>
  <c r="F1" i="44" s="1"/>
  <c r="J61" i="44"/>
  <c r="Q50" i="44" s="1"/>
  <c r="L57" i="44"/>
  <c r="J60" i="44"/>
  <c r="F67" i="15"/>
  <c r="I1" i="65"/>
  <c r="M7" i="15"/>
  <c r="M17" i="15" s="1"/>
  <c r="F31" i="15"/>
  <c r="C6" i="15"/>
  <c r="C32" i="15" s="1"/>
  <c r="F49" i="15"/>
  <c r="C48" i="15" s="1"/>
  <c r="F33" i="44"/>
  <c r="C8" i="44"/>
  <c r="C34" i="44" s="1"/>
  <c r="T61" i="59"/>
  <c r="D61" i="59"/>
  <c r="AZ98" i="3"/>
  <c r="BA5" i="3"/>
  <c r="E27" i="6" s="1"/>
  <c r="K22" i="6" s="1"/>
  <c r="M22" i="6" s="1"/>
  <c r="I22" i="6" s="1"/>
  <c r="S22" i="6" s="1"/>
  <c r="AC34" i="35"/>
  <c r="W34" i="35"/>
  <c r="U12" i="33"/>
  <c r="AB12" i="33"/>
  <c r="U47" i="34"/>
  <c r="AB47" i="34"/>
  <c r="U31" i="34"/>
  <c r="AB31" i="34"/>
  <c r="AA12" i="33"/>
  <c r="S12" i="33"/>
  <c r="BL5" i="3"/>
  <c r="AZ13" i="3"/>
  <c r="AA27" i="33"/>
  <c r="S27" i="33"/>
  <c r="U45" i="21"/>
  <c r="AB45" i="21"/>
  <c r="W29" i="21"/>
  <c r="AC29" i="21"/>
  <c r="W34" i="36"/>
  <c r="AC34" i="36"/>
  <c r="U12" i="36"/>
  <c r="AB12" i="36"/>
  <c r="J8" i="44"/>
  <c r="J20" i="44" s="1"/>
  <c r="B16" i="59"/>
  <c r="B15" i="59" s="1"/>
  <c r="B14" i="59" s="1"/>
  <c r="B13" i="59" s="1"/>
  <c r="S13" i="59" s="1"/>
  <c r="S17" i="59"/>
  <c r="G30" i="6"/>
  <c r="G31" i="6" s="1"/>
  <c r="N68" i="59"/>
  <c r="B67" i="59"/>
  <c r="D28" i="59"/>
  <c r="C27" i="59"/>
  <c r="D27" i="59" s="1"/>
  <c r="AA9" i="33"/>
  <c r="S9" i="33"/>
  <c r="AA47" i="34"/>
  <c r="S47" i="34"/>
  <c r="AA13" i="34"/>
  <c r="S13" i="34"/>
  <c r="W12" i="33"/>
  <c r="AC12" i="33"/>
  <c r="S9" i="21"/>
  <c r="AA9" i="21"/>
  <c r="AB25" i="35"/>
  <c r="U25" i="35"/>
  <c r="AC45" i="21"/>
  <c r="W45" i="21"/>
  <c r="AC13" i="21"/>
  <c r="W13" i="21"/>
  <c r="C20" i="59"/>
  <c r="D21" i="59"/>
  <c r="T21" i="59"/>
  <c r="F16" i="59"/>
  <c r="F15" i="59" s="1"/>
  <c r="F14" i="59" s="1"/>
  <c r="F13" i="59" s="1"/>
  <c r="V17" i="59"/>
  <c r="E16" i="59"/>
  <c r="E15" i="59" s="1"/>
  <c r="E14" i="59" s="1"/>
  <c r="E13" i="59" s="1"/>
  <c r="U17" i="59"/>
  <c r="N4" i="63"/>
  <c r="B21" i="63"/>
  <c r="C67" i="59"/>
  <c r="O68" i="59"/>
  <c r="D68" i="59"/>
  <c r="C40" i="59"/>
  <c r="D39" i="59"/>
  <c r="AZ532" i="3"/>
  <c r="S31" i="34"/>
  <c r="AA31" i="34"/>
  <c r="U13" i="34"/>
  <c r="AB13" i="34"/>
  <c r="AC36" i="35"/>
  <c r="W36" i="35"/>
  <c r="AC9" i="21"/>
  <c r="W9" i="21"/>
  <c r="AZ488" i="3"/>
  <c r="AC25" i="35"/>
  <c r="W25" i="35"/>
  <c r="AC27" i="33"/>
  <c r="W27" i="33"/>
  <c r="U29" i="21"/>
  <c r="AB29" i="21"/>
  <c r="AA13" i="21"/>
  <c r="S13" i="21"/>
  <c r="AZ541" i="3"/>
  <c r="AZ546" i="3"/>
  <c r="D84" i="59"/>
  <c r="C83" i="59"/>
  <c r="D83" i="59" s="1"/>
  <c r="C37" i="59"/>
  <c r="D36" i="59"/>
  <c r="C33" i="59"/>
  <c r="D32" i="59"/>
  <c r="C53" i="59"/>
  <c r="D52" i="59"/>
  <c r="U29" i="59"/>
  <c r="E28" i="59"/>
  <c r="E27" i="59" s="1"/>
  <c r="AC30" i="21"/>
  <c r="W30" i="21"/>
  <c r="S34" i="35"/>
  <c r="AA34" i="35"/>
  <c r="AZ493" i="3"/>
  <c r="AC47" i="34"/>
  <c r="W47" i="34"/>
  <c r="AC31" i="34"/>
  <c r="W31" i="34"/>
  <c r="W13" i="34"/>
  <c r="AC13" i="34"/>
  <c r="AB9" i="21"/>
  <c r="U9" i="21"/>
  <c r="S25" i="35"/>
  <c r="AA25" i="35"/>
  <c r="U27" i="33"/>
  <c r="AB27" i="33"/>
  <c r="AA45" i="21"/>
  <c r="S45" i="21"/>
  <c r="S29" i="21"/>
  <c r="AA29" i="21"/>
  <c r="U13" i="21"/>
  <c r="AB13" i="21"/>
  <c r="AZ544" i="3"/>
  <c r="AB34" i="36"/>
  <c r="U34" i="36"/>
  <c r="W12" i="36"/>
  <c r="AC12" i="36"/>
  <c r="C7" i="46"/>
  <c r="G5" i="3"/>
  <c r="B3" i="3" s="1"/>
  <c r="B24" i="31" s="1"/>
  <c r="F21" i="43"/>
  <c r="F33" i="12"/>
  <c r="C34" i="12" s="1"/>
  <c r="D33" i="12" s="1"/>
  <c r="E65" i="39"/>
  <c r="E60" i="40"/>
  <c r="E63" i="39"/>
  <c r="E58" i="40"/>
  <c r="E64" i="39"/>
  <c r="E59" i="40"/>
  <c r="E62" i="39"/>
  <c r="E57" i="40"/>
  <c r="E66" i="39"/>
  <c r="E61" i="40"/>
  <c r="E30" i="6"/>
  <c r="K14" i="1"/>
  <c r="H7" i="34"/>
  <c r="AB7" i="34" s="1"/>
  <c r="T49" i="34" s="1"/>
  <c r="G49" i="34" s="1"/>
  <c r="F7" i="34"/>
  <c r="AA7" i="34" s="1"/>
  <c r="R49" i="34" s="1"/>
  <c r="J7" i="34"/>
  <c r="W7" i="34" s="1"/>
  <c r="G16" i="1"/>
  <c r="J12" i="40" s="1"/>
  <c r="F7" i="21"/>
  <c r="AA7" i="21" s="1"/>
  <c r="H7" i="21"/>
  <c r="AB7" i="21" s="1"/>
  <c r="E12" i="59"/>
  <c r="U13" i="59"/>
  <c r="H7" i="35"/>
  <c r="U7" i="35" s="1"/>
  <c r="E64" i="40"/>
  <c r="D66" i="40"/>
  <c r="AC7" i="33"/>
  <c r="V48" i="33" s="1"/>
  <c r="I48" i="33" s="1"/>
  <c r="W7" i="33"/>
  <c r="AC7" i="34"/>
  <c r="V49" i="34" s="1"/>
  <c r="I49" i="34" s="1"/>
  <c r="J7" i="37"/>
  <c r="D71" i="39"/>
  <c r="E69" i="39"/>
  <c r="H7" i="33"/>
  <c r="F7" i="33"/>
  <c r="J46" i="36"/>
  <c r="J7" i="35"/>
  <c r="F7" i="35"/>
  <c r="H7" i="37"/>
  <c r="F7" i="37"/>
  <c r="M19" i="44"/>
  <c r="C19" i="46"/>
  <c r="C34" i="46" s="1"/>
  <c r="Q62" i="15"/>
  <c r="Q75" i="15"/>
  <c r="M13" i="44"/>
  <c r="J12" i="44" s="1"/>
  <c r="F11" i="15"/>
  <c r="M11" i="15"/>
  <c r="J10" i="15" s="1"/>
  <c r="F13" i="44"/>
  <c r="C12" i="44" s="1"/>
  <c r="M28" i="46"/>
  <c r="P28" i="46"/>
  <c r="O28" i="46"/>
  <c r="N28" i="46"/>
  <c r="F1" i="15"/>
  <c r="Q53" i="15"/>
  <c r="Q61" i="15"/>
  <c r="Q74" i="15"/>
  <c r="C16" i="75"/>
  <c r="E2" i="65"/>
  <c r="AE7" i="1"/>
  <c r="F41" i="75"/>
  <c r="F41" i="15"/>
  <c r="C18" i="44"/>
  <c r="E3" i="65"/>
  <c r="B12" i="59" l="1"/>
  <c r="J5" i="75"/>
  <c r="J24" i="75" s="1"/>
  <c r="C33" i="75"/>
  <c r="C48" i="75"/>
  <c r="C60" i="75" s="1"/>
  <c r="Q53" i="75"/>
  <c r="F1" i="75"/>
  <c r="Q75" i="75"/>
  <c r="Q62" i="75"/>
  <c r="Q67" i="75"/>
  <c r="Q58" i="75"/>
  <c r="Q74" i="75"/>
  <c r="Q61" i="75"/>
  <c r="C25" i="31"/>
  <c r="B22" i="31"/>
  <c r="K6" i="31"/>
  <c r="L6" i="31" s="1"/>
  <c r="M6" i="31" s="1"/>
  <c r="N6" i="31" s="1"/>
  <c r="O6" i="31" s="1"/>
  <c r="P6" i="31" s="1"/>
  <c r="Q6" i="31" s="1"/>
  <c r="R6" i="31" s="1"/>
  <c r="S6" i="31" s="1"/>
  <c r="E42" i="31"/>
  <c r="E58" i="31"/>
  <c r="E74" i="31"/>
  <c r="E90" i="31"/>
  <c r="E106" i="31"/>
  <c r="E122" i="31"/>
  <c r="E138" i="31"/>
  <c r="E154" i="31"/>
  <c r="E170" i="31"/>
  <c r="E186" i="31"/>
  <c r="E202" i="31"/>
  <c r="E218" i="31"/>
  <c r="E234" i="31"/>
  <c r="E250" i="31"/>
  <c r="E266" i="31"/>
  <c r="E282" i="31"/>
  <c r="E298" i="31"/>
  <c r="E39" i="31"/>
  <c r="E55" i="31"/>
  <c r="E71" i="31"/>
  <c r="E87" i="31"/>
  <c r="E103" i="31"/>
  <c r="E119" i="31"/>
  <c r="E135" i="31"/>
  <c r="E151" i="31"/>
  <c r="E167" i="31"/>
  <c r="E183" i="31"/>
  <c r="E199" i="31"/>
  <c r="E215" i="31"/>
  <c r="E231" i="31"/>
  <c r="E247" i="31"/>
  <c r="E263" i="31"/>
  <c r="E279" i="31"/>
  <c r="E295" i="31"/>
  <c r="E311" i="31"/>
  <c r="E327" i="31"/>
  <c r="E343" i="31"/>
  <c r="E359" i="31"/>
  <c r="E40" i="31"/>
  <c r="E56" i="31"/>
  <c r="E72" i="31"/>
  <c r="E88" i="31"/>
  <c r="E104" i="31"/>
  <c r="E120" i="31"/>
  <c r="E136" i="31"/>
  <c r="E152" i="31"/>
  <c r="E168" i="31"/>
  <c r="E184" i="31"/>
  <c r="E200" i="31"/>
  <c r="E216" i="31"/>
  <c r="E232" i="31"/>
  <c r="E248" i="31"/>
  <c r="E264" i="31"/>
  <c r="E280" i="31"/>
  <c r="E296" i="31"/>
  <c r="E41" i="31"/>
  <c r="E57" i="31"/>
  <c r="E73" i="31"/>
  <c r="E89" i="31"/>
  <c r="E105" i="31"/>
  <c r="E121" i="31"/>
  <c r="E137" i="31"/>
  <c r="E153" i="31"/>
  <c r="E169" i="31"/>
  <c r="E185" i="31"/>
  <c r="E201" i="31"/>
  <c r="E217" i="31"/>
  <c r="E233" i="31"/>
  <c r="E249" i="31"/>
  <c r="E265" i="31"/>
  <c r="E281" i="31"/>
  <c r="E297" i="31"/>
  <c r="E313" i="31"/>
  <c r="E329" i="31"/>
  <c r="E345" i="31"/>
  <c r="E361" i="31"/>
  <c r="E145" i="31"/>
  <c r="E177" i="31"/>
  <c r="E209" i="31"/>
  <c r="E257" i="31"/>
  <c r="E305" i="31"/>
  <c r="E337" i="31"/>
  <c r="E277" i="31"/>
  <c r="E357" i="31"/>
  <c r="E30" i="31"/>
  <c r="E46" i="31"/>
  <c r="E62" i="31"/>
  <c r="E78" i="31"/>
  <c r="E94" i="31"/>
  <c r="E110" i="31"/>
  <c r="E126" i="31"/>
  <c r="E142" i="31"/>
  <c r="E158" i="31"/>
  <c r="E174" i="31"/>
  <c r="E190" i="31"/>
  <c r="E206" i="31"/>
  <c r="E222" i="31"/>
  <c r="E238" i="31"/>
  <c r="E254" i="31"/>
  <c r="E270" i="31"/>
  <c r="E286" i="31"/>
  <c r="E302" i="31"/>
  <c r="E43" i="31"/>
  <c r="E59" i="31"/>
  <c r="E75" i="31"/>
  <c r="E91" i="31"/>
  <c r="E107" i="31"/>
  <c r="E123" i="31"/>
  <c r="E139" i="31"/>
  <c r="E155" i="31"/>
  <c r="E171" i="31"/>
  <c r="E187" i="31"/>
  <c r="E203" i="31"/>
  <c r="E219" i="31"/>
  <c r="E235" i="31"/>
  <c r="E251" i="31"/>
  <c r="E267" i="31"/>
  <c r="E283" i="31"/>
  <c r="E299" i="31"/>
  <c r="E315" i="31"/>
  <c r="E331" i="31"/>
  <c r="E347" i="31"/>
  <c r="E363" i="31"/>
  <c r="E44" i="31"/>
  <c r="E60" i="31"/>
  <c r="E76" i="31"/>
  <c r="E92" i="31"/>
  <c r="E108" i="31"/>
  <c r="E124" i="31"/>
  <c r="E140" i="31"/>
  <c r="E156" i="31"/>
  <c r="E172" i="31"/>
  <c r="E188" i="31"/>
  <c r="E204" i="31"/>
  <c r="E220" i="31"/>
  <c r="E236" i="31"/>
  <c r="E252" i="31"/>
  <c r="E268" i="31"/>
  <c r="E284" i="31"/>
  <c r="E29" i="31"/>
  <c r="E45" i="31"/>
  <c r="E61" i="31"/>
  <c r="E77" i="31"/>
  <c r="E93" i="31"/>
  <c r="E109" i="31"/>
  <c r="E125" i="31"/>
  <c r="E141" i="31"/>
  <c r="E157" i="31"/>
  <c r="E173" i="31"/>
  <c r="E189" i="31"/>
  <c r="E205" i="31"/>
  <c r="E221" i="31"/>
  <c r="E237" i="31"/>
  <c r="E253" i="31"/>
  <c r="E269" i="31"/>
  <c r="E285" i="31"/>
  <c r="E301" i="31"/>
  <c r="E317" i="31"/>
  <c r="E333" i="31"/>
  <c r="E349" i="31"/>
  <c r="E365" i="31"/>
  <c r="E161" i="31"/>
  <c r="E193" i="31"/>
  <c r="E225" i="31"/>
  <c r="E241" i="31"/>
  <c r="E289" i="31"/>
  <c r="E353" i="31"/>
  <c r="E325" i="31"/>
  <c r="E34" i="31"/>
  <c r="E50" i="31"/>
  <c r="E66" i="31"/>
  <c r="E82" i="31"/>
  <c r="E98" i="31"/>
  <c r="E114" i="31"/>
  <c r="E130" i="31"/>
  <c r="E146" i="31"/>
  <c r="E162" i="31"/>
  <c r="E178" i="31"/>
  <c r="E194" i="31"/>
  <c r="E210" i="31"/>
  <c r="E226" i="31"/>
  <c r="E242" i="31"/>
  <c r="E258" i="31"/>
  <c r="E274" i="31"/>
  <c r="E290" i="31"/>
  <c r="E31" i="31"/>
  <c r="E47" i="31"/>
  <c r="E63" i="31"/>
  <c r="E79" i="31"/>
  <c r="E95" i="31"/>
  <c r="E111" i="31"/>
  <c r="E127" i="31"/>
  <c r="E143" i="31"/>
  <c r="E159" i="31"/>
  <c r="E175" i="31"/>
  <c r="E191" i="31"/>
  <c r="E207" i="31"/>
  <c r="E223" i="31"/>
  <c r="E239" i="31"/>
  <c r="E255" i="31"/>
  <c r="E271" i="31"/>
  <c r="E287" i="31"/>
  <c r="E303" i="31"/>
  <c r="E319" i="31"/>
  <c r="E335" i="31"/>
  <c r="E351" i="31"/>
  <c r="E32" i="31"/>
  <c r="E48" i="31"/>
  <c r="E64" i="31"/>
  <c r="E80" i="31"/>
  <c r="E96" i="31"/>
  <c r="E112" i="31"/>
  <c r="E128" i="31"/>
  <c r="E144" i="31"/>
  <c r="E160" i="31"/>
  <c r="E176" i="31"/>
  <c r="E192" i="31"/>
  <c r="E208" i="31"/>
  <c r="E224" i="31"/>
  <c r="E240" i="31"/>
  <c r="E256" i="31"/>
  <c r="E272" i="31"/>
  <c r="E288" i="31"/>
  <c r="E33" i="31"/>
  <c r="E49" i="31"/>
  <c r="E65" i="31"/>
  <c r="E81" i="31"/>
  <c r="E97" i="31"/>
  <c r="E113" i="31"/>
  <c r="E129" i="31"/>
  <c r="E273" i="31"/>
  <c r="E321" i="31"/>
  <c r="E293" i="31"/>
  <c r="E38" i="31"/>
  <c r="E54" i="31"/>
  <c r="E70" i="31"/>
  <c r="E86" i="31"/>
  <c r="E102" i="31"/>
  <c r="E118" i="31"/>
  <c r="E134" i="31"/>
  <c r="E150" i="31"/>
  <c r="E166" i="31"/>
  <c r="E182" i="31"/>
  <c r="E198" i="31"/>
  <c r="E214" i="31"/>
  <c r="E230" i="31"/>
  <c r="E246" i="31"/>
  <c r="E262" i="31"/>
  <c r="E278" i="31"/>
  <c r="E294" i="31"/>
  <c r="E35" i="31"/>
  <c r="E51" i="31"/>
  <c r="E67" i="31"/>
  <c r="E83" i="31"/>
  <c r="E99" i="31"/>
  <c r="E115" i="31"/>
  <c r="E131" i="31"/>
  <c r="E147" i="31"/>
  <c r="E163" i="31"/>
  <c r="E179" i="31"/>
  <c r="E195" i="31"/>
  <c r="E211" i="31"/>
  <c r="E227" i="31"/>
  <c r="E243" i="31"/>
  <c r="E259" i="31"/>
  <c r="E275" i="31"/>
  <c r="E291" i="31"/>
  <c r="E307" i="31"/>
  <c r="E323" i="31"/>
  <c r="E339" i="31"/>
  <c r="E355" i="31"/>
  <c r="E36" i="31"/>
  <c r="E52" i="31"/>
  <c r="E68" i="31"/>
  <c r="E84" i="31"/>
  <c r="E100" i="31"/>
  <c r="E116" i="31"/>
  <c r="E132" i="31"/>
  <c r="E148" i="31"/>
  <c r="E164" i="31"/>
  <c r="E180" i="31"/>
  <c r="E196" i="31"/>
  <c r="E212" i="31"/>
  <c r="E228" i="31"/>
  <c r="E244" i="31"/>
  <c r="E260" i="31"/>
  <c r="E276" i="31"/>
  <c r="E292" i="31"/>
  <c r="E37" i="31"/>
  <c r="E53" i="31"/>
  <c r="E69" i="31"/>
  <c r="E85" i="31"/>
  <c r="E101" i="31"/>
  <c r="E117" i="31"/>
  <c r="E133" i="31"/>
  <c r="E149" i="31"/>
  <c r="E165" i="31"/>
  <c r="E181" i="31"/>
  <c r="E197" i="31"/>
  <c r="E213" i="31"/>
  <c r="E229" i="31"/>
  <c r="E245" i="31"/>
  <c r="E261" i="31"/>
  <c r="E309" i="31"/>
  <c r="E341" i="31"/>
  <c r="F68" i="75"/>
  <c r="J26" i="75"/>
  <c r="J29" i="75" s="1"/>
  <c r="C52" i="75"/>
  <c r="C10" i="75"/>
  <c r="C5" i="75" s="1"/>
  <c r="AC7" i="21"/>
  <c r="F68" i="15"/>
  <c r="D113" i="46"/>
  <c r="E31" i="6"/>
  <c r="Q63" i="44"/>
  <c r="J6" i="15"/>
  <c r="J18" i="15" s="1"/>
  <c r="Q62" i="44"/>
  <c r="Q54" i="44"/>
  <c r="C7" i="44"/>
  <c r="C40" i="44" s="1"/>
  <c r="U7" i="34"/>
  <c r="S7" i="34"/>
  <c r="F58" i="15"/>
  <c r="J7" i="44"/>
  <c r="J28" i="44" s="1"/>
  <c r="B40" i="1"/>
  <c r="F24" i="75" s="1"/>
  <c r="F17" i="11"/>
  <c r="C17" i="11" s="1"/>
  <c r="C19" i="11" s="1"/>
  <c r="C20" i="11" s="1"/>
  <c r="C21" i="11" s="1"/>
  <c r="C22" i="11" s="1"/>
  <c r="C23" i="11" s="1"/>
  <c r="B2" i="11" s="1"/>
  <c r="O67" i="59"/>
  <c r="D67" i="59"/>
  <c r="O66" i="59"/>
  <c r="K19" i="6"/>
  <c r="K24" i="6"/>
  <c r="M24" i="6" s="1"/>
  <c r="I24" i="6" s="1"/>
  <c r="S24" i="6" s="1"/>
  <c r="T53" i="59"/>
  <c r="D53" i="59"/>
  <c r="D37" i="59"/>
  <c r="T37" i="59"/>
  <c r="C41" i="59"/>
  <c r="D40" i="59"/>
  <c r="N66" i="59"/>
  <c r="N67" i="59"/>
  <c r="AZ5" i="3"/>
  <c r="E3" i="6" s="1"/>
  <c r="C33" i="21" s="1"/>
  <c r="K20" i="6"/>
  <c r="K25" i="6"/>
  <c r="M25" i="6" s="1"/>
  <c r="I25" i="6" s="1"/>
  <c r="S25" i="6" s="1"/>
  <c r="C19" i="59"/>
  <c r="D20" i="59"/>
  <c r="K26" i="6"/>
  <c r="M26" i="6" s="1"/>
  <c r="I26" i="6" s="1"/>
  <c r="S26" i="6" s="1"/>
  <c r="K23" i="6"/>
  <c r="M23" i="6" s="1"/>
  <c r="I23" i="6" s="1"/>
  <c r="S23" i="6" s="1"/>
  <c r="D33" i="59"/>
  <c r="T33" i="59"/>
  <c r="F12" i="59"/>
  <c r="F11" i="59" s="1"/>
  <c r="V13" i="59"/>
  <c r="K2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47" i="15" s="1"/>
  <c r="C10" i="15"/>
  <c r="C5" i="15" s="1"/>
  <c r="F46" i="44"/>
  <c r="AE8" i="1"/>
  <c r="J31" i="44" l="1"/>
  <c r="C47" i="75"/>
  <c r="C65" i="75" s="1"/>
  <c r="H33" i="21"/>
  <c r="F33" i="21"/>
  <c r="J33" i="21"/>
  <c r="C24" i="75"/>
  <c r="C38" i="75"/>
  <c r="M21" i="6"/>
  <c r="I21" i="6" s="1"/>
  <c r="S21" i="6" s="1"/>
  <c r="S8" i="1"/>
  <c r="M20" i="6"/>
  <c r="I20" i="6" s="1"/>
  <c r="S20" i="6" s="1"/>
  <c r="S7" i="1"/>
  <c r="AY6" i="3"/>
  <c r="AY53" i="3" s="1"/>
  <c r="J5" i="15"/>
  <c r="J24" i="15" s="1"/>
  <c r="J26" i="44"/>
  <c r="G43" i="35"/>
  <c r="H43" i="35" s="1"/>
  <c r="D16" i="43"/>
  <c r="C16" i="43" s="1"/>
  <c r="L38" i="9"/>
  <c r="B14" i="66" s="1"/>
  <c r="B1" i="66" s="1"/>
  <c r="C21" i="4"/>
  <c r="O5" i="54" s="1"/>
  <c r="B45" i="63" s="1"/>
  <c r="D45" i="9"/>
  <c r="D46" i="9"/>
  <c r="D16" i="12"/>
  <c r="E6" i="6"/>
  <c r="T41" i="59"/>
  <c r="D41" i="59"/>
  <c r="C18" i="59"/>
  <c r="D19" i="59"/>
  <c r="S6" i="1"/>
  <c r="K27" i="6"/>
  <c r="M19" i="6"/>
  <c r="F9" i="59"/>
  <c r="V9" i="59" s="1"/>
  <c r="H6" i="3"/>
  <c r="AC6"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3" i="11"/>
  <c r="C38" i="15"/>
  <c r="Q58" i="44"/>
  <c r="Q67" i="44"/>
  <c r="Q49" i="44"/>
  <c r="Q55" i="44" s="1"/>
  <c r="F7" i="67"/>
  <c r="C19" i="44"/>
  <c r="C17" i="15"/>
  <c r="C17" i="75"/>
  <c r="C59" i="75" l="1"/>
  <c r="BF6" i="3"/>
  <c r="AY562" i="3"/>
  <c r="AY417" i="3"/>
  <c r="AY49" i="3"/>
  <c r="AY400" i="3"/>
  <c r="AY401" i="3"/>
  <c r="AY148" i="3"/>
  <c r="AY392" i="3"/>
  <c r="AY416" i="3"/>
  <c r="AY512" i="3"/>
  <c r="AY230" i="3"/>
  <c r="AY177" i="3"/>
  <c r="AY419" i="3"/>
  <c r="AY273" i="3"/>
  <c r="AY321" i="3"/>
  <c r="AY549" i="3"/>
  <c r="AY473" i="3"/>
  <c r="AY277" i="3"/>
  <c r="AY520" i="3"/>
  <c r="AY21" i="3"/>
  <c r="AY172" i="3"/>
  <c r="AY246" i="3"/>
  <c r="AY207" i="3"/>
  <c r="AY156" i="3"/>
  <c r="AY194" i="3"/>
  <c r="AY149" i="3"/>
  <c r="AY205" i="3"/>
  <c r="AY396" i="3"/>
  <c r="AY437" i="3"/>
  <c r="AY432" i="3"/>
  <c r="AY147" i="3"/>
  <c r="AY42" i="3"/>
  <c r="AY25" i="3"/>
  <c r="AY43" i="3"/>
  <c r="AY265" i="3"/>
  <c r="AY47" i="3"/>
  <c r="AY168" i="3"/>
  <c r="AY407" i="3"/>
  <c r="AY563" i="3"/>
  <c r="AY391" i="3"/>
  <c r="AY360" i="3"/>
  <c r="AY543" i="3"/>
  <c r="AY516" i="3"/>
  <c r="AY169" i="3"/>
  <c r="AY41" i="3"/>
  <c r="AY138" i="3"/>
  <c r="AY327" i="3"/>
  <c r="AY89" i="3"/>
  <c r="AY414" i="3"/>
  <c r="AY466" i="3"/>
  <c r="BT6" i="3"/>
  <c r="AY195" i="3"/>
  <c r="AY570" i="3"/>
  <c r="AY447" i="3"/>
  <c r="AY443" i="3"/>
  <c r="AY211" i="3"/>
  <c r="AY290" i="3"/>
  <c r="AY359" i="3"/>
  <c r="AY216" i="3"/>
  <c r="AY318" i="3"/>
  <c r="AY428" i="3"/>
  <c r="AY337" i="3"/>
  <c r="AY442" i="3"/>
  <c r="AY141" i="3"/>
  <c r="AY100" i="3"/>
  <c r="AY295" i="3"/>
  <c r="AY552" i="3"/>
  <c r="AY357" i="3"/>
  <c r="AY507" i="3"/>
  <c r="BQ6" i="3"/>
  <c r="AY457" i="3"/>
  <c r="AY236" i="3"/>
  <c r="AY70" i="3"/>
  <c r="AY82" i="3"/>
  <c r="AY166" i="3"/>
  <c r="AY567" i="3"/>
  <c r="AY462" i="3"/>
  <c r="AY191" i="3"/>
  <c r="AY243" i="3"/>
  <c r="AY85" i="3"/>
  <c r="AY440" i="3"/>
  <c r="AY165" i="3"/>
  <c r="AY299" i="3"/>
  <c r="BA6" i="3"/>
  <c r="AY494" i="3"/>
  <c r="AY257" i="3"/>
  <c r="AY303" i="3"/>
  <c r="AY176" i="3"/>
  <c r="AY465" i="3"/>
  <c r="AY333" i="3"/>
  <c r="AY161" i="3"/>
  <c r="AY402" i="3"/>
  <c r="AY486" i="3"/>
  <c r="AY430" i="3"/>
  <c r="AY186" i="3"/>
  <c r="AY56" i="3"/>
  <c r="AY306" i="3"/>
  <c r="AY378" i="3"/>
  <c r="AY381" i="3"/>
  <c r="AY132" i="3"/>
  <c r="AY264" i="3"/>
  <c r="AY464" i="3"/>
  <c r="AY546" i="3"/>
  <c r="AY469" i="3"/>
  <c r="AY453" i="3"/>
  <c r="AY463" i="3"/>
  <c r="AY267" i="3"/>
  <c r="AY426" i="3"/>
  <c r="AY368" i="3"/>
  <c r="BM6" i="3"/>
  <c r="AA33" i="21"/>
  <c r="R48" i="21" s="1"/>
  <c r="S33" i="21"/>
  <c r="U33" i="21"/>
  <c r="AB33" i="21"/>
  <c r="T48" i="21" s="1"/>
  <c r="G48" i="21" s="1"/>
  <c r="W33" i="21"/>
  <c r="AC33" i="21"/>
  <c r="V48" i="21" s="1"/>
  <c r="I48" i="21" s="1"/>
  <c r="AY26" i="3"/>
  <c r="AY427" i="3"/>
  <c r="AY293" i="3"/>
  <c r="AY413" i="3"/>
  <c r="AY503" i="3"/>
  <c r="AY185" i="3"/>
  <c r="AY40" i="3"/>
  <c r="AY210" i="3"/>
  <c r="AY423" i="3"/>
  <c r="AY460" i="3"/>
  <c r="AY196" i="3"/>
  <c r="AY354" i="3"/>
  <c r="AY383" i="3"/>
  <c r="AY314" i="3"/>
  <c r="AY244" i="3"/>
  <c r="AY328" i="3"/>
  <c r="AY363" i="3"/>
  <c r="AY571" i="3"/>
  <c r="AY353" i="3"/>
  <c r="AY482" i="3"/>
  <c r="AY366" i="3"/>
  <c r="AY510" i="3"/>
  <c r="AY553" i="3"/>
  <c r="AY223" i="3"/>
  <c r="AY545" i="3"/>
  <c r="AY539" i="3"/>
  <c r="AY79" i="3"/>
  <c r="AY441" i="3"/>
  <c r="AY57" i="3"/>
  <c r="AY379" i="3"/>
  <c r="AY376" i="3"/>
  <c r="AY330" i="3"/>
  <c r="AY304" i="3"/>
  <c r="AY193" i="3"/>
  <c r="AY131" i="3"/>
  <c r="AY370" i="3"/>
  <c r="AY536" i="3"/>
  <c r="AY102" i="3"/>
  <c r="AY345" i="3"/>
  <c r="AY231" i="3"/>
  <c r="AY270" i="3"/>
  <c r="AY289" i="3"/>
  <c r="AY534" i="3"/>
  <c r="AY497" i="3"/>
  <c r="AY492"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116" i="3"/>
  <c r="AY111" i="3"/>
  <c r="AY388" i="3"/>
  <c r="AY208" i="3"/>
  <c r="AY483" i="3"/>
  <c r="AY81" i="3"/>
  <c r="AY518" i="3"/>
  <c r="AY108" i="3"/>
  <c r="BO6" i="3"/>
  <c r="AY18" i="3"/>
  <c r="AY134" i="3"/>
  <c r="AY521" i="3"/>
  <c r="AY256" i="3"/>
  <c r="AY367" i="3"/>
  <c r="AY351" i="3"/>
  <c r="AY339" i="3"/>
  <c r="AY212" i="3"/>
  <c r="AY301" i="3"/>
  <c r="AY342" i="3"/>
  <c r="AY137" i="3"/>
  <c r="AY344" i="3"/>
  <c r="AY455" i="3"/>
  <c r="BB6" i="3"/>
  <c r="AY474" i="3"/>
  <c r="AY262" i="3"/>
  <c r="AY372" i="3"/>
  <c r="AY412" i="3"/>
  <c r="AY227" i="3"/>
  <c r="AY145" i="3"/>
  <c r="AY151" i="3"/>
  <c r="AY94" i="3"/>
  <c r="AY533" i="3"/>
  <c r="AY300" i="3"/>
  <c r="AY331" i="3"/>
  <c r="AY478" i="3"/>
  <c r="AY404" i="3"/>
  <c r="AY385" i="3"/>
  <c r="AY489" i="3"/>
  <c r="AY239" i="3"/>
  <c r="AY154" i="3"/>
  <c r="AY92" i="3"/>
  <c r="AY315" i="3"/>
  <c r="AY88" i="3"/>
  <c r="AY203" i="3"/>
  <c r="AY182" i="3"/>
  <c r="AY467" i="3"/>
  <c r="AY286" i="3"/>
  <c r="AY238" i="3"/>
  <c r="AY435" i="3"/>
  <c r="AY382" i="3"/>
  <c r="AY157" i="3"/>
  <c r="AY87" i="3"/>
  <c r="AY136" i="3"/>
  <c r="AY326" i="3"/>
  <c r="AY302" i="3"/>
  <c r="AY91" i="3"/>
  <c r="AY38" i="3"/>
  <c r="BD6" i="3"/>
  <c r="AY206" i="3"/>
  <c r="AY452" i="3"/>
  <c r="AY541" i="3"/>
  <c r="AY522" i="3"/>
  <c r="AY61" i="3"/>
  <c r="AY454" i="3"/>
  <c r="AY421" i="3"/>
  <c r="AY410" i="3"/>
  <c r="AY84"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336" i="3"/>
  <c r="AY415" i="3"/>
  <c r="AY60" i="3"/>
  <c r="AY468" i="3"/>
  <c r="AY488" i="3"/>
  <c r="AY261" i="3"/>
  <c r="BE6" i="3"/>
  <c r="AY438" i="3"/>
  <c r="AY485" i="3"/>
  <c r="AY71" i="3"/>
  <c r="AY547" i="3"/>
  <c r="AY251" i="3"/>
  <c r="AY491" i="3"/>
  <c r="AY411" i="3"/>
  <c r="AY565" i="3"/>
  <c r="AY190" i="3"/>
  <c r="AY502" i="3"/>
  <c r="AY338" i="3"/>
  <c r="AY97" i="3"/>
  <c r="AY349" i="3"/>
  <c r="AY62" i="3"/>
  <c r="AY449" i="3"/>
  <c r="AY266" i="3"/>
  <c r="AY472" i="3"/>
  <c r="AY523" i="3"/>
  <c r="AY51" i="3"/>
  <c r="AY470" i="3"/>
  <c r="AY263" i="3"/>
  <c r="AY334" i="3"/>
  <c r="AY557" i="3"/>
  <c r="BR6" i="3"/>
  <c r="AY287" i="3"/>
  <c r="AY152" i="3"/>
  <c r="AY323" i="3"/>
  <c r="AY320" i="3"/>
  <c r="AY35" i="3"/>
  <c r="AY146" i="3"/>
  <c r="D3" i="6"/>
  <c r="D8" i="6" s="1"/>
  <c r="AY128" i="3"/>
  <c r="AY175" i="3"/>
  <c r="AY425" i="3"/>
  <c r="AY364" i="3"/>
  <c r="BK6" i="3"/>
  <c r="AY30" i="3"/>
  <c r="AY420" i="3"/>
  <c r="AY528" i="3"/>
  <c r="AY109" i="3"/>
  <c r="AY232" i="3"/>
  <c r="AY294" i="3"/>
  <c r="AY122" i="3"/>
  <c r="AY13" i="3"/>
  <c r="AY424" i="3"/>
  <c r="AY160" i="3"/>
  <c r="AY249" i="3"/>
  <c r="AY477" i="3"/>
  <c r="AY551" i="3"/>
  <c r="AY59" i="3"/>
  <c r="AY48" i="3"/>
  <c r="AY514" i="3"/>
  <c r="AY125" i="3"/>
  <c r="AY192" i="3"/>
  <c r="AY133" i="3"/>
  <c r="AY505" i="3"/>
  <c r="AY222" i="3"/>
  <c r="AY66" i="3"/>
  <c r="AY140" i="3"/>
  <c r="AY127" i="3"/>
  <c r="AY259" i="3"/>
  <c r="AY445" i="3"/>
  <c r="AY16" i="3"/>
  <c r="AY324" i="3"/>
  <c r="AY129" i="3"/>
  <c r="AY67" i="3"/>
  <c r="AY105" i="3"/>
  <c r="AY31" i="3"/>
  <c r="AY317" i="3"/>
  <c r="AY181" i="3"/>
  <c r="AY65" i="3"/>
  <c r="AY350" i="3"/>
  <c r="AY346" i="3"/>
  <c r="AY101" i="3"/>
  <c r="AY429" i="3"/>
  <c r="AY501" i="3"/>
  <c r="AY36" i="3"/>
  <c r="AY117" i="3"/>
  <c r="AY446" i="3"/>
  <c r="AY569" i="3"/>
  <c r="AY158" i="3"/>
  <c r="AY493" i="3"/>
  <c r="AY394" i="3"/>
  <c r="AY311" i="3"/>
  <c r="AY204" i="3"/>
  <c r="AY22" i="3"/>
  <c r="AY288" i="3"/>
  <c r="AY218" i="3"/>
  <c r="AY431" i="3"/>
  <c r="AY76" i="3"/>
  <c r="AY123" i="3"/>
  <c r="AY481" i="3"/>
  <c r="AY305" i="3"/>
  <c r="AY50" i="3"/>
  <c r="AY343" i="3"/>
  <c r="AY234" i="3"/>
  <c r="AY159" i="3"/>
  <c r="AY291" i="3"/>
  <c r="AY525" i="3"/>
  <c r="AY29" i="3"/>
  <c r="AY461" i="3"/>
  <c r="AY540" i="3"/>
  <c r="AY436" i="3"/>
  <c r="AY362" i="3"/>
  <c r="AY23" i="3"/>
  <c r="AY439" i="3"/>
  <c r="AY329" i="3"/>
  <c r="AY114" i="3"/>
  <c r="AY269" i="3"/>
  <c r="AY144" i="3"/>
  <c r="AY143" i="3"/>
  <c r="AY115" i="3"/>
  <c r="AY139" i="3"/>
  <c r="AY83" i="3"/>
  <c r="AY106" i="3"/>
  <c r="AY187" i="3"/>
  <c r="AY500" i="3"/>
  <c r="AY15" i="3"/>
  <c r="AY434" i="3"/>
  <c r="AY19" i="3"/>
  <c r="BJ6" i="3"/>
  <c r="BL6" i="3"/>
  <c r="AY307" i="3"/>
  <c r="AY77" i="3"/>
  <c r="AY564" i="3"/>
  <c r="AY90" i="3"/>
  <c r="AY170" i="3"/>
  <c r="AY554" i="3"/>
  <c r="AY174" i="3"/>
  <c r="AY529" i="3"/>
  <c r="AY444" i="3"/>
  <c r="AY189" i="3"/>
  <c r="AY171" i="3"/>
  <c r="AY221" i="3"/>
  <c r="AY283" i="3"/>
  <c r="AY219" i="3"/>
  <c r="AY64" i="3"/>
  <c r="AY544" i="3"/>
  <c r="AY254" i="3"/>
  <c r="AY28" i="3"/>
  <c r="BI6" i="3"/>
  <c r="AY162" i="3"/>
  <c r="AY356" i="3"/>
  <c r="AY34" i="3"/>
  <c r="AY86" i="3"/>
  <c r="AY341" i="3"/>
  <c r="AY374" i="3"/>
  <c r="AY99" i="3"/>
  <c r="AY272" i="3"/>
  <c r="AY459" i="3"/>
  <c r="AY250" i="3"/>
  <c r="AY118" i="3"/>
  <c r="AY58" i="3"/>
  <c r="AY422" i="3"/>
  <c r="AY386" i="3"/>
  <c r="AY319" i="3"/>
  <c r="AY519" i="3"/>
  <c r="AY484" i="3"/>
  <c r="AY113" i="3"/>
  <c r="AY403" i="3"/>
  <c r="AY237" i="3"/>
  <c r="AY180" i="3"/>
  <c r="AY248" i="3"/>
  <c r="AY556" i="3"/>
  <c r="AY550" i="3"/>
  <c r="AY142" i="3"/>
  <c r="AY188" i="3"/>
  <c r="AY72" i="3"/>
  <c r="AY479" i="3"/>
  <c r="AY504" i="3"/>
  <c r="AY361" i="3"/>
  <c r="AY369" i="3"/>
  <c r="AY107" i="3"/>
  <c r="AY220" i="3"/>
  <c r="AY93" i="3"/>
  <c r="AY347" i="3"/>
  <c r="AY517" i="3"/>
  <c r="AY14" i="3"/>
  <c r="AY450" i="3"/>
  <c r="AY198" i="3"/>
  <c r="AY487" i="3"/>
  <c r="AY480" i="3"/>
  <c r="AY69" i="3"/>
  <c r="AY110" i="3"/>
  <c r="AY399" i="3"/>
  <c r="AY508" i="3"/>
  <c r="AY451" i="3"/>
  <c r="AY322" i="3"/>
  <c r="AY268" i="3"/>
  <c r="AY54" i="3"/>
  <c r="AY566" i="3"/>
  <c r="AY260" i="3"/>
  <c r="AY377" i="3"/>
  <c r="AY490" i="3"/>
  <c r="AY395" i="3"/>
  <c r="AY475" i="3"/>
  <c r="AY506" i="3"/>
  <c r="AY375" i="3"/>
  <c r="AY78" i="3"/>
  <c r="AY247" i="3"/>
  <c r="AY456" i="3"/>
  <c r="AY316" i="3"/>
  <c r="AY229" i="3"/>
  <c r="AY124" i="3"/>
  <c r="AY548" i="3"/>
  <c r="AY217"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E6" i="3"/>
  <c r="J26" i="15"/>
  <c r="J29" i="15" s="1"/>
  <c r="M27" i="6"/>
  <c r="I19" i="6"/>
  <c r="C17" i="59"/>
  <c r="D18" i="59"/>
  <c r="D19" i="12"/>
  <c r="C19" i="12" s="1"/>
  <c r="C16" i="12"/>
  <c r="C8" i="66"/>
  <c r="C7" i="66"/>
  <c r="S16" i="1"/>
  <c r="D13" i="11"/>
  <c r="C13" i="11" s="1"/>
  <c r="D22" i="12"/>
  <c r="C22" i="12" s="1"/>
  <c r="C20" i="12" s="1"/>
  <c r="F8" i="59"/>
  <c r="E9" i="59"/>
  <c r="U9" i="59" s="1"/>
  <c r="B9" i="59"/>
  <c r="S9" i="59" s="1"/>
  <c r="D22" i="6"/>
  <c r="E67" i="3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D29" i="6" l="1"/>
  <c r="H25" i="6"/>
  <c r="D23" i="6"/>
  <c r="D12" i="6"/>
  <c r="D21" i="6"/>
  <c r="D19" i="6"/>
  <c r="D20" i="6"/>
  <c r="D11" i="6"/>
  <c r="D26" i="6"/>
  <c r="D6" i="6"/>
  <c r="C22" i="4"/>
  <c r="A20" i="64" s="1"/>
  <c r="F45" i="9"/>
  <c r="H20" i="6"/>
  <c r="H22" i="6"/>
  <c r="R22" i="6" s="1"/>
  <c r="D5" i="6"/>
  <c r="E45" i="9"/>
  <c r="E62" i="40"/>
  <c r="D24" i="6"/>
  <c r="D28" i="6"/>
  <c r="H26" i="6"/>
  <c r="H24" i="6"/>
  <c r="D25" i="6"/>
  <c r="D14" i="6"/>
  <c r="D15" i="6"/>
  <c r="D9" i="6"/>
  <c r="H23" i="6"/>
  <c r="E46" i="9"/>
  <c r="H21" i="6"/>
  <c r="D10" i="6"/>
  <c r="F46" i="9"/>
  <c r="D13" i="6"/>
  <c r="K38" i="9"/>
  <c r="C14" i="66" s="1"/>
  <c r="B2" i="66" s="1"/>
  <c r="D8" i="66" s="1"/>
  <c r="I52" i="21"/>
  <c r="J52" i="21" s="1"/>
  <c r="G52" i="21"/>
  <c r="H52" i="21" s="1"/>
  <c r="G53" i="21"/>
  <c r="H53" i="21" s="1"/>
  <c r="E48" i="21"/>
  <c r="I53" i="21" s="1"/>
  <c r="J53" i="21" s="1"/>
  <c r="R49" i="21"/>
  <c r="B5" i="11"/>
  <c r="B4" i="11"/>
  <c r="C16" i="59"/>
  <c r="T17" i="59"/>
  <c r="D17" i="59"/>
  <c r="T10" i="1"/>
  <c r="T11" i="1"/>
  <c r="T9" i="1"/>
  <c r="T13" i="1"/>
  <c r="T7" i="1"/>
  <c r="T6" i="1"/>
  <c r="T12" i="1"/>
  <c r="T8" i="1"/>
  <c r="S19" i="6"/>
  <c r="S27" i="6" s="1"/>
  <c r="H19" i="6"/>
  <c r="R19" i="6" s="1"/>
  <c r="R6" i="1" s="1"/>
  <c r="I27" i="6"/>
  <c r="F7" i="59"/>
  <c r="B8" i="59"/>
  <c r="E8" i="59"/>
  <c r="N5" i="54"/>
  <c r="B43" i="63" s="1"/>
  <c r="C17" i="43"/>
  <c r="C14" i="43"/>
  <c r="C14" i="12"/>
  <c r="C17" i="12"/>
  <c r="I64" i="40"/>
  <c r="H66" i="40"/>
  <c r="H71" i="39"/>
  <c r="I69" i="39"/>
  <c r="N46" i="36"/>
  <c r="E3" i="67"/>
  <c r="B2" i="67"/>
  <c r="D4" i="46"/>
  <c r="B3" i="46"/>
  <c r="B4" i="46"/>
  <c r="C14" i="75"/>
  <c r="F35" i="15"/>
  <c r="C14" i="15"/>
  <c r="C16" i="44"/>
  <c r="M21" i="15"/>
  <c r="R25" i="6" l="1"/>
  <c r="R20" i="6"/>
  <c r="R7" i="1" s="1"/>
  <c r="A20" i="51"/>
  <c r="B15" i="63" s="1"/>
  <c r="A6" i="64"/>
  <c r="D27" i="6"/>
  <c r="R23" i="6"/>
  <c r="R24" i="6"/>
  <c r="D30" i="6"/>
  <c r="D7" i="66"/>
  <c r="R21" i="6"/>
  <c r="R8" i="1" s="1"/>
  <c r="R16" i="1" s="1"/>
  <c r="R26" i="6"/>
  <c r="D16" i="6"/>
  <c r="A6" i="51"/>
  <c r="B7" i="63" s="1"/>
  <c r="C15" i="75"/>
  <c r="C18" i="75"/>
  <c r="C48" i="21"/>
  <c r="C49" i="21"/>
  <c r="B3" i="21" s="1"/>
  <c r="E53" i="21"/>
  <c r="F53" i="21" s="1"/>
  <c r="E52" i="21"/>
  <c r="F52" i="21" s="1"/>
  <c r="C20" i="44"/>
  <c r="C17" i="44"/>
  <c r="C18" i="15"/>
  <c r="C15" i="15"/>
  <c r="T16" i="1"/>
  <c r="C15" i="59"/>
  <c r="D16" i="59"/>
  <c r="H27" i="6"/>
  <c r="E7" i="59"/>
  <c r="B7" i="59"/>
  <c r="F6" i="59"/>
  <c r="J20" i="15"/>
  <c r="F62" i="15"/>
  <c r="C61" i="15" s="1"/>
  <c r="C34" i="15"/>
  <c r="C18" i="43"/>
  <c r="C18" i="12"/>
  <c r="C23" i="12" s="1"/>
  <c r="O46" i="36"/>
  <c r="J7" i="36" s="1"/>
  <c r="F7" i="36"/>
  <c r="H7" i="36"/>
  <c r="J64" i="40"/>
  <c r="I66" i="40"/>
  <c r="J69" i="39"/>
  <c r="I71" i="39"/>
  <c r="B3" i="67"/>
  <c r="B4" i="67"/>
  <c r="F35" i="75"/>
  <c r="F37" i="44"/>
  <c r="M21" i="75"/>
  <c r="M23" i="44"/>
  <c r="J22" i="44" l="1"/>
  <c r="C36" i="44"/>
  <c r="D31" i="6"/>
  <c r="I5" i="6" s="1"/>
  <c r="R27" i="6"/>
  <c r="J20" i="75"/>
  <c r="C34" i="75"/>
  <c r="C31" i="75" s="1"/>
  <c r="F62" i="75"/>
  <c r="C61" i="75" s="1"/>
  <c r="C58" i="75" s="1"/>
  <c r="C19" i="75"/>
  <c r="C20" i="75" s="1"/>
  <c r="C26" i="75" s="1"/>
  <c r="B2" i="21"/>
  <c r="C10" i="12" s="1"/>
  <c r="C8" i="12"/>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I6" i="6" l="1"/>
  <c r="C23" i="75"/>
  <c r="C29" i="75" s="1"/>
  <c r="J19" i="75" s="1"/>
  <c r="J17" i="75" s="1"/>
  <c r="D14" i="59"/>
  <c r="C13" i="59"/>
  <c r="E5" i="59"/>
  <c r="U5" i="59" s="1"/>
  <c r="B5" i="59"/>
  <c r="C21" i="43"/>
  <c r="R37" i="36"/>
  <c r="E36" i="36"/>
  <c r="I41" i="36" s="1"/>
  <c r="J41" i="36" s="1"/>
  <c r="K66" i="40"/>
  <c r="L64" i="40"/>
  <c r="G41" i="36"/>
  <c r="H41" i="36" s="1"/>
  <c r="G40" i="36"/>
  <c r="H40" i="36" s="1"/>
  <c r="I40" i="36"/>
  <c r="J40" i="36" s="1"/>
  <c r="L69" i="39"/>
  <c r="K71" i="39"/>
  <c r="J14" i="75" l="1"/>
  <c r="J13" i="75" s="1"/>
  <c r="J23" i="75" s="1"/>
  <c r="C36" i="75"/>
  <c r="Q50" i="75"/>
  <c r="C56" i="75"/>
  <c r="C63" i="75" s="1"/>
  <c r="C13" i="75"/>
  <c r="J35" i="75" s="1"/>
  <c r="C12" i="59"/>
  <c r="D13" i="59"/>
  <c r="T13" i="59"/>
  <c r="S5" i="59"/>
  <c r="L71" i="39"/>
  <c r="M69" i="39"/>
  <c r="M64" i="40"/>
  <c r="L66" i="40"/>
  <c r="E40" i="36"/>
  <c r="F40" i="36" s="1"/>
  <c r="E41" i="36"/>
  <c r="F41" i="36" s="1"/>
  <c r="C37" i="36"/>
  <c r="B3" i="36" s="1"/>
  <c r="B2" i="36" s="1"/>
  <c r="C36" i="36"/>
  <c r="C37" i="75" l="1"/>
  <c r="C30" i="75" s="1"/>
  <c r="C39" i="75" s="1"/>
  <c r="J39" i="75" s="1"/>
  <c r="J40" i="75" s="1"/>
  <c r="J22" i="75"/>
  <c r="J16" i="75" s="1"/>
  <c r="J25" i="75" s="1"/>
  <c r="C55" i="75"/>
  <c r="C64" i="75" s="1"/>
  <c r="C57" i="75" s="1"/>
  <c r="C66" i="75" s="1"/>
  <c r="C67" i="75" s="1"/>
  <c r="C70" i="75" s="1"/>
  <c r="Q71" i="75"/>
  <c r="C11" i="59"/>
  <c r="D12" i="59"/>
  <c r="N64" i="40"/>
  <c r="N66" i="40" s="1"/>
  <c r="M66" i="40"/>
  <c r="N69" i="39"/>
  <c r="N71" i="39" s="1"/>
  <c r="M71" i="39"/>
  <c r="C40" i="75" l="1"/>
  <c r="Q66" i="75" s="1"/>
  <c r="Q76" i="75" s="1"/>
  <c r="Q70" i="75"/>
  <c r="Q69" i="75" s="1"/>
  <c r="C10" i="59"/>
  <c r="D11" i="59"/>
  <c r="J9" i="40"/>
  <c r="H9" i="40"/>
  <c r="F9" i="40"/>
  <c r="J9" i="39"/>
  <c r="H9" i="39"/>
  <c r="F9" i="39"/>
  <c r="L51" i="75"/>
  <c r="Q68" i="75" l="1"/>
  <c r="B2" i="75"/>
  <c r="B3" i="75" s="1"/>
  <c r="C43" i="75"/>
  <c r="J42" i="75"/>
  <c r="J43" i="75" s="1"/>
  <c r="C46" i="75"/>
  <c r="Q48" i="75"/>
  <c r="Q54" i="75" s="1"/>
  <c r="Q57" i="75"/>
  <c r="Q63" i="75" s="1"/>
  <c r="C9" i="59"/>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7" i="12" l="1"/>
  <c r="C8" i="59"/>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5" i="59"/>
  <c r="D6" i="59"/>
  <c r="B5" i="40"/>
  <c r="B4" i="40"/>
  <c r="B3" i="40"/>
  <c r="C19" i="9"/>
  <c r="B3" i="39" l="1"/>
  <c r="B4" i="39"/>
  <c r="L43" i="9"/>
  <c r="T5" i="59"/>
  <c r="D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L47" i="44" s="1"/>
  <c r="B3" i="44"/>
  <c r="B5" i="44"/>
  <c r="B4" i="44"/>
  <c r="B3" i="15" l="1"/>
  <c r="C6" i="12"/>
  <c r="Q76" i="15"/>
  <c r="Q69" i="44"/>
  <c r="Q59" i="44"/>
  <c r="Q64" i="44" s="1"/>
  <c r="Q68" i="44"/>
  <c r="Q77" i="44" s="1"/>
  <c r="C24" i="12" l="1"/>
  <c r="C29" i="12"/>
  <c r="C35" i="12" l="1"/>
  <c r="C33" i="12" s="1"/>
  <c r="C28" i="12"/>
  <c r="C26" i="12" s="1"/>
  <c r="C31" i="12" s="1"/>
  <c r="C30" i="12" s="1"/>
  <c r="C36" i="12" l="1"/>
  <c r="B2" i="12" s="1"/>
  <c r="D19" i="9"/>
  <c r="L44" i="9" l="1"/>
  <c r="G19" i="9"/>
  <c r="C32" i="9" s="1"/>
  <c r="D22" i="9"/>
  <c r="B3" i="12"/>
  <c r="B4" i="12"/>
  <c r="B5" i="12"/>
  <c r="D20" i="9"/>
  <c r="D21" i="9"/>
  <c r="G22" i="9" l="1"/>
  <c r="N43" i="9"/>
  <c r="G21" i="9"/>
  <c r="G20" i="9"/>
  <c r="R24" i="31" s="1"/>
  <c r="O43" i="9"/>
  <c r="O38" i="9"/>
  <c r="C42" i="9"/>
  <c r="C33" i="9"/>
  <c r="C34" i="9"/>
  <c r="C35" i="9"/>
  <c r="F42" i="9" s="1"/>
  <c r="S24" i="31" l="1"/>
  <c r="R25" i="31"/>
  <c r="S25" i="31" s="1"/>
  <c r="N38" i="9"/>
  <c r="K28" i="9" s="1"/>
  <c r="D42" i="9"/>
  <c r="Q5" i="54" s="1"/>
  <c r="B47" i="63" s="1"/>
  <c r="C44" i="9"/>
  <c r="R5" i="54"/>
  <c r="B48" i="63" s="1"/>
  <c r="D14" i="66"/>
  <c r="D63" i="9"/>
  <c r="N68" i="9"/>
  <c r="K26" i="9"/>
  <c r="K25" i="9"/>
  <c r="M38" i="9"/>
  <c r="K27" i="9" s="1"/>
  <c r="E42" i="9"/>
  <c r="P5" i="54" s="1"/>
  <c r="B46" i="63" s="1"/>
  <c r="S22" i="31" l="1"/>
  <c r="B20" i="31" s="1"/>
  <c r="N69" i="9"/>
  <c r="D44" i="9"/>
  <c r="O39" i="9"/>
  <c r="G14" i="66"/>
  <c r="B6" i="66" s="1"/>
  <c r="E44" i="9"/>
  <c r="F44" i="9"/>
  <c r="C111" i="9"/>
  <c r="C104" i="9" s="1"/>
  <c r="D70" i="9"/>
  <c r="C90" i="9"/>
  <c r="C82" i="9"/>
  <c r="C81" i="9" s="1"/>
  <c r="C85" i="9" s="1"/>
  <c r="C86" i="9" s="1"/>
  <c r="D72" i="9" s="1"/>
  <c r="D71" i="9"/>
  <c r="D66" i="9" s="1"/>
  <c r="N72" i="9" s="1"/>
  <c r="D73" i="9"/>
  <c r="N73" i="9" s="1"/>
  <c r="C103" i="9"/>
  <c r="C96" i="9"/>
  <c r="C91" i="9" s="1"/>
  <c r="E14" i="66"/>
  <c r="B5" i="66"/>
  <c r="F14" i="66"/>
  <c r="R22" i="31" l="1"/>
  <c r="B21" i="31" s="1"/>
  <c r="C6" i="66"/>
  <c r="D6" i="66"/>
  <c r="K29" i="9"/>
  <c r="K30" i="9" s="1"/>
  <c r="R6" i="54"/>
  <c r="B50" i="63" s="1"/>
  <c r="D5" i="66"/>
  <c r="C5" i="66"/>
  <c r="C113" i="9"/>
  <c r="C97" i="9"/>
  <c r="M88" i="9"/>
  <c r="N88" i="9" s="1"/>
  <c r="M87" i="9"/>
  <c r="N87" i="9" s="1"/>
  <c r="M83" i="9"/>
  <c r="N83" i="9" s="1"/>
  <c r="M84" i="9"/>
  <c r="N84" i="9" s="1"/>
  <c r="M85" i="9"/>
  <c r="N85" i="9" s="1"/>
  <c r="M86" i="9"/>
  <c r="N86" i="9" s="1"/>
  <c r="N89" i="9" l="1"/>
  <c r="O89" i="9" s="1"/>
  <c r="C98" i="9"/>
  <c r="E98" i="9" s="1"/>
  <c r="E99" i="9" s="1"/>
  <c r="C114" i="9"/>
  <c r="E114" i="9" s="1"/>
  <c r="E115" i="9" s="1"/>
  <c r="C99" i="9" l="1"/>
  <c r="C115" i="9"/>
  <c r="D76" i="9" s="1"/>
  <c r="D74" i="9" s="1"/>
  <c r="N74" i="9" s="1"/>
  <c r="O77" i="9" s="1"/>
  <c r="O78" i="9" s="1"/>
  <c r="O79" i="9" l="1"/>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<sst xmlns="http://schemas.openxmlformats.org/spreadsheetml/2006/main" count="9495" uniqueCount="3785">
  <si>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</si>
  <si>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</si>
  <si>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</si>
  <si>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</si>
  <si>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</si>
  <si>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</si>
  <si>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</si>
  <si>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</si>
  <si>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</si>
  <si>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</si>
  <si>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</si>
  <si>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</si>
  <si>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</si>
  <si>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</si>
  <si>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</si>
  <si>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</si>
  <si>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</si>
  <si>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</si>
  <si>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</si>
  <si>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</si>
  <si>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</si>
  <si>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</si>
  <si>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</si>
  <si>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</si>
  <si>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</si>
  <si>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</si>
  <si>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</si>
  <si>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</si>
  <si>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</si>
  <si>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</si>
  <si>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</si>
  <si>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</si>
  <si>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</si>
  <si>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</si>
  <si>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</si>
  <si>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</si>
  <si>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</si>
  <si>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</si>
  <si>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</si>
  <si>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</si>
  <si>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</si>
  <si>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</si>
  <si>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</si>
  <si>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</si>
  <si>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</si>
  <si>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</si>
  <si>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</si>
  <si>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</si>
  <si>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</si>
  <si>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</si>
  <si>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</si>
  <si>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</si>
  <si>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</si>
  <si>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</si>
  <si>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</si>
  <si>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</si>
  <si>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</si>
  <si>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</si>
  <si>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</si>
  <si>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</si>
  <si>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</si>
  <si>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</si>
  <si>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</si>
  <si>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</si>
  <si>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</si>
  <si>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</si>
  <si>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</si>
  <si>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</si>
  <si>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</si>
  <si>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</si>
  <si>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</si>
  <si>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</si>
  <si>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</si>
  <si>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</si>
  <si>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</si>
  <si>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</si>
  <si>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</si>
  <si>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</si>
  <si>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</si>
  <si>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</si>
  <si>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</si>
  <si>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</si>
  <si>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</si>
  <si>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</si>
  <si>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</si>
  <si>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</si>
  <si>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</si>
  <si>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</si>
  <si>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</si>
  <si>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</si>
  <si>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</si>
  <si>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</si>
  <si>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</si>
  <si>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</si>
  <si>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</si>
  <si>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</si>
  <si>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</si>
  <si>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</si>
  <si>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</si>
  <si>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</si>
  <si>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</si>
  <si>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</si>
  <si>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</si>
  <si>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</si>
  <si>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</si>
  <si>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</si>
  <si>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</si>
  <si>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</si>
  <si>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</si>
  <si>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</si>
  <si>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</si>
  <si>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</si>
  <si>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</si>
  <si>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</si>
  <si>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</si>
  <si>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</si>
  <si>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</si>
  <si>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</si>
  <si>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</si>
  <si>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</si>
  <si>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</si>
  <si>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</si>
  <si>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</si>
  <si>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</si>
  <si>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</si>
  <si>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</si>
  <si>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</si>
  <si>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</si>
  <si>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</si>
  <si>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</si>
  <si>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</si>
  <si>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</si>
  <si>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</si>
  <si>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</si>
  <si>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</si>
  <si>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</si>
  <si>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</si>
  <si>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</si>
  <si>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</si>
  <si>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</si>
  <si>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</si>
  <si>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</si>
  <si>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</si>
  <si>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</si>
  <si>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</si>
  <si>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</si>
  <si>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</si>
  <si>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</si>
  <si>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</si>
  <si>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</si>
  <si>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</si>
  <si>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</si>
  <si>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</si>
  <si>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</si>
  <si>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</si>
  <si>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</si>
  <si>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</si>
  <si>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</si>
  <si>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</si>
  <si>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</si>
  <si>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</si>
  <si>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</si>
  <si>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</si>
  <si>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</si>
  <si>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</si>
  <si>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</si>
  <si>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</si>
  <si>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</si>
  <si>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</si>
  <si>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</si>
  <si>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</si>
  <si>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</si>
  <si>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</si>
  <si>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</si>
  <si>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</si>
  <si>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</si>
  <si>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</si>
  <si>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</si>
  <si>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</si>
  <si>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</si>
  <si>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</si>
  <si>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</si>
  <si>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</si>
  <si>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</si>
  <si>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</si>
  <si>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</si>
  <si>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</si>
  <si>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</si>
  <si>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</si>
  <si>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</si>
  <si>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</si>
  <si>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</si>
  <si>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</si>
  <si>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</si>
  <si>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</si>
  <si>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</si>
  <si>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</si>
  <si>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</si>
  <si>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</si>
  <si>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</si>
  <si>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</si>
  <si>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</si>
  <si>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</si>
  <si>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</si>
  <si>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</si>
  <si>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</si>
  <si>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</si>
  <si>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</si>
  <si>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</si>
  <si>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</si>
  <si>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</si>
  <si>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</si>
  <si>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</si>
  <si>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</si>
  <si>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</si>
  <si>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</si>
  <si>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</si>
  <si>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</si>
  <si>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</si>
  <si>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</si>
  <si>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</si>
  <si>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</si>
  <si>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</si>
  <si>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</si>
  <si>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</si>
  <si>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</si>
  <si>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</si>
  <si>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</si>
  <si>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</si>
  <si>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</si>
  <si>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</si>
  <si>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</si>
  <si>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</si>
  <si>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</si>
  <si>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</si>
  <si>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</si>
  <si>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</si>
  <si>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</si>
  <si>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</si>
  <si>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</si>
  <si>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</si>
  <si>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</si>
  <si>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</si>
  <si>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</si>
  <si>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</si>
  <si>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</si>
  <si>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</si>
  <si>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</si>
  <si>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</si>
  <si>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</si>
  <si>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</si>
  <si>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</si>
  <si>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</si>
  <si>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</si>
  <si>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</si>
  <si>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</si>
  <si>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</si>
  <si>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</si>
  <si>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</si>
  <si>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</si>
  <si>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</si>
  <si>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</si>
  <si>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</si>
  <si>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</si>
  <si>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</si>
  <si>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</si>
  <si>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</si>
  <si>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</si>
  <si>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</si>
  <si>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</si>
  <si>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</si>
  <si>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</si>
  <si>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</si>
  <si>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</si>
  <si>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</si>
  <si>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</si>
  <si>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</si>
  <si>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</si>
  <si>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</si>
  <si>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</si>
  <si>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</si>
  <si>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</si>
  <si>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</si>
  <si>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</si>
  <si>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</si>
  <si>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</si>
  <si>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</si>
  <si>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</si>
  <si>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</si>
  <si>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</si>
  <si>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</si>
  <si>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</si>
  <si>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</si>
  <si>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</si>
  <si>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</si>
  <si>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</si>
  <si>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</si>
  <si>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</si>
  <si>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</si>
  <si>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</si>
  <si>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</si>
  <si>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</si>
  <si>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</si>
  <si>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</si>
  <si>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</si>
  <si>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</si>
  <si>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</si>
  <si>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</si>
  <si>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</si>
  <si>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</si>
  <si>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</si>
  <si>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</si>
  <si>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</si>
  <si>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</si>
  <si>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</si>
  <si>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</si>
  <si>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</si>
  <si>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</si>
  <si>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</si>
  <si>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</si>
  <si>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</si>
  <si>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</si>
  <si>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</si>
  <si>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</si>
  <si>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</si>
  <si>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</si>
  <si>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</si>
  <si>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</si>
  <si>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</si>
  <si>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</si>
  <si>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</si>
  <si>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</si>
  <si>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</si>
  <si>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</si>
  <si>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</si>
  <si>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</si>
  <si>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</si>
  <si>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</si>
  <si>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</si>
  <si>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</si>
  <si>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</si>
  <si>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</si>
  <si>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</si>
  <si>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</si>
  <si>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</si>
  <si>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</si>
  <si>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</si>
  <si>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</si>
  <si>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</si>
  <si>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</si>
  <si>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</si>
  <si>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</si>
  <si>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</si>
  <si>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</si>
  <si>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</si>
  <si>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</si>
  <si>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</si>
  <si>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</si>
  <si>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</si>
  <si>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</si>
  <si>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</si>
  <si>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</si>
  <si>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</si>
  <si>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</si>
  <si>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</si>
  <si>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</si>
  <si>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</si>
  <si>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</si>
  <si>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</si>
  <si>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</si>
  <si>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</si>
  <si>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</si>
  <si>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</si>
  <si>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</si>
  <si>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</si>
  <si>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</si>
  <si>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</si>
  <si>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</si>
  <si>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</si>
  <si>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</si>
  <si>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</si>
  <si>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</si>
  <si>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</si>
  <si>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</si>
  <si>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</si>
  <si>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</si>
  <si>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</si>
  <si>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</si>
  <si>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</si>
  <si>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</si>
  <si>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</si>
  <si>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</si>
  <si>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</si>
  <si>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</si>
  <si>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</si>
  <si>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</si>
  <si>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</si>
  <si>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</si>
  <si>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</si>
  <si>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</si>
  <si>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</si>
  <si>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</si>
  <si>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</si>
  <si>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</si>
  <si>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</si>
  <si>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</si>
  <si>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</si>
  <si>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</si>
  <si>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</si>
  <si>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</si>
  <si>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</si>
  <si>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</si>
  <si>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</si>
  <si>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</si>
  <si>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</si>
  <si>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</si>
  <si>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</si>
  <si>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</si>
  <si>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</si>
  <si>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</si>
  <si>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</si>
  <si>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</si>
  <si>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</si>
  <si>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</si>
  <si>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</si>
  <si>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</si>
  <si>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</si>
  <si>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</si>
  <si>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</si>
  <si>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</si>
  <si>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</si>
  <si>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</si>
  <si>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</si>
  <si>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</si>
  <si>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</si>
  <si>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</si>
  <si>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</si>
  <si>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</si>
  <si>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</si>
  <si>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</si>
  <si>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</si>
  <si>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</si>
  <si>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</si>
  <si>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</si>
  <si>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</si>
  <si>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</si>
  <si>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</si>
  <si>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</si>
  <si>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</si>
  <si>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</si>
  <si>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</si>
  <si>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</si>
  <si>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</si>
  <si>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</si>
  <si>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</si>
  <si>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</si>
  <si>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</si>
  <si>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</si>
  <si>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</si>
  <si>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</si>
  <si>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</si>
  <si>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</si>
  <si>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</si>
  <si>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</si>
  <si>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</si>
  <si>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</si>
  <si>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</si>
  <si>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</si>
  <si>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</si>
  <si>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</si>
  <si>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</si>
  <si>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</si>
  <si>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</si>
  <si>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</si>
  <si>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</si>
  <si>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</si>
  <si>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</si>
  <si>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</si>
  <si>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</si>
  <si>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</si>
  <si>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</si>
  <si>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</si>
  <si>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</si>
  <si>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</si>
  <si>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</si>
  <si>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</si>
  <si>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</si>
  <si>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</si>
  <si>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</si>
  <si>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</si>
  <si>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</si>
  <si>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</si>
  <si>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</si>
  <si>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</si>
  <si>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</si>
  <si>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</si>
  <si>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</si>
  <si>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</si>
  <si>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</si>
  <si>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</si>
  <si>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</si>
  <si>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</si>
  <si>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</si>
  <si>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</si>
  <si>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</si>
  <si>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</si>
  <si>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</si>
  <si>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</si>
  <si>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</si>
  <si>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</si>
  <si>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</si>
  <si>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</si>
  <si>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</si>
  <si>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</si>
  <si>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</si>
  <si>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</si>
  <si>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</si>
  <si>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</si>
  <si>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</si>
  <si>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</si>
  <si>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</si>
  <si>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</si>
  <si>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</si>
  <si>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</si>
  <si>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</si>
  <si>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</si>
  <si>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</si>
  <si>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</si>
  <si>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</si>
  <si>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</si>
  <si>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</si>
  <si>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</si>
  <si>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</si>
  <si>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</si>
  <si>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</si>
  <si>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</si>
  <si>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</si>
  <si>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</si>
  <si>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</si>
  <si>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</si>
  <si>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</si>
  <si>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</si>
  <si>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</si>
  <si>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</si>
  <si>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</si>
  <si>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</si>
  <si>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</si>
  <si>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</si>
  <si>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</si>
  <si>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</si>
  <si>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</si>
  <si>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</si>
  <si>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</si>
  <si>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</si>
  <si>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</si>
  <si>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</si>
  <si>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</si>
  <si>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</si>
  <si>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</si>
  <si>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</si>
  <si>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</si>
  <si>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</si>
  <si>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</si>
  <si>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</si>
  <si>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</si>
  <si>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</si>
  <si>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</si>
  <si>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</si>
  <si>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</si>
  <si>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</si>
  <si>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</si>
  <si>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</si>
  <si>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</si>
  <si>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</si>
  <si>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</si>
  <si>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</si>
  <si>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</si>
  <si>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</si>
  <si>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</si>
  <si>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</si>
  <si>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</si>
  <si>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</si>
  <si>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</si>
  <si>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</si>
  <si>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</si>
  <si>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</si>
  <si>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</si>
  <si>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</si>
  <si>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</si>
  <si>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</si>
  <si>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</si>
  <si>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</si>
  <si>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</si>
  <si>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</si>
  <si>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</si>
  <si>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</si>
  <si>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</si>
  <si>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</si>
  <si>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</si>
  <si>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</si>
  <si>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</si>
  <si>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</si>
  <si>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</si>
  <si>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</si>
  <si>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</si>
  <si>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</si>
  <si>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</si>
  <si>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</si>
  <si>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</si>
  <si>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</si>
  <si>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</si>
  <si>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</si>
  <si>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</si>
  <si>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</si>
  <si>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</si>
  <si>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</si>
  <si>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</si>
  <si>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</si>
  <si>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</si>
  <si>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</si>
  <si>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</si>
  <si>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</si>
  <si>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</si>
  <si>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</si>
  <si>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</si>
  <si>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</si>
  <si>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</si>
  <si>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</si>
  <si>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</si>
  <si>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</si>
  <si>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</si>
  <si>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</si>
  <si>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</si>
  <si>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</si>
  <si>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</si>
  <si>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</si>
  <si>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</si>
  <si>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</si>
  <si>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</si>
  <si>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</si>
  <si>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</si>
  <si>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</si>
  <si>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</si>
  <si>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</si>
  <si>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</si>
  <si>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</si>
  <si>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</si>
  <si>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</si>
  <si>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</si>
  <si>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</si>
  <si>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</si>
  <si>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</si>
  <si>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</si>
  <si>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</si>
  <si>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</si>
  <si>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</si>
  <si>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</si>
  <si>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</si>
  <si>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</si>
  <si>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</si>
  <si>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</si>
  <si>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</si>
  <si>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</si>
  <si>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</si>
  <si>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</si>
  <si>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</si>
  <si>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</si>
  <si>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</si>
  <si>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</si>
  <si>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</si>
  <si>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</si>
  <si>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</si>
  <si>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</si>
  <si>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</si>
  <si>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</si>
  <si>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</si>
  <si>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</si>
  <si>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</si>
  <si>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</si>
  <si>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</si>
  <si>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</si>
  <si>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</si>
  <si>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</si>
  <si>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</si>
  <si>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</si>
  <si>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</si>
  <si>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</si>
  <si>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</si>
  <si>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</si>
  <si>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</si>
  <si>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</si>
  <si>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</si>
  <si>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</si>
  <si>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</si>
  <si>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</si>
  <si>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</si>
  <si>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</si>
  <si>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</si>
  <si>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</si>
  <si>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</si>
  <si>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</si>
  <si>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</si>
  <si>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</si>
  <si>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</si>
  <si>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</si>
  <si>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</si>
  <si>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</si>
  <si>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</si>
  <si>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</si>
  <si>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</si>
  <si>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</si>
  <si>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</si>
  <si>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</si>
  <si>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</si>
  <si>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</si>
  <si>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</si>
  <si>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</si>
  <si>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</si>
  <si>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</si>
  <si>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</si>
  <si>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</si>
  <si>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</si>
  <si>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</si>
  <si>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</si>
  <si>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</si>
  <si>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</si>
  <si>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</si>
  <si>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</si>
  <si>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</si>
  <si>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</si>
  <si>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</si>
  <si>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</si>
  <si>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</si>
  <si>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</si>
  <si>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</si>
  <si>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</si>
  <si>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</si>
  <si>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</si>
  <si>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</si>
  <si>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</si>
  <si>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</si>
  <si>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</si>
  <si>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</si>
  <si>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</si>
  <si>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</si>
  <si>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</si>
  <si>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</si>
  <si>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</si>
  <si>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</si>
  <si>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</si>
  <si>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</si>
  <si>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</si>
  <si>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</si>
  <si>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</si>
  <si>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</si>
  <si>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</si>
  <si>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</si>
  <si>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</si>
  <si>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</si>
  <si>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</si>
  <si>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</si>
  <si>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</si>
  <si>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</si>
  <si>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</si>
  <si>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</si>
  <si>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</si>
  <si>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</si>
  <si>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</si>
  <si>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</si>
  <si>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</si>
  <si>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</si>
  <si>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</si>
  <si>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</si>
  <si>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</si>
  <si>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</si>
  <si>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</si>
  <si>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</si>
  <si>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</si>
  <si>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</si>
  <si>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</si>
  <si>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</si>
  <si>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</si>
  <si>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</si>
  <si>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</si>
  <si>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</si>
  <si>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</si>
  <si>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</si>
  <si>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</si>
  <si>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</si>
  <si>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</si>
  <si>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</si>
  <si>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</si>
  <si>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</si>
  <si>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</si>
  <si>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</si>
  <si>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</si>
  <si>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</si>
  <si>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</si>
  <si>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</si>
  <si>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</si>
  <si>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</si>
  <si>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</si>
  <si>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</si>
  <si>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</si>
  <si>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</si>
  <si>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</si>
  <si>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</si>
  <si>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</si>
  <si>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</si>
  <si>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</si>
  <si>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</si>
  <si>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</si>
  <si>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</si>
  <si>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</si>
  <si>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</si>
  <si>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</si>
  <si>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</si>
  <si>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</si>
  <si>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</si>
  <si>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</si>
  <si>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</si>
  <si>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</si>
  <si>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</si>
  <si>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</si>
  <si>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</si>
  <si>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</si>
  <si>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</si>
  <si>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</si>
  <si>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</si>
  <si>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</si>
  <si>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</si>
  <si>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</si>
  <si>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</si>
  <si>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</si>
  <si>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</si>
  <si>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</si>
  <si>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</si>
  <si>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</si>
  <si>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</si>
  <si>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</si>
  <si>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</si>
  <si>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</si>
  <si>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</si>
  <si>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</si>
  <si>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</si>
  <si>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</si>
  <si>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</si>
  <si>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</si>
  <si>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</si>
  <si>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</si>
  <si>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</si>
  <si>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</si>
  <si>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</si>
  <si>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</si>
  <si>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</si>
  <si>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</si>
  <si>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</si>
  <si>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</si>
  <si>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</si>
  <si>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</si>
  <si>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</si>
  <si>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</si>
  <si>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</si>
  <si>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</si>
  <si>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</si>
  <si>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</si>
  <si>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</si>
  <si>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</si>
  <si>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</si>
  <si>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</si>
  <si>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</si>
  <si>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</si>
  <si>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</si>
  <si>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</si>
  <si>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</si>
  <si>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</si>
  <si>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</si>
  <si>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</si>
  <si>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</si>
  <si>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</si>
  <si>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</si>
  <si>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</si>
  <si>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</si>
  <si>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</si>
  <si>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</si>
  <si>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</si>
  <si>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</si>
  <si>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</si>
  <si>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</si>
  <si>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</si>
  <si>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</si>
  <si>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</si>
  <si>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</si>
  <si>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</si>
  <si>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</si>
  <si>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</si>
  <si>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</si>
  <si>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</si>
  <si>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</si>
  <si>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</si>
  <si>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</si>
  <si>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</si>
  <si>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</si>
  <si>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</si>
  <si>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</si>
  <si>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</si>
  <si>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</si>
  <si>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</si>
  <si>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</si>
  <si>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</si>
  <si>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</si>
  <si>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</si>
  <si>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</si>
  <si>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</si>
  <si>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</si>
  <si>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</si>
  <si>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</si>
  <si>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</si>
  <si>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</si>
  <si>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</si>
  <si>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</si>
  <si>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</si>
  <si>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</si>
  <si>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</si>
  <si>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</si>
  <si>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</si>
  <si>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</si>
  <si>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</si>
  <si>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</si>
  <si>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</si>
  <si>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</si>
  <si>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</si>
  <si>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</si>
  <si>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</si>
  <si>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</si>
  <si>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</si>
  <si>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</si>
  <si>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</si>
  <si>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</si>
  <si>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</si>
  <si>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</si>
  <si>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</si>
  <si>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</si>
  <si>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</si>
  <si>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</si>
  <si>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</si>
  <si>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</si>
  <si>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</si>
  <si>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</si>
  <si>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</si>
  <si>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</si>
  <si>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</si>
  <si>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</si>
  <si>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</si>
  <si>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</si>
  <si>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</si>
  <si>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</si>
  <si>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</si>
  <si>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</si>
  <si>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</si>
  <si>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</si>
  <si>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</si>
  <si>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</si>
  <si>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</si>
  <si>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</si>
  <si>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</si>
  <si>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</si>
  <si>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</si>
  <si>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</si>
  <si>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</si>
  <si>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</si>
  <si>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</si>
  <si>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</si>
  <si>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</si>
  <si>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</si>
  <si>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</si>
  <si>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</si>
  <si>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</si>
  <si>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</si>
  <si>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</si>
  <si>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</si>
  <si>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</si>
  <si>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</si>
  <si>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</si>
  <si>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</si>
  <si>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</si>
  <si>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</si>
  <si>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</si>
  <si>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</si>
  <si>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</si>
  <si>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</si>
  <si>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</si>
  <si>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</si>
  <si>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</si>
  <si>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</si>
  <si>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</si>
  <si>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</si>
  <si>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</si>
  <si>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</si>
  <si>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</si>
  <si>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</si>
  <si>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</si>
  <si>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</si>
  <si>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</si>
  <si>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</si>
  <si>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</si>
  <si>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</si>
  <si>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</si>
  <si>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</si>
  <si>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</si>
  <si>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</si>
  <si>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</si>
  <si>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</si>
  <si>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</si>
  <si>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</si>
  <si>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</si>
  <si>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</si>
  <si>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</si>
  <si>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</si>
  <si>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</si>
  <si>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</si>
  <si>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</si>
  <si>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</si>
  <si>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</si>
  <si>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</si>
  <si>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</si>
  <si>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</si>
  <si>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</si>
  <si>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</si>
  <si>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</si>
  <si>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</si>
  <si>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</si>
  <si>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</si>
  <si>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</si>
  <si>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</si>
  <si>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</si>
  <si>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</si>
  <si>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</si>
  <si>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</si>
  <si>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</si>
  <si>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</si>
  <si>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</si>
  <si>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</si>
  <si>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</si>
  <si>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</si>
  <si>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</si>
  <si>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</si>
  <si>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</si>
  <si>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</si>
  <si>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</si>
  <si>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</si>
  <si>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</si>
  <si>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</si>
  <si>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</si>
  <si>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</si>
  <si>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</si>
  <si>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</si>
  <si>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</si>
  <si>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</si>
  <si>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</si>
  <si>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</si>
  <si>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</si>
  <si>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</si>
  <si>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</si>
  <si>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</si>
  <si>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</si>
  <si>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</si>
  <si>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</si>
  <si>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</si>
  <si>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</si>
  <si>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</si>
  <si>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</si>
  <si>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</si>
  <si>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</si>
  <si>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</si>
  <si>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</si>
  <si>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</si>
  <si>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</si>
  <si>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</si>
  <si>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</si>
  <si>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</si>
  <si>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</si>
  <si>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</si>
  <si>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</si>
  <si>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</si>
  <si>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</si>
  <si>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</si>
  <si>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</si>
  <si>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</si>
  <si>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</si>
  <si>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</si>
  <si>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</si>
  <si>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</si>
  <si>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</si>
  <si>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</si>
  <si>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</si>
  <si>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</si>
  <si>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</si>
  <si>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</si>
  <si>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</si>
  <si>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</si>
  <si>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</si>
  <si>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</si>
  <si>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</si>
  <si>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</si>
  <si>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</si>
  <si>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</si>
  <si>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</si>
  <si>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</si>
  <si>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</si>
  <si>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</si>
  <si>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</si>
  <si>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</si>
  <si>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</si>
  <si>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</si>
  <si>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</si>
  <si>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</si>
  <si>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</si>
  <si>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</si>
  <si>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</si>
  <si>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</si>
  <si>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</si>
  <si>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</si>
  <si>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</si>
  <si>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</si>
  <si>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</si>
  <si>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</si>
  <si>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</si>
  <si>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</si>
  <si>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</si>
  <si>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</si>
  <si>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</si>
  <si>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</si>
  <si>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</si>
  <si>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</si>
  <si>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</si>
  <si>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</si>
  <si>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</si>
  <si>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</si>
  <si>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</si>
  <si>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</si>
  <si>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</si>
  <si>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</si>
  <si>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</si>
  <si>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</si>
  <si>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</si>
  <si>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</si>
  <si>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</si>
  <si>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</si>
  <si>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</si>
  <si>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</si>
  <si>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</si>
  <si>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</si>
  <si>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</si>
  <si>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</si>
  <si>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</si>
  <si>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</si>
  <si>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</si>
  <si>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</si>
  <si>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</si>
  <si>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</si>
  <si>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</si>
  <si>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</si>
  <si>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</si>
  <si>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</si>
  <si>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</si>
  <si>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</si>
  <si>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</si>
  <si>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</si>
  <si>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</si>
  <si>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</si>
  <si>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</si>
  <si>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</si>
  <si>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</si>
  <si>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</si>
  <si>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</si>
  <si>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</si>
  <si>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</si>
  <si>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</si>
  <si>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</si>
  <si>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</si>
  <si>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</si>
  <si>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</si>
  <si>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</si>
  <si>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</si>
  <si>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</si>
  <si>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</si>
  <si>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</si>
  <si>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</si>
  <si>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</si>
  <si>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</si>
  <si>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</si>
  <si>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</si>
  <si>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</si>
  <si>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</si>
  <si>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</si>
  <si>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</si>
  <si>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</si>
  <si>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</si>
  <si>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</si>
  <si>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</si>
  <si>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</si>
  <si>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</si>
  <si>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</si>
  <si>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</si>
  <si>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</si>
  <si>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</si>
  <si>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</si>
  <si>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</si>
  <si>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</si>
  <si>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</si>
  <si>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</si>
  <si>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</si>
  <si>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</si>
  <si>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</si>
  <si>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</si>
  <si>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</si>
  <si>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</si>
  <si>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</si>
  <si>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</si>
  <si>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</si>
  <si>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</si>
  <si>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</si>
  <si>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</si>
  <si>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</si>
  <si>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</si>
  <si>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</si>
  <si>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</si>
  <si>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</si>
  <si>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</si>
  <si>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</si>
  <si>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</si>
  <si>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</si>
  <si>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</si>
  <si>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</si>
  <si>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</si>
  <si>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</si>
  <si>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</si>
  <si>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</si>
  <si>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</si>
  <si>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</si>
  <si>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</si>
  <si>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</si>
  <si>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</si>
  <si>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</si>
  <si>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</si>
  <si>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</si>
  <si>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</si>
  <si>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</si>
  <si>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</si>
  <si>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</si>
  <si>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</si>
  <si>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</si>
  <si>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</si>
  <si>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</si>
  <si>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</si>
  <si>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</si>
  <si>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</si>
  <si>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</si>
  <si>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</si>
  <si>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</si>
  <si>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</si>
  <si>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</si>
  <si>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</si>
  <si>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</si>
  <si>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</si>
  <si>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</si>
  <si>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</si>
  <si>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</si>
  <si>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</si>
  <si>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</si>
  <si>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</si>
  <si>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</si>
  <si>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</si>
  <si>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</si>
  <si>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</si>
  <si>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</si>
  <si>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</si>
  <si>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</si>
  <si>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</si>
  <si>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</si>
  <si>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</si>
  <si>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</si>
  <si>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</si>
  <si>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</si>
  <si>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</si>
  <si>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</si>
  <si>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</si>
  <si>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</si>
  <si>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</si>
  <si>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</si>
  <si>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</si>
  <si>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</si>
  <si>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</si>
  <si>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</si>
  <si>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</si>
  <si>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</si>
  <si>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</si>
  <si>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</si>
  <si>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</si>
  <si>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</si>
  <si>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</si>
  <si>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</si>
  <si>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</si>
  <si>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</si>
  <si>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</si>
  <si>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</si>
  <si>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</si>
  <si>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</si>
  <si>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</si>
  <si>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</si>
  <si>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</si>
  <si>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</si>
  <si>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</si>
  <si>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</si>
  <si>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</si>
  <si>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</si>
  <si>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</si>
  <si>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</si>
  <si>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</si>
  <si>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</si>
  <si>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</si>
  <si>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</si>
  <si>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</si>
  <si>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</si>
  <si>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</si>
  <si>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</si>
  <si>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</si>
  <si>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</si>
  <si>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</si>
  <si>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</si>
  <si>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</si>
  <si>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</si>
  <si>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</si>
  <si>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</si>
  <si>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</si>
  <si>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</si>
  <si>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</si>
  <si>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</si>
  <si>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</si>
  <si>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</si>
  <si>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</si>
  <si>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</si>
  <si>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</si>
  <si>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</si>
  <si>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</si>
  <si>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</si>
  <si>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</si>
  <si>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</si>
  <si>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</si>
  <si>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</si>
  <si>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</si>
  <si>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</si>
  <si>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</si>
  <si>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</si>
  <si>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</si>
  <si>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</si>
  <si>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</si>
  <si>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</si>
  <si>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</si>
  <si>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</si>
  <si>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</si>
  <si>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</si>
  <si>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</si>
  <si>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</si>
  <si>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</si>
  <si>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</si>
  <si>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</si>
  <si>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</si>
  <si>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</si>
  <si>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</si>
  <si>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</si>
  <si>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</si>
  <si>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</si>
  <si>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</si>
  <si>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</si>
  <si>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</si>
  <si>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</si>
  <si>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</si>
  <si>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</si>
  <si>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</si>
  <si>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</si>
  <si>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</si>
  <si>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</si>
  <si>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</si>
  <si>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</si>
  <si>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</si>
  <si>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</si>
  <si>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</si>
  <si>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</si>
  <si>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</si>
  <si>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</si>
  <si>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</si>
  <si>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</si>
  <si>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</si>
  <si>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</si>
  <si>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</si>
  <si>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</si>
  <si>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</si>
  <si>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</si>
  <si>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</si>
  <si>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</si>
  <si>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</si>
  <si>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</si>
  <si>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</si>
  <si>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</si>
  <si>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</si>
  <si>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</si>
  <si>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</si>
  <si>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</si>
  <si>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</si>
  <si>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</si>
  <si>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</si>
  <si>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</si>
  <si>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</si>
  <si>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</si>
  <si>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</si>
  <si>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</si>
  <si>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</si>
  <si>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</si>
  <si>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</si>
  <si>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</si>
  <si>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</si>
  <si>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</si>
  <si>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</si>
  <si>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</si>
  <si>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</si>
  <si>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</si>
  <si>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</si>
  <si>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</si>
  <si>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</si>
  <si>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</si>
  <si>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</si>
  <si>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</si>
  <si>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</si>
  <si>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</si>
  <si>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</si>
  <si>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</si>
  <si>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</si>
  <si>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</si>
  <si>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</si>
  <si>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</si>
  <si>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</si>
  <si>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</si>
  <si>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</si>
  <si>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</si>
  <si>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</si>
  <si>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</si>
  <si>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</si>
  <si>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</si>
  <si>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</si>
  <si>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</si>
  <si>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</si>
  <si>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</si>
  <si>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</si>
  <si>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</si>
  <si>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</si>
  <si>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</si>
  <si>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</si>
  <si>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</si>
  <si>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</si>
  <si>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</si>
  <si>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</si>
  <si>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</si>
  <si>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</si>
  <si>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</si>
  <si>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</si>
  <si>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</si>
  <si>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</si>
  <si>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</si>
  <si>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</si>
  <si>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</si>
  <si>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</si>
  <si>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</si>
  <si>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</si>
  <si>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</si>
  <si>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</si>
  <si>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</si>
  <si>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</si>
  <si>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</si>
  <si>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</si>
  <si>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</si>
  <si>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</si>
  <si>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</si>
  <si>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</si>
  <si>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</si>
  <si>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</si>
  <si>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</si>
  <si>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</si>
  <si>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</si>
  <si>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</si>
  <si>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</si>
  <si>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</si>
  <si>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</si>
  <si>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</si>
  <si>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</si>
  <si>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</si>
  <si>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</si>
  <si>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</si>
  <si>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</si>
  <si>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</si>
  <si>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</si>
  <si>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</si>
  <si>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</si>
  <si>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</si>
  <si>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</si>
  <si>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</si>
  <si>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</si>
  <si>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</si>
  <si>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</si>
  <si>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</si>
  <si>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</si>
  <si>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</si>
  <si>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</si>
  <si>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</si>
  <si>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</si>
  <si>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</si>
  <si>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</si>
  <si>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</si>
  <si>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</si>
  <si>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</si>
  <si>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</si>
  <si>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</si>
  <si>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</si>
  <si>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</si>
  <si>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</si>
  <si>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</si>
  <si>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</si>
  <si>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</si>
  <si>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</si>
  <si>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</si>
  <si>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</si>
  <si>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</si>
  <si>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</si>
  <si>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</si>
  <si>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</si>
  <si>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</si>
  <si>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</si>
  <si>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</si>
  <si>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</si>
  <si>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</si>
  <si>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</si>
  <si>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</si>
  <si>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</si>
  <si>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</si>
  <si>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</si>
  <si>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</si>
  <si>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</si>
  <si>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</si>
  <si>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</si>
  <si>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</si>
  <si>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</si>
  <si>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</si>
  <si>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</si>
  <si>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</si>
  <si>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</si>
  <si>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</si>
  <si>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</si>
  <si>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</si>
  <si>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</si>
  <si>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</si>
  <si>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</si>
  <si>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</si>
  <si>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</si>
  <si>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</si>
  <si>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</si>
  <si>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</si>
  <si>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</si>
  <si>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</si>
  <si>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</si>
  <si>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</si>
  <si>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</si>
  <si>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</si>
  <si>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</si>
  <si>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</si>
  <si>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</si>
  <si>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</si>
  <si>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</si>
  <si>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</si>
  <si>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</si>
  <si>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</si>
  <si>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</si>
  <si>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</si>
  <si>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</si>
  <si>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</si>
  <si>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</si>
  <si>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</si>
  <si>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</si>
  <si>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</si>
  <si>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</si>
  <si>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</si>
  <si>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</si>
  <si>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</si>
  <si>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</si>
  <si>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</si>
  <si>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</si>
  <si>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</si>
  <si>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</si>
  <si>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</si>
  <si>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</si>
  <si>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</si>
  <si>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</si>
  <si>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</si>
  <si>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</si>
  <si>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</si>
  <si>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</si>
  <si>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</si>
  <si>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</si>
  <si>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</si>
  <si>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</si>
  <si>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</si>
  <si>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</si>
  <si>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</si>
  <si>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</si>
  <si>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</si>
  <si>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</si>
  <si>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</si>
  <si>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</si>
  <si>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</si>
  <si>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</si>
  <si>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</si>
  <si>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</si>
  <si>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</si>
  <si>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</si>
  <si>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</si>
  <si>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</si>
  <si>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</si>
  <si>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</si>
  <si>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</si>
  <si>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</si>
  <si>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</si>
  <si>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</si>
  <si>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</si>
  <si>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</si>
  <si>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</si>
  <si>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</si>
  <si>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</si>
  <si>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</si>
  <si>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</si>
  <si>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</si>
  <si>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</si>
  <si>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</si>
  <si>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</si>
  <si>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</si>
  <si>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</si>
  <si>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</si>
  <si>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</si>
  <si>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</si>
  <si>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</si>
  <si>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</si>
  <si>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</si>
  <si>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</si>
  <si>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</si>
  <si>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</si>
  <si>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</si>
  <si>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</si>
  <si>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</si>
  <si>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</si>
  <si>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</si>
  <si>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</si>
  <si>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</si>
  <si>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</si>
  <si>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</si>
  <si>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</si>
  <si>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</si>
  <si>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</si>
  <si>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</si>
  <si>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</si>
  <si>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</si>
  <si>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</si>
  <si>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</si>
  <si>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</si>
  <si>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</si>
  <si>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</si>
  <si>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</si>
  <si>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</si>
  <si>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</si>
  <si>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</si>
  <si>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</si>
  <si>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</si>
  <si>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</si>
  <si>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</si>
  <si>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</si>
  <si>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</si>
  <si>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</si>
  <si>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</si>
  <si>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</si>
  <si>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</si>
  <si>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</si>
  <si>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</si>
  <si>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</si>
  <si>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</si>
  <si>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</si>
  <si>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</si>
  <si>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</si>
  <si>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</si>
  <si>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</si>
  <si>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</si>
  <si>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</si>
  <si>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</si>
  <si>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</si>
  <si>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</si>
  <si>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</si>
  <si>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</si>
  <si>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</si>
  <si>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</si>
  <si>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</si>
  <si>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</si>
  <si>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</si>
  <si>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</si>
  <si>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</si>
  <si>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</si>
  <si>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</si>
  <si>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</si>
  <si>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</si>
  <si>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</si>
  <si>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</si>
  <si>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</si>
  <si>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</si>
  <si>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</si>
  <si>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</si>
  <si>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</si>
  <si>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</si>
  <si>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</si>
  <si>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</si>
  <si>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</si>
  <si>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</si>
  <si>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</si>
  <si>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</si>
  <si>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</si>
  <si>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</si>
  <si>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</si>
  <si>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</si>
  <si>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</si>
  <si>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</si>
  <si>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</si>
  <si>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</si>
  <si>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</si>
  <si>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</si>
  <si>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</si>
  <si>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</si>
  <si>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</si>
  <si>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</si>
  <si>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</si>
  <si>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</si>
  <si>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</si>
  <si>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</si>
  <si>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</si>
  <si>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</si>
  <si>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</si>
  <si>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</si>
  <si>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</si>
  <si>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</si>
  <si>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</si>
  <si>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</si>
  <si>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</si>
  <si>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</si>
  <si>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</si>
  <si>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</si>
  <si>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</si>
  <si>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</si>
  <si>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</si>
  <si>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</si>
  <si>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</si>
  <si>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</si>
  <si>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</si>
  <si>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</si>
  <si>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</si>
  <si>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</si>
  <si>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</si>
  <si>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</si>
  <si>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</si>
  <si>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</si>
  <si>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</si>
  <si>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</si>
  <si>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</si>
  <si>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</si>
  <si>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</si>
  <si>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</si>
  <si>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</si>
  <si>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</si>
  <si>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</si>
  <si>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</si>
  <si>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</si>
  <si>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</si>
  <si>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</si>
  <si>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</si>
  <si>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</si>
  <si>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</si>
  <si>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</si>
  <si>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</si>
  <si>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</si>
  <si>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</si>
  <si>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</si>
  <si>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</si>
  <si>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</si>
  <si>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</si>
  <si>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</si>
  <si>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</si>
  <si>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</si>
  <si>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</si>
  <si>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</si>
  <si>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</si>
  <si>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</si>
  <si>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</si>
  <si>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</si>
  <si>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</si>
  <si>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</si>
  <si>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</si>
  <si>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</si>
  <si>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</si>
  <si>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</si>
  <si>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</si>
  <si>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</si>
  <si>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</si>
  <si>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</si>
  <si>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</si>
  <si>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</si>
  <si>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</si>
  <si>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</si>
  <si>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</si>
  <si>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</si>
  <si>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</si>
  <si>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</si>
  <si>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</si>
  <si>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</si>
  <si>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</si>
  <si>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</si>
  <si>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</si>
  <si>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</si>
  <si>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</si>
  <si>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</si>
  <si>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</si>
  <si>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</si>
  <si>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</si>
  <si>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</si>
  <si>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</si>
  <si>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</si>
  <si>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</si>
  <si>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</si>
  <si>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</si>
  <si>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</si>
  <si>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</si>
  <si>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</si>
  <si>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</si>
  <si>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</si>
  <si>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</si>
  <si>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</si>
  <si>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</si>
  <si>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</si>
  <si>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</si>
  <si>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</si>
  <si>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</si>
  <si>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</si>
  <si>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</si>
  <si>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</si>
  <si>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</si>
  <si>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</si>
  <si>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</si>
  <si>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</si>
  <si>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</si>
  <si>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</si>
  <si>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</si>
  <si>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</si>
  <si>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</si>
  <si>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</si>
  <si>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</si>
  <si>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</si>
  <si>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</si>
  <si>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</si>
  <si>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</si>
  <si>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</si>
  <si>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</si>
  <si>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</si>
  <si>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</si>
  <si>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</si>
  <si>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</si>
  <si>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</si>
  <si>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</si>
  <si>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</si>
  <si>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</si>
  <si>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</si>
  <si>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</si>
  <si>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</si>
  <si>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</si>
  <si>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</si>
  <si>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</si>
  <si>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</si>
  <si>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</si>
  <si>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</si>
  <si>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</si>
  <si>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</si>
  <si>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</si>
  <si>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</si>
  <si>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</si>
  <si>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</si>
  <si>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</si>
  <si>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</si>
  <si>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</si>
  <si>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</si>
  <si>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</si>
  <si>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</si>
  <si>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</si>
  <si>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</si>
  <si>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</si>
  <si>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</si>
  <si>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</si>
  <si>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</si>
  <si>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</si>
  <si>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</si>
  <si>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</si>
  <si>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</si>
  <si>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</si>
  <si>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</si>
  <si>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</si>
  <si>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</si>
  <si>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</si>
  <si>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</si>
  <si>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</si>
  <si>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</si>
  <si>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</si>
  <si>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</si>
  <si>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</si>
  <si>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</si>
  <si>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</si>
  <si>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</si>
  <si>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</si>
  <si>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</si>
  <si>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</si>
  <si>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</si>
  <si>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</si>
  <si>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</si>
  <si>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</si>
  <si>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</si>
  <si>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</si>
  <si>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</si>
  <si>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</si>
  <si>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</si>
  <si>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</si>
  <si>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</si>
  <si>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</si>
  <si>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</si>
  <si>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</si>
  <si>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</si>
  <si>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</si>
  <si>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</si>
  <si>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</si>
  <si>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</si>
  <si>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</si>
  <si>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</si>
  <si>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</si>
  <si>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</si>
  <si>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</si>
  <si>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</si>
  <si>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</si>
  <si>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</si>
  <si>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</si>
  <si>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</si>
  <si>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</si>
  <si>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</si>
  <si>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</si>
  <si>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</si>
  <si>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</si>
  <si>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</si>
  <si>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</si>
  <si>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</si>
  <si>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</si>
  <si>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</si>
  <si>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</si>
  <si>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</si>
  <si>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</si>
  <si>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</si>
  <si>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</si>
  <si>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</si>
  <si>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</si>
  <si>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</si>
  <si>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</si>
  <si>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</si>
  <si>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</si>
  <si>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</si>
  <si>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</si>
  <si>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</si>
  <si>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</si>
  <si>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</si>
  <si>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</si>
  <si>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</si>
  <si>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</si>
  <si>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</si>
  <si>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</si>
  <si>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</si>
  <si>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</si>
  <si>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</si>
  <si>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</si>
  <si>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</si>
  <si>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</si>
  <si>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</si>
  <si>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</si>
  <si>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</si>
  <si>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</si>
  <si>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</si>
  <si>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</si>
  <si>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</si>
  <si>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</si>
  <si>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</si>
  <si>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</si>
  <si>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</si>
  <si>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</si>
  <si>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</si>
  <si>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</si>
  <si>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</si>
  <si>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</si>
  <si>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</si>
  <si>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</si>
  <si>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</si>
  <si>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</si>
  <si>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</si>
  <si>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</si>
  <si>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</si>
  <si>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</si>
  <si>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</si>
  <si>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</si>
  <si>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</si>
  <si>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</si>
  <si>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</si>
  <si>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</si>
  <si>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</si>
  <si>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</si>
  <si>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</si>
  <si>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</si>
  <si>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</si>
  <si>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</si>
  <si>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</si>
  <si>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</si>
  <si>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</si>
  <si>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</si>
  <si>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</si>
  <si>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</si>
  <si>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</si>
  <si>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</si>
  <si>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</si>
  <si>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</si>
  <si>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</si>
  <si>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</si>
  <si>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</si>
  <si>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</si>
  <si>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</si>
  <si>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</si>
  <si>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</si>
  <si>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</si>
  <si>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</si>
  <si>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</si>
  <si>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</si>
  <si>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</si>
  <si>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</si>
  <si>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</si>
  <si>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</si>
  <si>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</si>
  <si>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</si>
  <si>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</si>
  <si>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</si>
  <si>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</si>
  <si>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</si>
  <si>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</si>
  <si>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</si>
  <si>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</si>
  <si>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</si>
  <si>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</si>
  <si>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</si>
  <si>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</si>
  <si>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</si>
  <si>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</si>
  <si>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</si>
  <si>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</si>
  <si>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</si>
  <si>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</si>
  <si>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</si>
  <si>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</si>
  <si>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</si>
  <si>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</si>
  <si>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</si>
  <si>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</si>
  <si>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</si>
  <si>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</si>
  <si>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</si>
  <si>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</si>
  <si>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</si>
  <si>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</si>
  <si>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</si>
  <si>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</si>
  <si>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</si>
  <si>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</si>
  <si>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</si>
  <si>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</si>
  <si>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</si>
  <si>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</si>
  <si>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</si>
  <si>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</si>
  <si>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</si>
  <si>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</si>
  <si>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</si>
  <si>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</si>
  <si>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</si>
  <si>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</si>
  <si>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</si>
  <si>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</si>
  <si>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</si>
  <si>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</si>
  <si>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</si>
  <si>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</si>
  <si>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</si>
  <si>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</si>
  <si>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</si>
  <si>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</si>
  <si>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</si>
  <si>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</si>
  <si>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</si>
  <si>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</si>
  <si>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</si>
  <si>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</si>
  <si>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</si>
  <si>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</si>
  <si>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</si>
  <si>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</si>
  <si>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</si>
  <si>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</si>
  <si>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</si>
  <si>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</si>
  <si>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</si>
  <si>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</si>
  <si>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</si>
  <si>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</si>
  <si>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</si>
  <si>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</si>
  <si>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</si>
  <si>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</si>
  <si>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</si>
  <si>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</si>
  <si>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</si>
  <si>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</si>
  <si>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</si>
  <si>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</si>
  <si>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</si>
  <si>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</si>
  <si>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</si>
  <si>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</si>
  <si>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</si>
  <si>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</si>
  <si>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</si>
  <si>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</si>
  <si>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</si>
  <si>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</si>
  <si>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</si>
  <si>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</si>
  <si>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</si>
  <si>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</si>
  <si>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</si>
  <si>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</si>
  <si>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</si>
  <si>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</si>
  <si>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</si>
  <si>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</si>
  <si>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</si>
  <si>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</si>
  <si>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</si>
  <si>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</si>
  <si>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</si>
  <si>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</si>
  <si>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</si>
  <si>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</si>
  <si>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</si>
  <si>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</si>
  <si>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</si>
  <si>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</si>
  <si>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</si>
  <si>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</si>
  <si>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</si>
  <si>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</si>
  <si>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</si>
  <si>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</si>
  <si>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</si>
  <si>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</si>
  <si>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</si>
  <si>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</si>
  <si>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</si>
  <si>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</si>
  <si>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</si>
  <si>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</si>
  <si>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</si>
  <si>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</si>
  <si>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</si>
  <si>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</si>
  <si>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</si>
  <si>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</si>
  <si>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</si>
  <si>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</si>
  <si>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</si>
  <si>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</si>
  <si>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</si>
  <si>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</si>
  <si>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</si>
  <si>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</si>
  <si>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</si>
  <si>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</si>
  <si>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</si>
  <si>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</si>
  <si>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</si>
  <si>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</si>
  <si>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</si>
  <si>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</si>
  <si>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</si>
  <si>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</si>
  <si>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</si>
  <si>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</si>
  <si>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</si>
  <si>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</si>
  <si>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</si>
  <si>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</si>
  <si>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</si>
  <si>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</si>
  <si>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</si>
  <si>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</si>
  <si>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</si>
  <si>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</si>
  <si>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</si>
  <si>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</si>
  <si>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</si>
  <si>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</si>
  <si>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</si>
  <si>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</si>
  <si>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</si>
  <si>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</si>
  <si>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</si>
  <si>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</si>
  <si>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</si>
  <si>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</si>
  <si>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</si>
  <si>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</si>
  <si>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</si>
  <si>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</si>
  <si>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</si>
  <si>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</si>
  <si>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</si>
  <si>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</si>
  <si>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</si>
  <si>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</si>
  <si>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</si>
  <si>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</si>
  <si>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</si>
  <si>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</si>
  <si>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</si>
  <si>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</si>
  <si>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</si>
  <si>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</si>
  <si>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</si>
  <si>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</si>
  <si>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</si>
  <si>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</si>
  <si>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</si>
  <si>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</si>
  <si>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</si>
  <si>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</si>
  <si>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</si>
  <si>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</si>
  <si>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</si>
  <si>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</si>
  <si>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</si>
  <si>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</si>
  <si>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</si>
  <si>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</si>
  <si>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</si>
  <si>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</si>
  <si>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</si>
  <si>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</si>
  <si>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</si>
  <si>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</si>
  <si>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</si>
  <si>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</si>
  <si>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</si>
  <si>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</si>
  <si>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</si>
  <si>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</si>
  <si>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</si>
  <si>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</si>
  <si>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</si>
  <si>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</si>
  <si>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</si>
  <si>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</si>
  <si>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</si>
  <si>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</si>
  <si>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</si>
  <si>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</si>
  <si>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</si>
  <si>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</si>
  <si>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</si>
  <si>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</si>
  <si>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</si>
  <si>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</si>
  <si>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</si>
  <si>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</si>
  <si>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</si>
  <si>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</si>
  <si>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</si>
  <si>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</si>
  <si>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</si>
  <si>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</si>
  <si>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</si>
  <si>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</si>
  <si>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</si>
  <si>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</si>
  <si>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</si>
  <si>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</si>
  <si>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</si>
  <si>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</si>
  <si>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</si>
  <si>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</si>
  <si>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</si>
  <si>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</si>
  <si>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</si>
  <si>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</si>
  <si>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</si>
  <si>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</si>
  <si>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</si>
  <si>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</si>
  <si>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</si>
  <si>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</si>
  <si>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</si>
  <si>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</si>
  <si>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</si>
  <si>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</si>
  <si>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</si>
  <si>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</si>
  <si>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</si>
  <si>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</si>
  <si>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</si>
  <si>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</si>
  <si>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</si>
  <si>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</si>
  <si>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</si>
  <si>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</si>
  <si>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</si>
  <si>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</si>
  <si>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</si>
  <si>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</si>
  <si>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</si>
  <si>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</si>
  <si>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</si>
  <si>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</si>
  <si>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</si>
  <si>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</si>
  <si>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</si>
  <si>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</si>
  <si>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</si>
  <si>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</si>
  <si>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</si>
  <si>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</si>
  <si>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</si>
  <si>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</si>
  <si>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</si>
  <si>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</si>
  <si>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</si>
  <si>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</si>
  <si>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</si>
  <si>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</si>
  <si>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</si>
  <si>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</si>
  <si>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</si>
  <si>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</si>
  <si>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</si>
  <si>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</si>
  <si>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</si>
  <si>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</si>
  <si>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</si>
  <si>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</si>
  <si>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</si>
  <si>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</si>
  <si>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</si>
  <si>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</si>
  <si>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</si>
  <si>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</si>
  <si>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</si>
  <si>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</si>
  <si>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</si>
  <si>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</si>
  <si>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</si>
  <si>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</si>
  <si>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</si>
  <si>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</si>
  <si>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</si>
  <si>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</si>
  <si>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</si>
  <si>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</si>
  <si>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</si>
  <si>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</si>
  <si>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</si>
  <si>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</si>
  <si>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</si>
  <si>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</si>
  <si>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</si>
  <si>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</si>
  <si>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</si>
  <si>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</si>
  <si>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</si>
  <si>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</si>
  <si>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</si>
  <si>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</si>
  <si>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</si>
  <si>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</si>
  <si>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</si>
  <si>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</si>
  <si>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</si>
  <si>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</si>
  <si>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</si>
  <si>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</si>
  <si>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</si>
  <si>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</si>
  <si>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</si>
  <si>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</si>
  <si>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</si>
  <si>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</si>
  <si>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</si>
  <si>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</si>
  <si>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</si>
  <si>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</si>
  <si>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</si>
  <si>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</si>
  <si>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</si>
  <si>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</si>
  <si>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</si>
  <si>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</si>
  <si>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</si>
  <si>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</si>
  <si>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</si>
  <si>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</si>
  <si>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</si>
  <si>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</si>
  <si>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</si>
  <si>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</si>
  <si>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</si>
  <si>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</si>
  <si>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</si>
  <si>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</si>
  <si>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</si>
  <si>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</si>
  <si>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</si>
  <si>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</si>
  <si>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</si>
  <si>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</si>
  <si>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</si>
  <si>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</si>
  <si>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</si>
  <si>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</si>
  <si>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</si>
  <si>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</si>
  <si>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</si>
  <si>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</si>
  <si>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</si>
  <si>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</si>
  <si>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</si>
  <si>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</si>
  <si>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</si>
  <si>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</si>
  <si>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</si>
  <si>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</si>
  <si>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</si>
  <si>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</si>
  <si>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</si>
  <si>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</si>
  <si>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</si>
  <si>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</si>
  <si>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</si>
  <si>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</si>
  <si>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</si>
  <si>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</si>
  <si>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</si>
  <si>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</si>
  <si>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</si>
  <si>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</si>
  <si>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</si>
  <si>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</si>
  <si>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</si>
  <si>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</si>
  <si>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</si>
  <si>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</si>
  <si>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</si>
  <si>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</si>
  <si>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</si>
  <si>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</si>
  <si>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</si>
  <si>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</si>
  <si>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</si>
  <si>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</si>
  <si>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</si>
  <si>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</si>
  <si>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</si>
  <si>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</si>
  <si>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</si>
  <si>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</si>
  <si>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</si>
  <si>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</si>
  <si>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</si>
  <si>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</si>
  <si>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</si>
  <si>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</si>
  <si>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</si>
  <si>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</si>
  <si>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</si>
  <si>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</si>
  <si>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</si>
  <si>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</si>
  <si>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</si>
  <si>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</si>
  <si>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</si>
  <si>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</si>
  <si>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</si>
  <si>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</si>
  <si>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</si>
  <si>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</si>
  <si>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</si>
  <si>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</si>
  <si>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</si>
  <si>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</si>
  <si>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</si>
  <si>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</si>
  <si>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</si>
  <si>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</si>
  <si>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</si>
  <si>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</si>
  <si>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</si>
  <si>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</si>
  <si>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</si>
  <si>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</si>
  <si>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</si>
  <si>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</si>
  <si>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</si>
  <si>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</si>
  <si>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</si>
  <si>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</si>
  <si>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</si>
  <si>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</si>
  <si>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</si>
  <si>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</si>
  <si>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</si>
  <si>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</si>
  <si>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</si>
  <si>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</si>
  <si>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</si>
  <si>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</si>
  <si>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</si>
  <si>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</si>
  <si>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</si>
  <si>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</si>
  <si>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</si>
  <si>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</si>
  <si>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</si>
  <si>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</si>
  <si>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</si>
  <si>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</si>
  <si>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</si>
  <si>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</si>
  <si>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</si>
  <si>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</si>
  <si>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</si>
  <si>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</si>
  <si>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</si>
  <si>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</si>
  <si>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</si>
  <si>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</si>
  <si>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</si>
  <si>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</si>
  <si>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</si>
  <si>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</si>
  <si>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</si>
  <si>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</si>
  <si>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</si>
  <si>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</si>
  <si>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</si>
  <si>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</si>
  <si>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</si>
  <si>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</si>
  <si>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</si>
  <si>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</si>
  <si>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</si>
  <si>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</si>
  <si>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</si>
  <si>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</si>
  <si>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</si>
  <si>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</si>
  <si>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</si>
  <si>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</si>
  <si>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</si>
  <si>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</si>
  <si>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</si>
  <si>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</si>
  <si>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</si>
  <si>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</si>
  <si>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</si>
  <si>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</si>
  <si>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</si>
  <si>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</si>
  <si>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</si>
  <si>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</si>
  <si>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</si>
  <si>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</si>
  <si>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</si>
  <si>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</si>
  <si>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</si>
  <si>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</si>
  <si>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</si>
  <si>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</si>
  <si>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</si>
  <si>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</si>
  <si>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</si>
  <si>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</si>
  <si>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</si>
  <si>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</si>
  <si>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</si>
  <si>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</si>
  <si>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</si>
  <si>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</si>
  <si>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</si>
  <si>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</si>
  <si>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</si>
  <si>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</si>
  <si>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</si>
  <si>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</si>
  <si>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</si>
  <si>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</si>
  <si>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</si>
  <si>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</si>
  <si>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</si>
  <si>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</si>
  <si>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</si>
  <si>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</si>
  <si>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</si>
  <si>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</si>
  <si>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</si>
  <si>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</si>
  <si>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</si>
  <si>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</si>
  <si>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</si>
  <si>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</si>
  <si>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</si>
  <si>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</si>
  <si>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</si>
  <si>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</si>
  <si>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</si>
  <si>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</si>
  <si>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</si>
  <si>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</si>
  <si>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</si>
  <si>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</si>
  <si>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</si>
  <si>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</si>
  <si>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</si>
  <si>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</si>
  <si>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</si>
  <si>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</si>
  <si>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</si>
  <si>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</si>
  <si>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</si>
  <si>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</si>
  <si>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</si>
  <si>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</si>
  <si>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</si>
  <si>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</si>
  <si>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</si>
  <si>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</si>
  <si>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</si>
  <si>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</si>
  <si>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</si>
  <si>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</si>
  <si>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</si>
  <si>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</si>
  <si>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</si>
  <si>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</si>
  <si>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</si>
  <si>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</si>
  <si>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</si>
  <si>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</si>
  <si>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</si>
  <si>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</si>
  <si>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</si>
  <si>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</si>
  <si>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</si>
  <si>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</si>
  <si>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</si>
  <si>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</si>
  <si>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</si>
  <si>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</si>
  <si>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</si>
  <si>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</si>
  <si>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</si>
  <si>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</si>
  <si>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</si>
  <si>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</si>
  <si>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</si>
  <si>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</si>
  <si>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</si>
  <si>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</si>
  <si>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</si>
  <si>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</si>
  <si>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</si>
  <si>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</si>
  <si>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</si>
  <si>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</si>
  <si>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</si>
  <si>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</si>
  <si>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</si>
  <si>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</si>
  <si>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</si>
  <si>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</si>
  <si>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</si>
  <si>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</si>
  <si>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</si>
  <si>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</si>
  <si>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</si>
  <si>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</si>
  <si>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</si>
  <si>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</si>
  <si>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</si>
  <si>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</si>
  <si>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</si>
  <si>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</si>
  <si>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</si>
  <si>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</si>
  <si>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</si>
  <si>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</si>
  <si>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</si>
  <si>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</si>
  <si>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</si>
  <si>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</si>
  <si>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</si>
  <si>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</si>
  <si>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</si>
  <si>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</si>
  <si>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</si>
  <si>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</si>
  <si>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</si>
  <si>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</si>
  <si>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</si>
  <si>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</si>
  <si>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</si>
  <si>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</si>
  <si>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</si>
  <si>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</si>
  <si>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</si>
  <si>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</si>
  <si>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</si>
  <si>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</si>
  <si>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</si>
  <si>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</si>
  <si>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</si>
  <si>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</si>
  <si>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</si>
  <si>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</si>
  <si>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</si>
  <si>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</si>
  <si>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</si>
  <si>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</si>
  <si>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</si>
  <si>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</si>
  <si>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</si>
  <si>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</si>
  <si>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</si>
  <si>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</si>
  <si>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</si>
  <si>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</si>
  <si>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</si>
  <si>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</si>
  <si>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</si>
  <si>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</si>
  <si>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</si>
  <si>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</si>
  <si>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</si>
  <si>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</si>
  <si>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</si>
  <si>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</si>
  <si>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</si>
  <si>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</si>
  <si>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</si>
  <si>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</si>
  <si>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</si>
  <si>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</si>
  <si>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</si>
  <si>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</si>
  <si>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</si>
  <si>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</si>
  <si>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</si>
  <si>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</si>
  <si>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</si>
  <si>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</si>
  <si>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</si>
  <si>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</si>
  <si>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</si>
  <si>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</si>
  <si>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</si>
  <si>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</si>
  <si>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</si>
  <si>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</si>
  <si>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</si>
  <si>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</si>
  <si>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</si>
  <si>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</si>
  <si>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</si>
  <si>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</si>
  <si>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</si>
  <si>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</si>
  <si>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</si>
  <si>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</si>
  <si>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</si>
  <si>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</si>
  <si>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</si>
  <si>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</si>
  <si>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</si>
  <si>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</si>
  <si>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</si>
  <si>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</si>
  <si>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</si>
  <si>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</si>
  <si>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</si>
  <si>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</si>
  <si>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</si>
  <si>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</si>
  <si>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</si>
  <si>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</si>
  <si>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</si>
  <si>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</si>
  <si>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</si>
  <si>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</si>
  <si>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</si>
  <si>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</si>
  <si>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</si>
  <si>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</si>
  <si>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</si>
  <si>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</si>
  <si>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</si>
  <si>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</si>
  <si>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</si>
  <si>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</si>
  <si>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</si>
  <si>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</si>
  <si>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</si>
  <si>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</si>
  <si>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</si>
  <si>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</si>
  <si>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</si>
  <si>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</si>
  <si>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</si>
  <si>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</si>
  <si>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</si>
  <si>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</si>
  <si>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</si>
  <si>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</si>
  <si>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</si>
  <si>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</si>
  <si>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</si>
  <si>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</si>
  <si>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</si>
  <si>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</si>
  <si>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</si>
  <si>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</si>
  <si>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</si>
  <si>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</si>
  <si>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</si>
  <si>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</si>
  <si>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</si>
  <si>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</si>
  <si>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</si>
  <si>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</si>
  <si>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</si>
  <si>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</si>
  <si>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</si>
  <si>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</si>
  <si>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</si>
  <si>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</si>
  <si>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</si>
  <si>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</si>
  <si>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</si>
  <si>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</si>
  <si>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</si>
  <si>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</si>
  <si>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</si>
  <si>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</si>
  <si>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</si>
  <si>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</si>
  <si>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</si>
  <si>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</si>
  <si>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</si>
  <si>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</si>
  <si>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</si>
  <si>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</si>
  <si>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</si>
  <si>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</si>
  <si>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</si>
  <si>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</si>
  <si>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</si>
  <si>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</si>
  <si>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</si>
  <si>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</si>
  <si>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</si>
  <si>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</si>
  <si>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</si>
  <si>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</si>
  <si>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</si>
  <si>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</si>
  <si>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</si>
  <si>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</si>
  <si>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</si>
  <si>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</si>
  <si>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</si>
  <si>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</si>
  <si>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</si>
  <si>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</si>
  <si>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</si>
  <si>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</si>
  <si>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</si>
  <si>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</si>
  <si>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</si>
  <si>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</si>
  <si>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</si>
  <si>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</si>
  <si>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</si>
  <si>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</si>
  <si>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</si>
  <si>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</si>
  <si>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</si>
  <si>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</si>
  <si>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</si>
  <si>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</si>
  <si>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</si>
  <si>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</si>
  <si>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</si>
  <si>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</si>
  <si>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</si>
  <si>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</si>
  <si>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</si>
  <si>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</si>
  <si>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</si>
  <si>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</si>
  <si>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</si>
  <si>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</si>
  <si>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</si>
  <si>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</si>
  <si>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</si>
  <si>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</si>
  <si>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</si>
  <si>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</si>
  <si>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</si>
  <si>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</si>
  <si>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</si>
  <si>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</si>
  <si>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</si>
  <si>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</si>
  <si>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</si>
  <si>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</si>
  <si>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</si>
  <si>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</si>
  <si>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</si>
  <si>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</si>
  <si>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</si>
  <si>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</si>
  <si>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</si>
  <si>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</si>
  <si>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</si>
  <si>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</si>
  <si>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</si>
  <si>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</si>
  <si>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</si>
  <si>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</si>
  <si>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</si>
  <si>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</si>
  <si>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</si>
  <si>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</si>
  <si>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</si>
  <si>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</si>
  <si>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</si>
  <si>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</si>
  <si>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</si>
  <si>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</si>
  <si>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</si>
  <si>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</si>
  <si>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</si>
  <si>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</si>
  <si>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</si>
  <si>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</si>
  <si>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</si>
  <si>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</si>
  <si>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</si>
  <si>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</si>
  <si>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</si>
  <si>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</si>
  <si>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</si>
  <si>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</si>
  <si>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</si>
  <si>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</si>
  <si>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</si>
  <si>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</si>
  <si>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</si>
  <si>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</si>
  <si>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</si>
  <si>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</si>
  <si>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</si>
  <si>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</si>
  <si>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</si>
  <si>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</si>
  <si>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</si>
  <si>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</si>
  <si>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</si>
  <si>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</si>
  <si>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</si>
  <si>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</si>
  <si>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</si>
  <si>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</si>
  <si>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</si>
  <si>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</si>
  <si>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</si>
  <si>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</si>
  <si>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</si>
  <si>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</si>
  <si>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</si>
  <si>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</si>
  <si>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</si>
  <si>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</si>
  <si>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</si>
  <si>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</si>
  <si>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</si>
  <si>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</si>
  <si>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</si>
  <si>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</si>
  <si>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</si>
  <si>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</si>
  <si>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</si>
  <si>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</si>
  <si>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</si>
  <si>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</si>
  <si>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</si>
  <si>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</si>
  <si>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</si>
  <si>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</si>
  <si>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</si>
  <si>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</si>
  <si>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</si>
  <si>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</si>
  <si>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</si>
  <si>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</si>
  <si>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</si>
  <si>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</si>
  <si>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</si>
  <si>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</si>
  <si>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</si>
  <si>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</si>
  <si>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</si>
  <si>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</si>
  <si>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</si>
  <si>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</si>
  <si>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</si>
  <si>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</si>
  <si>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</si>
  <si>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</si>
  <si>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</si>
  <si>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</si>
  <si>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</si>
  <si>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</si>
  <si>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</si>
  <si>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</si>
  <si>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</si>
  <si>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</si>
  <si>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</si>
  <si>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</si>
  <si>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</si>
  <si>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</si>
  <si>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</si>
  <si>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</si>
  <si>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</si>
  <si>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</si>
  <si>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</si>
  <si>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</si>
  <si>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</si>
  <si>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</si>
  <si>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</si>
  <si>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</si>
  <si>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</si>
  <si>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</si>
  <si>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</si>
  <si>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</si>
  <si>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</si>
  <si>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</si>
  <si>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</si>
  <si>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</si>
  <si>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</si>
  <si>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</si>
  <si>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</si>
  <si>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</si>
  <si>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</si>
  <si>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</si>
  <si>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</si>
  <si>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</si>
  <si>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</si>
  <si>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</si>
  <si>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</si>
  <si>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</si>
  <si>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</si>
  <si>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</si>
  <si>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</si>
  <si>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</si>
  <si>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</si>
  <si>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</si>
  <si>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</si>
  <si>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</si>
  <si>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</si>
  <si>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</si>
  <si>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</si>
  <si>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</si>
  <si>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</si>
  <si>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国民信托有限公司</t>
    <phoneticPr fontId="6" type="noConversion"/>
  </si>
  <si>
    <t>抵押价格</t>
  </si>
  <si>
    <t>企业</t>
  </si>
  <si>
    <t>河南省</t>
    <phoneticPr fontId="6" type="noConversion"/>
  </si>
  <si>
    <t>商服用地、城镇住宅用地</t>
    <phoneticPr fontId="6" type="noConversion"/>
  </si>
  <si>
    <t>出让</t>
  </si>
  <si>
    <t>一致</t>
  </si>
  <si>
    <t>商业</t>
  </si>
  <si>
    <t>居住项目</t>
  </si>
  <si>
    <t>无</t>
  </si>
  <si>
    <t>否</t>
  </si>
  <si>
    <t>场地平整</t>
  </si>
  <si>
    <t>平整</t>
  </si>
  <si>
    <t>通路</t>
  </si>
  <si>
    <t>通电</t>
  </si>
  <si>
    <t>通讯</t>
  </si>
  <si>
    <t>通上水</t>
  </si>
  <si>
    <t>通下水</t>
  </si>
  <si>
    <t>通热</t>
  </si>
  <si>
    <t>燃气</t>
  </si>
  <si>
    <t>出让金</t>
    <phoneticPr fontId="225" type="noConversion"/>
  </si>
  <si>
    <t>地上</t>
  </si>
  <si>
    <t>平层住宅</t>
  </si>
  <si>
    <t>26-2号地</t>
    <phoneticPr fontId="225" type="noConversion"/>
  </si>
  <si>
    <t>开封凯泽旅游开发有限公司</t>
    <phoneticPr fontId="225" type="noConversion"/>
  </si>
  <si>
    <t>开封博联旅游开发有限公司</t>
    <phoneticPr fontId="6" type="noConversion"/>
  </si>
  <si>
    <t>出让金票据汇总</t>
    <phoneticPr fontId="225" type="noConversion"/>
  </si>
  <si>
    <t>出让金票据</t>
    <phoneticPr fontId="225" type="noConversion"/>
  </si>
  <si>
    <t>契税0.04</t>
    <phoneticPr fontId="225" type="noConversion"/>
  </si>
  <si>
    <t>开封博联旅游开发有限公司</t>
    <phoneticPr fontId="225" type="noConversion"/>
  </si>
  <si>
    <t>30-3地块</t>
  </si>
  <si>
    <t>其他土地出让金收入</t>
    <phoneticPr fontId="225" type="noConversion"/>
  </si>
  <si>
    <t>地下</t>
  </si>
  <si>
    <t>车库</t>
  </si>
  <si>
    <t>住宅-高层</t>
  </si>
  <si>
    <t>住宅-高层</t>
    <phoneticPr fontId="7" type="noConversion"/>
  </si>
  <si>
    <t>商业-底商</t>
  </si>
  <si>
    <t>地下车位</t>
  </si>
  <si>
    <t>工程进度</t>
  </si>
  <si>
    <t>《关于收取城市基础设施配套费的通知》</t>
    <phoneticPr fontId="3" type="noConversion"/>
  </si>
  <si>
    <t>http://fgw.kaifeng.gov.cn/info/1955</t>
    <phoneticPr fontId="3" type="noConversion"/>
  </si>
  <si>
    <t>土地（套用方法）</t>
  </si>
  <si>
    <t>押一</t>
  </si>
  <si>
    <t>按租金收入计税</t>
  </si>
  <si>
    <t>钢混</t>
  </si>
  <si>
    <t>不动产收益法</t>
  </si>
  <si>
    <t>地块名称</t>
  </si>
  <si>
    <t>城市</t>
  </si>
  <si>
    <t>地块编号</t>
  </si>
  <si>
    <t>区县</t>
  </si>
  <si>
    <t>土地位置</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</si>
  <si>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</si>
  <si>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</si>
  <si>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</si>
  <si>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</si>
  <si>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</si>
  <si>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</si>
  <si>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</si>
  <si>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</si>
  <si>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</si>
  <si>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</si>
  <si>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</si>
  <si>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</si>
  <si>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</si>
  <si>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</si>
  <si>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</si>
  <si>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</si>
  <si>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</si>
  <si>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</si>
  <si>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</si>
  <si>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开封新区启动区二大街东侧、金耀路以北XQ1101-05</t>
  </si>
  <si>
    <t>开封市</t>
  </si>
  <si>
    <t>2022-10号</t>
  </si>
  <si>
    <t xml:space="preserve"> 龙亭区</t>
  </si>
  <si>
    <t xml:space="preserve"> 开封新区启动区二大街东侧、金耀路以北XQ1101-05</t>
  </si>
  <si>
    <t xml:space="preserve"> 住宅用地</t>
  </si>
  <si>
    <t xml:space="preserve"> 大于或等于1并且小于或等于2.5</t>
  </si>
  <si>
    <t xml:space="preserve"> 挂牌</t>
  </si>
  <si>
    <t xml:space="preserve"> 城镇住宅-普通商品住房用地</t>
  </si>
  <si>
    <t xml:space="preserve">-- </t>
  </si>
  <si>
    <t xml:space="preserve"> -- </t>
  </si>
  <si>
    <t xml:space="preserve"> --</t>
  </si>
  <si>
    <t xml:space="preserve"> 已成交</t>
  </si>
  <si>
    <t xml:space="preserve"> 开封经开数字文化投资有限公司  </t>
  </si>
  <si>
    <t xml:space="preserve"> 开封经开数字文化投资有限公司</t>
  </si>
  <si>
    <t xml:space="preserve"> 70年</t>
  </si>
  <si>
    <t>开封新区启动区六大街西侧、金耀璐以北XQ0902-03(2#)地块</t>
  </si>
  <si>
    <t>2022-23号</t>
  </si>
  <si>
    <t xml:space="preserve"> 开封新区启动区六大街西侧、金耀璐以北XQ0902-03(2#)地块</t>
  </si>
  <si>
    <t xml:space="preserve"> 开封惠民城中村改造开发建设有限公司  </t>
  </si>
  <si>
    <t xml:space="preserve"> 河南新惠建投</t>
  </si>
  <si>
    <t>自贸区十四大街以东、规划路南侧ZM08A-09(1#)</t>
  </si>
  <si>
    <t>2022-20号</t>
  </si>
  <si>
    <t xml:space="preserve"> 自贸区十四大街以东、规划路南侧ZM08A-09(1#)</t>
  </si>
  <si>
    <t xml:space="preserve"> 大于或等于1并且小于或等于2</t>
  </si>
  <si>
    <t xml:space="preserve"> 开封新建投置业有限公司  </t>
  </si>
  <si>
    <t>自贸区郑开大道以南、十四大街东侧ZMQ08A-06</t>
  </si>
  <si>
    <t>2022-21号</t>
  </si>
  <si>
    <t xml:space="preserve"> 自贸区郑开大道以南、十四大街东侧ZMQ08A-06</t>
  </si>
  <si>
    <t xml:space="preserve"> 开封城投</t>
  </si>
  <si>
    <t>复兴大道以北、鼎宇东路西侧CB0306-05</t>
  </si>
  <si>
    <t>2022-7号</t>
  </si>
  <si>
    <t xml:space="preserve"> 复兴大道以北、鼎宇东路西侧CB0306-05</t>
  </si>
  <si>
    <t xml:space="preserve"> 大于或等于1并且小于或等于1.9</t>
  </si>
  <si>
    <t xml:space="preserve"> 开封市振华房地产开发有限公司  </t>
  </si>
  <si>
    <t xml:space="preserve"> 开封市城乡振兴开发建设集团有限公司</t>
  </si>
  <si>
    <t>鼎宇东路西侧、规划路北侧CB0306-03</t>
  </si>
  <si>
    <t>2022-8号</t>
  </si>
  <si>
    <t xml:space="preserve"> 鼎宇东路西侧、规划路北侧CB0306-03</t>
  </si>
  <si>
    <t xml:space="preserve"> 开封市振业房地产开发有限公司  </t>
  </si>
  <si>
    <t>开封市城北片区复兴大道北侧、丰茂东路西侧CB0305-02</t>
  </si>
  <si>
    <t>2022-9号</t>
  </si>
  <si>
    <t xml:space="preserve"> 开封市城北片区复兴大道北侧、丰茂东路西侧CB0305-02</t>
  </si>
  <si>
    <t xml:space="preserve"> 开封市振源置业有限公司  </t>
  </si>
  <si>
    <t>开封市城西片区金耀路南侧CX0601-02</t>
  </si>
  <si>
    <t>2022-11号</t>
  </si>
  <si>
    <t xml:space="preserve"> 开封市城西片区金耀路南侧CX0601-02</t>
  </si>
  <si>
    <t xml:space="preserve"> 大于或等于1并且小于或等于2.2</t>
  </si>
  <si>
    <t xml:space="preserve"> 河南鼎立置业有限公司  </t>
  </si>
  <si>
    <t xml:space="preserve"> 河南鼎立置业</t>
  </si>
  <si>
    <t>开封市城西片区集英街以东、规划路南侧CX0602-02</t>
  </si>
  <si>
    <t>2022-12号</t>
  </si>
  <si>
    <t xml:space="preserve"> 开封市城西片区集英街以东、规划路南侧CX0602-02</t>
  </si>
  <si>
    <t>水稻乡稻一路北侧、水五路东侧SD101-03(1#)</t>
  </si>
  <si>
    <t>2022-1号</t>
  </si>
  <si>
    <t xml:space="preserve"> 水稻乡稻一路北侧、水五路东侧SD101-03(1#)</t>
  </si>
  <si>
    <t xml:space="preserve"> 大于或等于1并且小于或等于1.5</t>
  </si>
  <si>
    <t xml:space="preserve"> 拍卖</t>
  </si>
  <si>
    <t xml:space="preserve"> 开封文投建隆文化旅游开发有限公司  </t>
  </si>
  <si>
    <t xml:space="preserve"> 开封市文化旅游投资集团</t>
  </si>
  <si>
    <t>水稻乡稻一路北侧、水三路以东SD101-07(1#)</t>
  </si>
  <si>
    <t>2022-3号</t>
  </si>
  <si>
    <t xml:space="preserve"> 水稻乡稻一路北侧、水三路以东SD101-07(1#)</t>
  </si>
  <si>
    <t>水稻乡稻一路北侧、水三路西侧SD101-04</t>
  </si>
  <si>
    <t>2022-2号</t>
  </si>
  <si>
    <t xml:space="preserve"> 水稻乡稻一路北侧、水三路西侧SD101-04</t>
  </si>
  <si>
    <t>开封新区七大街东侧、东京大道以南XQ0904-02</t>
  </si>
  <si>
    <t>2021-59号</t>
  </si>
  <si>
    <t xml:space="preserve"> 开封新区七大街东侧、东京大道以南XQ0904-02</t>
  </si>
  <si>
    <t>开封新区启动区十大街西侧、复兴大道以南XQ0103-04地块</t>
  </si>
  <si>
    <t>2021-40号</t>
  </si>
  <si>
    <t xml:space="preserve"> 开封新区启动区十大街西侧、复兴大道以南XQ0103-04地块</t>
  </si>
  <si>
    <t xml:space="preserve"> 开封博元房地产开发有限公司  </t>
  </si>
  <si>
    <t xml:space="preserve"> 重庆盈丰地产有限公司</t>
  </si>
  <si>
    <t>开封新区职教路北侧、十二大街以东XQ0102-07地块</t>
  </si>
  <si>
    <t>2021-35号</t>
  </si>
  <si>
    <t xml:space="preserve"> 开封新区职教路北侧、十二大街以东XQ0102-07地块</t>
  </si>
  <si>
    <t xml:space="preserve"> 开封市建设投资有限公司  </t>
  </si>
  <si>
    <t>开封市西南片区黄河大街以东、南柴屯路以北XN0501-05地块</t>
  </si>
  <si>
    <t>2021-34号</t>
  </si>
  <si>
    <t xml:space="preserve"> 开封市西南片区黄河大街以东、南柴屯路以北XN0501-05地块</t>
  </si>
  <si>
    <t xml:space="preserve"> 开封欣宋房地产有限公司  </t>
  </si>
  <si>
    <t>开封市西南片区黄河大街以东、南柴屯路以北XN0501-02地块</t>
  </si>
  <si>
    <t>2021-41号</t>
  </si>
  <si>
    <t xml:space="preserve"> 开封市西南片区黄河大街以东、南柴屯路以北XN0501-02地块</t>
  </si>
  <si>
    <t xml:space="preserve"> 河南新宋风置业有限公司  </t>
  </si>
  <si>
    <t>开封新区职教路北侧、十一大街以西XQ0102-08地块</t>
  </si>
  <si>
    <t>2021-36号</t>
  </si>
  <si>
    <t xml:space="preserve"> 开封新区职教路北侧、十一大街以西XQ0102-08地块</t>
  </si>
  <si>
    <t>开封新区复兴大道以南、十一大街以西XQ0102-06地块</t>
  </si>
  <si>
    <t>2021-33号</t>
  </si>
  <si>
    <t xml:space="preserve"> 开封新区复兴大道以南、十一大街以西XQ0102-06地块</t>
  </si>
  <si>
    <t xml:space="preserve"> 城镇住宅-保障性租赁住房</t>
  </si>
  <si>
    <t xml:space="preserve"> 开封复兴置业有限公司  </t>
  </si>
  <si>
    <t>开封新区复兴大道以南、十二大街以东XQ0102-05地块</t>
  </si>
  <si>
    <t>2021-32号</t>
  </si>
  <si>
    <t xml:space="preserve"> 开封新区复兴大道以南、十二大街以东XQ0102-05地块</t>
  </si>
  <si>
    <t xml:space="preserve"> 城镇住宅-公共租赁住房用地</t>
  </si>
  <si>
    <t>开封新区东京大道以南,一大街以西XQ1101-04地块</t>
  </si>
  <si>
    <t>2021-37号</t>
  </si>
  <si>
    <t xml:space="preserve"> 开封新区东京大道以南,一大街以西XQ1101-04地块</t>
  </si>
  <si>
    <t xml:space="preserve"> 开封海马公馆置业有限公司  </t>
  </si>
  <si>
    <t xml:space="preserve"> 海马地产</t>
  </si>
  <si>
    <t>开封新区启动区十一大街以东、复兴大道以南XQ0103-02地块</t>
  </si>
  <si>
    <t>2021-39号</t>
  </si>
  <si>
    <t xml:space="preserve"> 开封新区启动区十一大街以东、复兴大道以南XQ0103-02地块</t>
  </si>
  <si>
    <t>开封新区东京大道以南、二大街东侧XQ1101-02地块</t>
  </si>
  <si>
    <t>2021-57号</t>
  </si>
  <si>
    <t xml:space="preserve"> 开封新区东京大道以南、二大街东侧XQ1101-02地块</t>
  </si>
  <si>
    <t>开封市西南片区黄河大街以西、陇海七路以北XN1301-03(1#)地块</t>
  </si>
  <si>
    <t>2021-43号</t>
  </si>
  <si>
    <t xml:space="preserve"> 开封市西南片区黄河大街以西、陇海七路以北XN1301-03(1#)地块</t>
  </si>
  <si>
    <t>三大街以西、职教路南侧XQ0407-01(1#)</t>
  </si>
  <si>
    <t>2021-26号</t>
  </si>
  <si>
    <t xml:space="preserve"> 三大街以西、职教路南侧XQ0407-01(1#)</t>
  </si>
  <si>
    <t xml:space="preserve"> 大于或等于1并且小于或等于2.7</t>
  </si>
  <si>
    <t xml:space="preserve"> 河南富利世置业有限公司  </t>
  </si>
  <si>
    <t xml:space="preserve"> 河南海洋房地产开发有限公司</t>
  </si>
  <si>
    <t>开封新区启动区东京大道以南、一大街以东XQ1102-02</t>
  </si>
  <si>
    <t>2021-25号</t>
  </si>
  <si>
    <t xml:space="preserve"> 开封新区启动区东京大道以南、一大街以东XQ1102-02</t>
  </si>
  <si>
    <t xml:space="preserve"> 大于或等于1并且小于或等于1.6</t>
  </si>
  <si>
    <t>开封市城西片区夷山大街以西、金耀路北侧CX0201-04宗地</t>
  </si>
  <si>
    <t>2021-17号</t>
  </si>
  <si>
    <t xml:space="preserve"> 东至城市绿线,南至金耀路道路红线,西至规划用地边界线,北至规划用地边界线。</t>
  </si>
  <si>
    <t xml:space="preserve"> 综合用地(含住宅)</t>
  </si>
  <si>
    <t xml:space="preserve"> ≥1.0且≤2.20</t>
  </si>
  <si>
    <t xml:space="preserve"> 二类居住用地(R2)兼容商业用地(B1)</t>
  </si>
  <si>
    <t xml:space="preserve"> 商业用地40年、住宅70年</t>
  </si>
  <si>
    <t>开封新区启动区三大街以东、站前南路XQ0306-02</t>
  </si>
  <si>
    <t>2021-23</t>
  </si>
  <si>
    <t xml:space="preserve"> 开封新区启动区三大街以东、站前南路XQ0306-02</t>
  </si>
  <si>
    <t xml:space="preserve"> 开封永威梅隆实业有限公司  </t>
  </si>
  <si>
    <t>开封市城西片区夷山大街东侧、金耀路南侧CX0802-01</t>
  </si>
  <si>
    <t>2021-15</t>
  </si>
  <si>
    <t xml:space="preserve"> 开封市城西片区夷山大街东侧、金耀路南侧CX0802-01</t>
  </si>
  <si>
    <t>开封新区十大街东侧、金耀路北侧XQ0702-05</t>
  </si>
  <si>
    <t>2021-14</t>
  </si>
  <si>
    <t xml:space="preserve"> 开封新区十大街东侧、金耀路北侧XQ0702-05</t>
  </si>
  <si>
    <t>开封新区启动区一大街以西、站前路南侧XQ0306-06地块</t>
  </si>
  <si>
    <t>2021-12号</t>
  </si>
  <si>
    <t xml:space="preserve"> 开封新区启动区一大街以西、站前路南侧XQ0306-06地块</t>
  </si>
  <si>
    <t xml:space="preserve"> 永威置业</t>
  </si>
  <si>
    <t>开封新区十大街西侧、金耀路以南XQ0703-03地块</t>
  </si>
  <si>
    <t>2021—3号</t>
  </si>
  <si>
    <t xml:space="preserve"> 东至十大街道路红线,西至规划用地边界线,南至规划路道路红线,北至城市绿线及规划用地边界线。</t>
  </si>
  <si>
    <t xml:space="preserve"> ≥1.0且≤2.50</t>
  </si>
  <si>
    <t xml:space="preserve"> 商服、住宅</t>
  </si>
  <si>
    <t xml:space="preserve"> 开封经开投资控股</t>
  </si>
  <si>
    <t xml:space="preserve"> 商服用地40年、住宅用地70年</t>
  </si>
  <si>
    <t>开封市城北片区金明大道以东、复兴大道以南CB0602-04地块</t>
  </si>
  <si>
    <t>2021—2号</t>
  </si>
  <si>
    <t xml:space="preserve"> 东至规划路道路红线,南至规划路道路红线,西至规划用地边界线,北至规划用地边界线。</t>
  </si>
  <si>
    <t xml:space="preserve"> 开封枫华湾置业有限公司  </t>
  </si>
  <si>
    <t xml:space="preserve"> 商业用地40年、住宅用地70年</t>
  </si>
  <si>
    <t>开封新区启动区四大街与安顺路交叉口西南角XQ1501-02地块</t>
  </si>
  <si>
    <t>2021—1号</t>
  </si>
  <si>
    <t xml:space="preserve"> 东至城市绿线,南至城市绿线,西至规划用地边界线,北至城市绿线。</t>
  </si>
  <si>
    <t xml:space="preserve"> 郑州紫藤公馆置业有限公司  </t>
  </si>
  <si>
    <t xml:space="preserve"> 郑州发展投资</t>
  </si>
  <si>
    <t>西蔡屯城中村改造项目</t>
  </si>
  <si>
    <t>2020-22号</t>
  </si>
  <si>
    <t xml:space="preserve"> 西蔡屯城中村改造项目</t>
  </si>
  <si>
    <t xml:space="preserve"> 大于或等于1并且小于或等于2.9</t>
  </si>
  <si>
    <t xml:space="preserve"> 河南嘉新睿置业有限公司  </t>
  </si>
  <si>
    <t xml:space="preserve"> 河南晖达新睿文化产业,河南迪通置业</t>
  </si>
  <si>
    <t>开封市自贸区宋城路南侧、七大街西侧ZM04F-01地块</t>
  </si>
  <si>
    <t>2020-27号</t>
  </si>
  <si>
    <t xml:space="preserve"> 开封市自贸区宋城路南侧、七大街西侧ZM04F-01地块</t>
  </si>
  <si>
    <t xml:space="preserve"> 开封新建投地产发展有限公司  </t>
  </si>
  <si>
    <t xml:space="preserve"> 开封新建投房地产开发有限公司</t>
  </si>
  <si>
    <t>开封市城北片区金丰苑中路南侧、金明大道以东CB0605-01地块</t>
  </si>
  <si>
    <t>2020-31号</t>
  </si>
  <si>
    <t xml:space="preserve"> 开封市城北片区金丰苑中路南侧、金明大道以东CB0605-01地块</t>
  </si>
  <si>
    <t>开封市古城片区豆腐营街北侧、北西后街西侧GC0302-11地块</t>
  </si>
  <si>
    <t>2020-33号</t>
  </si>
  <si>
    <t xml:space="preserve"> 开封市古城片区豆腐营街北侧、北西后街西侧GC0302-11地块</t>
  </si>
  <si>
    <t xml:space="preserve"> 大于或等于1并且小于或等于1</t>
  </si>
  <si>
    <t xml:space="preserve"> 开封文投晟隆置业有限公司  </t>
  </si>
  <si>
    <t xml:space="preserve"> 开封文投晟隆置业有限公司</t>
  </si>
  <si>
    <t>开封市古城片区体育场东路东侧、规划路南侧GC0302-03(1#)地块</t>
  </si>
  <si>
    <t>2020-34号</t>
  </si>
  <si>
    <t xml:space="preserve"> 开封市古城片区体育场东路东侧、规划路南侧GC0302-03(1#)地块</t>
  </si>
  <si>
    <t xml:space="preserve"> 开封文投睿隆置业有限公司  </t>
  </si>
  <si>
    <t xml:space="preserve"> 开封文投睿隆置业有限公司</t>
  </si>
  <si>
    <t>二大街东侧、站前路北侧XQ0302-02(1#)地块</t>
  </si>
  <si>
    <t>2020-38号</t>
  </si>
  <si>
    <t xml:space="preserve"> 二大街东侧、站前路北侧XQ0302-02(1#)地块</t>
  </si>
  <si>
    <t>开封新区启动区安顺路以南、四大街以东XQ1502-01地块</t>
  </si>
  <si>
    <t>2020-30号</t>
  </si>
  <si>
    <t xml:space="preserve"> 开封新区启动区安顺路以南、四大街以东XQ1502-01地块</t>
  </si>
  <si>
    <t xml:space="preserve"> 开封市橄榄城丹堤房地产开发有限公司  </t>
  </si>
  <si>
    <t xml:space="preserve"> 建设投资,郑地集团,亚新</t>
  </si>
  <si>
    <t>西南片区黄河大街以东、陇海七路以北XN1301-15地块</t>
  </si>
  <si>
    <t>2020-25号</t>
  </si>
  <si>
    <t xml:space="preserve"> 西南片区黄河大街以东、陇海七路以北XN1301-15地块</t>
  </si>
  <si>
    <t xml:space="preserve"> 河南新宋风置业有限公司</t>
  </si>
  <si>
    <t xml:space="preserve"> 70年、40年</t>
  </si>
  <si>
    <t>西南片区黄河大街以东、陇海七路以北XN1301-14(1#)地块</t>
  </si>
  <si>
    <t>2020-24号</t>
  </si>
  <si>
    <t xml:space="preserve"> 西南片区黄河大街以东、陇海七路以北XN1301-14(1#)地块</t>
  </si>
  <si>
    <t>城北片区双喜街西侧、规划路北侧CB0404-03地块</t>
  </si>
  <si>
    <t>2020-26号</t>
  </si>
  <si>
    <t xml:space="preserve"> 城北片区双喜街西侧、规划路北侧CB0404-03地块</t>
  </si>
  <si>
    <t xml:space="preserve"> 河南新梦想置业有限公司  </t>
  </si>
  <si>
    <t>开封市自贸区规划路南侧、七大街西侧ZM04F-02(01)地块</t>
  </si>
  <si>
    <t>2020-28号</t>
  </si>
  <si>
    <t xml:space="preserve"> 开封市自贸区规划路南侧、七大街西侧ZM04F-02(01)地块</t>
  </si>
  <si>
    <t xml:space="preserve"> 河南省仁远置业有限公司  </t>
  </si>
  <si>
    <t xml:space="preserve"> 开封金茂置业</t>
  </si>
  <si>
    <t>自贸区汉兴西路以北、九大街以西ZM05I-07地块</t>
  </si>
  <si>
    <t>2020-3号</t>
  </si>
  <si>
    <t xml:space="preserve"> 自贸区汉兴西路以北、九大街以西ZM05I-07地块</t>
  </si>
  <si>
    <t xml:space="preserve"> 商业服务、住宅用地</t>
  </si>
  <si>
    <t xml:space="preserve"> 河南茂居置业有限公司  </t>
  </si>
  <si>
    <t xml:space="preserve"> 河南茂居置业有限公司</t>
  </si>
  <si>
    <t>集英街与魏都路交叉口西北角地块</t>
  </si>
  <si>
    <t>2020-2号</t>
  </si>
  <si>
    <t xml:space="preserve"> 集英街与魏都路交叉口西北角地块</t>
  </si>
  <si>
    <t xml:space="preserve"> 大于或等于1并且小于或等于2.8</t>
  </si>
  <si>
    <t xml:space="preserve"> 河南安筑置业有限公司  </t>
  </si>
  <si>
    <t xml:space="preserve"> 河南筑和置业有限公司</t>
  </si>
  <si>
    <t>自贸区汉兴西路以北、九大街以西ZM05I-06地块</t>
  </si>
  <si>
    <t>2020-4号</t>
  </si>
  <si>
    <t xml:space="preserve"> 自贸区汉兴西路以北、九大街以西ZM05I-06地块</t>
  </si>
  <si>
    <t>运粮河片区规划三路北侧、二十四大街东侧YLXB01-06地块</t>
  </si>
  <si>
    <t>2020-11号</t>
  </si>
  <si>
    <t xml:space="preserve"> 运粮河片区规划三路北侧、二十四大街东侧YLXB01-06地块</t>
  </si>
  <si>
    <t xml:space="preserve"> 商业服务、住宅</t>
  </si>
  <si>
    <t xml:space="preserve"> 开封新惠房地产开发有限公司  </t>
  </si>
  <si>
    <t>一大街以西、站前路北侧XQ0302-02(2#)地块</t>
  </si>
  <si>
    <t>2020-6号</t>
  </si>
  <si>
    <t xml:space="preserve"> 一大街以西、站前路北侧XQ0302-02(2#)地块</t>
  </si>
  <si>
    <t>开封市城北片区复兴大道北侧、规划路东侧CB0106-06地块</t>
  </si>
  <si>
    <t>2020-10号</t>
  </si>
  <si>
    <t xml:space="preserve"> 开封市城北片区复兴大道北侧、规划路东侧CB0106-06地块</t>
  </si>
  <si>
    <t xml:space="preserve"> 郑州宏远置业有限公司</t>
  </si>
  <si>
    <t>新区启动区一大街以西、安康路以南XQ1601-02地块</t>
  </si>
  <si>
    <t>2020-8号</t>
  </si>
  <si>
    <t xml:space="preserve"> 新区启动区一大街以西、安康路以南XQ1601-02地块</t>
  </si>
  <si>
    <t xml:space="preserve"> 开封圣扬置业有限公司  </t>
  </si>
  <si>
    <t xml:space="preserve"> 圣桦集团</t>
  </si>
  <si>
    <t>金耀路以北、一大街以东XQ1002-03地块</t>
  </si>
  <si>
    <t>2020-1号</t>
  </si>
  <si>
    <t xml:space="preserve"> 金耀路以北、一大街以东XQ1002-03地块</t>
  </si>
  <si>
    <t xml:space="preserve"> 招标</t>
  </si>
  <si>
    <t xml:space="preserve"> 河南新东方置业有限公司  </t>
  </si>
  <si>
    <t xml:space="preserve"> 星联芒果</t>
  </si>
  <si>
    <t>三大街东侧、职教路南侧地块</t>
  </si>
  <si>
    <t>2019-33号</t>
  </si>
  <si>
    <t xml:space="preserve"> 三大街东侧、职教路南侧地块</t>
  </si>
  <si>
    <t xml:space="preserve"> 城镇住宅用地</t>
  </si>
  <si>
    <t>开封新区启动区二大街西侧、规划路南侧XQ1001-02地块</t>
  </si>
  <si>
    <t>2019-37号</t>
  </si>
  <si>
    <t xml:space="preserve"> 开封新区启动区二大街西侧、规划路南侧XQ1001-02地块</t>
  </si>
  <si>
    <t xml:space="preserve"> 河南熙域置业有限公司  </t>
  </si>
  <si>
    <t xml:space="preserve"> 河南锦豪置业有限公司</t>
  </si>
  <si>
    <t>开封新区一大街西、金耀路南地块</t>
  </si>
  <si>
    <t>2019-34号</t>
  </si>
  <si>
    <t xml:space="preserve"> 开封新区一大街西、金耀路南地块</t>
  </si>
  <si>
    <t xml:space="preserve"> 开封市新区中联创房地产开发有限公司  </t>
  </si>
  <si>
    <t xml:space="preserve"> 郑地集团</t>
  </si>
  <si>
    <t>私访院城中村改造地块</t>
  </si>
  <si>
    <t>2019-28号</t>
  </si>
  <si>
    <t xml:space="preserve"> 私访院城中村改造地块</t>
  </si>
  <si>
    <t xml:space="preserve"> 开封康祥房地产开发有限公司  </t>
  </si>
  <si>
    <t xml:space="preserve"> 开封康祥房地产开发有限公司</t>
  </si>
  <si>
    <t>古城片区体育场东路以东、铁塔西街南侧GC0302-02(2#)地块</t>
  </si>
  <si>
    <t>2019-32号</t>
  </si>
  <si>
    <t xml:space="preserve"> 古城片区体育场东路以东、铁塔西街南侧GC0302-02(2#)地块</t>
  </si>
  <si>
    <t xml:space="preserve"> 开封文投锦隆置业有限公司  </t>
  </si>
  <si>
    <t xml:space="preserve"> 开封文投锦隆置业有限公司</t>
  </si>
  <si>
    <t>瞿家寨城中村改造项目地块</t>
  </si>
  <si>
    <t>2019-27号</t>
  </si>
  <si>
    <t xml:space="preserve"> 瞿家寨城中村改造项目地块</t>
  </si>
  <si>
    <t xml:space="preserve"> 河南茂睿置业有限公司  </t>
  </si>
  <si>
    <t xml:space="preserve"> 河南茂睿置业有限公司</t>
  </si>
  <si>
    <t>2019-24号</t>
  </si>
  <si>
    <t xml:space="preserve"> 河南嘉世睿置业有限公司  </t>
  </si>
  <si>
    <t xml:space="preserve"> 河南新城置业有限公司</t>
  </si>
  <si>
    <t>2019-26号</t>
  </si>
  <si>
    <t xml:space="preserve"> 晖达嘉睿置业,奥园集团</t>
  </si>
  <si>
    <t>2019-25号</t>
  </si>
  <si>
    <t>新区启动区站前南路南侧、五大街以东XQ0303-01地块</t>
  </si>
  <si>
    <t>2019-19号</t>
  </si>
  <si>
    <t xml:space="preserve"> 新区启动区站前南路南侧、五大街以东XQ0303-01地块</t>
  </si>
  <si>
    <t xml:space="preserve"> 大于或等于1并且小于或等于2.6</t>
  </si>
  <si>
    <t xml:space="preserve"> 开封伟宏置业有限公司  </t>
  </si>
  <si>
    <t xml:space="preserve"> 开封永威置业有限公司</t>
  </si>
  <si>
    <t>新区启动区一大街以西、金耀路以北XQ1101-08</t>
  </si>
  <si>
    <t>2019-6号</t>
  </si>
  <si>
    <t xml:space="preserve"> 新区启动区一大街以西、金耀路以北XQ1101-08</t>
  </si>
  <si>
    <t xml:space="preserve"> ≥1,≤2.2</t>
  </si>
  <si>
    <t xml:space="preserve"> 河南省山凤实业有限公司  </t>
  </si>
  <si>
    <t xml:space="preserve"> 河南省山凤实业有限公司</t>
  </si>
  <si>
    <t>运粮河片区二十二大街西侧、规划四路北侧3号</t>
  </si>
  <si>
    <t>2019-3号</t>
  </si>
  <si>
    <t xml:space="preserve"> 运粮河片区二十二大街西侧、规划四路北侧3号</t>
  </si>
  <si>
    <t xml:space="preserve"> ≥1,≤2.9</t>
  </si>
  <si>
    <t xml:space="preserve"> 开封凯泽旅游开发有限公司  </t>
  </si>
  <si>
    <t>运粮河片区二十二大街东侧、规划四路北侧YLXB03-03(2号)</t>
  </si>
  <si>
    <t>2019-1号</t>
  </si>
  <si>
    <t xml:space="preserve"> 运粮河片区二十二大街东侧、规划四路北侧YLXB03-03(2号)</t>
  </si>
  <si>
    <t xml:space="preserve"> ≥1,≤2.6</t>
  </si>
  <si>
    <t xml:space="preserve"> 开封博联旅游开发有限公司  </t>
  </si>
  <si>
    <t xml:space="preserve"> 中国恒大</t>
  </si>
  <si>
    <t>晋安西路以北、九大街以西、十大街以东地块</t>
  </si>
  <si>
    <t>2019-5号</t>
  </si>
  <si>
    <t xml:space="preserve"> 晋安西路以北、九大街以西、十大街以东)地块</t>
  </si>
  <si>
    <t xml:space="preserve"> ≥1,≤2.5</t>
  </si>
  <si>
    <t xml:space="preserve"> 开封绿地斗门置业有限公司  </t>
  </si>
  <si>
    <t xml:space="preserve"> 开封绿地斗门置业</t>
  </si>
  <si>
    <t>新区启动区七大街东侧、安顺路以北地块</t>
  </si>
  <si>
    <t>2019-4号</t>
  </si>
  <si>
    <t xml:space="preserve"> 新区启动区七大街东侧、安顺路以北地块</t>
  </si>
  <si>
    <t xml:space="preserve"> 开封建置房地产开发有限公司  </t>
  </si>
  <si>
    <t xml:space="preserve"> 建业集团</t>
  </si>
  <si>
    <t>自贸区十四大街西侧、汉兴西路以北ZMQ08C-08地块</t>
  </si>
  <si>
    <t>2018-68号</t>
  </si>
  <si>
    <t xml:space="preserve"> 自贸区十四大街西侧、汉兴西路以北ZMQ08C-08地块</t>
  </si>
  <si>
    <t xml:space="preserve"> ≥1,≤2</t>
  </si>
  <si>
    <t xml:space="preserve"> 其他普通商品住房用地</t>
  </si>
  <si>
    <t xml:space="preserve"> 北大资源</t>
  </si>
  <si>
    <t>瞿家寨城中村改造项目</t>
  </si>
  <si>
    <t>2018-58号</t>
  </si>
  <si>
    <t xml:space="preserve"> 瞿家寨城中村改造项目</t>
  </si>
  <si>
    <t xml:space="preserve"> 河南凯睿置业有限公司  </t>
  </si>
  <si>
    <t>自贸区十五大街东侧、规划路南侧ZMQ08C-03地块</t>
  </si>
  <si>
    <t>2018-64号</t>
  </si>
  <si>
    <t xml:space="preserve"> 自贸区十五大街东侧、规划路南侧ZMQ08C-03地块</t>
  </si>
  <si>
    <t>2018-57号</t>
  </si>
  <si>
    <t>周天路南侧</t>
  </si>
  <si>
    <t>2018-63号</t>
  </si>
  <si>
    <t xml:space="preserve"> 周天路南侧</t>
  </si>
  <si>
    <t xml:space="preserve"> 河南锦豪置业有限公司  </t>
  </si>
  <si>
    <t>自贸区十五大街东侧、汉兴西路以北ZMQ08C-04地块</t>
  </si>
  <si>
    <t>2018-65号</t>
  </si>
  <si>
    <t xml:space="preserve"> 自贸区十五大街东侧、汉兴西路以北ZMQ08C-04地块</t>
  </si>
  <si>
    <t>自贸区十六大街东侧、规划路南侧ZMQ08B-05地块</t>
  </si>
  <si>
    <t>2018-66号</t>
  </si>
  <si>
    <t xml:space="preserve"> 自贸区十六大街东侧、规划路南侧ZMQ08B-05地块</t>
  </si>
  <si>
    <t xml:space="preserve"> 开封博明房地产开发有限公司  </t>
  </si>
  <si>
    <t>自贸区十四大街西侧、规划路南侧ZMQ08C-06地块</t>
  </si>
  <si>
    <t>2018-67号</t>
  </si>
  <si>
    <t xml:space="preserve"> 自贸区十四大街西侧、规划路南侧ZMQ08C-06地块</t>
  </si>
  <si>
    <t>自贸区十五大街西侧、规划路南侧ZMQ08B-09地块</t>
  </si>
  <si>
    <t>2018-69号</t>
  </si>
  <si>
    <t xml:space="preserve"> 自贸区十五大街西侧、规划路南侧ZMQ08B-09地块</t>
  </si>
  <si>
    <t>金明大道以东、环堤路南侧</t>
  </si>
  <si>
    <t>2018-53号</t>
  </si>
  <si>
    <t xml:space="preserve"> 金明大道以东、环堤路南侧</t>
  </si>
  <si>
    <t xml:space="preserve"> ≥1,≤3</t>
  </si>
  <si>
    <t xml:space="preserve"> 开封宋泰置业有限公司  </t>
  </si>
  <si>
    <t>夷山大街西侧、复兴北路以南地块</t>
  </si>
  <si>
    <t>2018-48号</t>
  </si>
  <si>
    <t xml:space="preserve"> 夷山大街西侧、复兴北路以南地块</t>
  </si>
  <si>
    <t xml:space="preserve"> 开封坤桦置业有限公司  </t>
  </si>
  <si>
    <t>新区职教路南侧、五大街东侧地块</t>
  </si>
  <si>
    <t>2018-45号</t>
  </si>
  <si>
    <t xml:space="preserve"> 新区职教路南侧、五大街东侧地块</t>
  </si>
  <si>
    <t xml:space="preserve"> 开封新区基础设施建设投资有限公司  </t>
  </si>
  <si>
    <t xml:space="preserve"> 开封市发展投资</t>
  </si>
  <si>
    <t xml:space="preserve"> 住宅70年,商业40年</t>
  </si>
  <si>
    <t>瞿家寨、野场迁村并居项目</t>
  </si>
  <si>
    <t>2018-42号</t>
  </si>
  <si>
    <t xml:space="preserve"> 瞿家寨、野场迁村并居项目</t>
  </si>
  <si>
    <t xml:space="preserve"> 河南晖达嘉睿置业有限公司  </t>
  </si>
  <si>
    <t xml:space="preserve"> 晖达嘉睿置业</t>
  </si>
  <si>
    <t>一大街东侧、职教路南侧地块</t>
  </si>
  <si>
    <t>2018-40号</t>
  </si>
  <si>
    <t xml:space="preserve"> 一大街东侧、职教路南侧地块</t>
  </si>
  <si>
    <t xml:space="preserve"> ≥1,≤1.8</t>
  </si>
  <si>
    <t>2018-43号</t>
  </si>
  <si>
    <t>新区金耀路以南、三大街以西地块</t>
  </si>
  <si>
    <t>2018-41号</t>
  </si>
  <si>
    <t xml:space="preserve"> 新区金耀路以南、三大街以西地块</t>
  </si>
  <si>
    <t xml:space="preserve"> 开封域合城置业有限公司  </t>
  </si>
  <si>
    <t xml:space="preserve"> 域合城置业,禹洲集团</t>
  </si>
  <si>
    <t>新区启动区金耀路北侧、六大街西侧XQ0902-03(1号)地块</t>
  </si>
  <si>
    <t>2018-44号</t>
  </si>
  <si>
    <t xml:space="preserve"> 新区启动区金耀路北侧、六大街西侧XQ0902-03(1号)地块</t>
  </si>
  <si>
    <t xml:space="preserve"> ≥1,≤1.9</t>
  </si>
  <si>
    <t xml:space="preserve"> 河南茂投房地产开发有限公司  </t>
  </si>
  <si>
    <t>新区启动区七大街东侧、金耀路南侧地块</t>
  </si>
  <si>
    <t>2018-46号</t>
  </si>
  <si>
    <t xml:space="preserve"> 新区启动区七大街东侧、金耀路南侧地块</t>
  </si>
  <si>
    <t xml:space="preserve"> 石家庄市美的房地产开发有限公司  </t>
  </si>
  <si>
    <t xml:space="preserve"> 美的置业</t>
  </si>
  <si>
    <t>六大街西侧、金耀路南侧地块</t>
  </si>
  <si>
    <t>2018-39号</t>
  </si>
  <si>
    <t xml:space="preserve"> 六大街西侧、金耀路南侧地块</t>
  </si>
  <si>
    <t xml:space="preserve"> 天津齐茂置业有限公司  </t>
  </si>
  <si>
    <t>运粮河片区二十三大街东侧、一号路北侧地块</t>
  </si>
  <si>
    <t>2018-38号</t>
  </si>
  <si>
    <t xml:space="preserve"> 运粮河片区二十三大街东侧、一号路北侧地块</t>
  </si>
  <si>
    <t xml:space="preserve"> ≥1,≤2.7</t>
  </si>
  <si>
    <t xml:space="preserve"> 开封吉源旅游开发有限公司  </t>
  </si>
  <si>
    <t>运粮河片区二十三大街西侧、一号路北侧地块</t>
  </si>
  <si>
    <t>2018-37号</t>
  </si>
  <si>
    <t xml:space="preserve"> 运粮河片区二十三大街西侧、一号路北侧地块</t>
  </si>
  <si>
    <t>职教路北侧、规划路西侧地块</t>
  </si>
  <si>
    <t>2018-27号</t>
  </si>
  <si>
    <t xml:space="preserve"> 职教路北侧、规划路西侧地块</t>
  </si>
  <si>
    <t>土地</t>
  </si>
  <si>
    <t>比较法-住宅、综合</t>
  </si>
  <si>
    <t>剩余法-待开发</t>
  </si>
  <si>
    <t>楼面地价</t>
  </si>
  <si>
    <t>2019-4</t>
    <phoneticPr fontId="26" type="noConversion"/>
  </si>
  <si>
    <t>2019-3</t>
    <phoneticPr fontId="26" type="noConversion"/>
  </si>
  <si>
    <t>住宅</t>
    <phoneticPr fontId="26" type="noConversion"/>
  </si>
  <si>
    <t>较规则</t>
    <phoneticPr fontId="26" type="noConversion"/>
  </si>
  <si>
    <t>较不规则</t>
  </si>
  <si>
    <t>较不规则</t>
    <phoneticPr fontId="26" type="noConversion"/>
  </si>
  <si>
    <t>不规则</t>
    <phoneticPr fontId="26" type="noConversion"/>
  </si>
  <si>
    <t>规则</t>
    <phoneticPr fontId="26" type="noConversion"/>
  </si>
  <si>
    <t>较合适</t>
    <phoneticPr fontId="26" type="noConversion"/>
  </si>
  <si>
    <t>七通</t>
  </si>
  <si>
    <t>较好</t>
  </si>
  <si>
    <t>较好</t>
    <phoneticPr fontId="26" type="noConversion"/>
  </si>
  <si>
    <t>较差</t>
  </si>
  <si>
    <t>一般</t>
  </si>
  <si>
    <t>售价</t>
  </si>
  <si>
    <t>https://j.map.baidu.com/60/7Z8u</t>
    <phoneticPr fontId="225" type="noConversion"/>
  </si>
  <si>
    <t>项目名称</t>
  </si>
  <si>
    <t>板块</t>
  </si>
  <si>
    <t>推广名称</t>
  </si>
  <si>
    <t>所属企业</t>
  </si>
  <si>
    <t>成交套数(套)</t>
  </si>
  <si>
    <t>成交面积(㎡)</t>
  </si>
  <si>
    <t>成交价格(元/㎡)</t>
  </si>
  <si>
    <t>成交金额(万元)</t>
  </si>
  <si>
    <t>套均总价(万元/套)</t>
  </si>
  <si>
    <t>套均面积(㎡/套)</t>
  </si>
  <si>
    <t>龙亭区</t>
  </si>
  <si>
    <t>晖达·新世界;晖达新世界;晖达新世界紫宸 ;晖达紫誉府</t>
  </si>
  <si>
    <t>晖达嘉睿置业</t>
  </si>
  <si>
    <t>枫华金明府</t>
  </si>
  <si>
    <t>枫华·西湖湾·金明府</t>
  </si>
  <si>
    <t>恒大童世界家园</t>
  </si>
  <si>
    <t>绿地四季印象</t>
  </si>
  <si>
    <t>绿地·四季印象</t>
  </si>
  <si>
    <t>开封绿地斗门置业</t>
  </si>
  <si>
    <t>鼎立国际城</t>
  </si>
  <si>
    <t>鼎立·国际城</t>
  </si>
  <si>
    <t>未来时代安泰嘉园</t>
  </si>
  <si>
    <t>奥园珺樾府</t>
  </si>
  <si>
    <t>华盟天河湾</t>
  </si>
  <si>
    <t>华盟·天河湾</t>
  </si>
  <si>
    <t>禹洲嘉誉府</t>
  </si>
  <si>
    <t>禹洲集团</t>
  </si>
  <si>
    <t>润城</t>
  </si>
  <si>
    <t>小浪底·润城</t>
  </si>
  <si>
    <t>星联芒果</t>
  </si>
  <si>
    <t>海龙西湖华府</t>
  </si>
  <si>
    <t>亚新大梁府</t>
  </si>
  <si>
    <t>郑地集团;亚新集团</t>
  </si>
  <si>
    <t>国控复兴一号</t>
  </si>
  <si>
    <t>保利城</t>
  </si>
  <si>
    <t>保利发展</t>
  </si>
  <si>
    <t>落堤城中村改造永威梅隆郡</t>
  </si>
  <si>
    <t>永威梅隆郡</t>
  </si>
  <si>
    <t>永威置业</t>
  </si>
  <si>
    <t>美的国宾府</t>
  </si>
  <si>
    <t>美的·国宾府</t>
  </si>
  <si>
    <t>美的置业</t>
  </si>
  <si>
    <t>海马公馆</t>
  </si>
  <si>
    <t>西湖半岛</t>
  </si>
  <si>
    <t>富力湾</t>
  </si>
  <si>
    <t>富力地产</t>
  </si>
  <si>
    <t>圣桦樾西湖</t>
  </si>
  <si>
    <t>圣桦·樾西湖</t>
  </si>
  <si>
    <t>汴梁小宋城文商旅综合体项目</t>
  </si>
  <si>
    <t>郑开橄榄城</t>
  </si>
  <si>
    <t>郑地集团</t>
  </si>
  <si>
    <t>金域华府</t>
  </si>
  <si>
    <t>奇瑞·金域华府</t>
  </si>
  <si>
    <t>资源睿成未名1898</t>
  </si>
  <si>
    <t>建业碧桂园天玺</t>
  </si>
  <si>
    <t>碧桂园天玺</t>
  </si>
  <si>
    <t>碧桂园</t>
  </si>
  <si>
    <t>恒大未来城</t>
  </si>
  <si>
    <t>中国恒大</t>
  </si>
  <si>
    <t>星联揽月湾</t>
  </si>
  <si>
    <t>河南新东方置业</t>
  </si>
  <si>
    <t>新龙御都国际</t>
  </si>
  <si>
    <t>新龙·御都国际</t>
  </si>
  <si>
    <t>蓝光雍锦汇</t>
  </si>
  <si>
    <t>蓝光发展</t>
  </si>
  <si>
    <t>锦豪名都</t>
  </si>
  <si>
    <t>汴京华庭</t>
  </si>
  <si>
    <t>金茂汴京华庭</t>
  </si>
  <si>
    <t>永旺铂公馆</t>
  </si>
  <si>
    <t>诚园</t>
  </si>
  <si>
    <t>蓝城诚园</t>
  </si>
  <si>
    <t>开封新田野置业</t>
  </si>
  <si>
    <t>前景国际</t>
  </si>
  <si>
    <t>金明华府</t>
  </si>
  <si>
    <t>开封市金三角置业</t>
  </si>
  <si>
    <t>汴京熙华府</t>
  </si>
  <si>
    <t>融创开封宸院</t>
  </si>
  <si>
    <t>融创中国</t>
  </si>
  <si>
    <t>西城华府</t>
  </si>
  <si>
    <t>中原明珠文化旅游产业园区</t>
  </si>
  <si>
    <t>资源睿成未名央著</t>
  </si>
  <si>
    <t>枫华之家</t>
  </si>
  <si>
    <t>郑州宏远置业有限公司</t>
  </si>
  <si>
    <t>翔龙世纪城</t>
  </si>
  <si>
    <t>翔龙·世纪城</t>
  </si>
  <si>
    <t>锦誉学府</t>
  </si>
  <si>
    <t>新惠华府</t>
  </si>
  <si>
    <t>开封市铧祥置业</t>
  </si>
  <si>
    <t>桃李春风</t>
  </si>
  <si>
    <t>绿城·桃李春风</t>
  </si>
  <si>
    <t>绿发控股集团</t>
  </si>
  <si>
    <t>西湖印象</t>
  </si>
  <si>
    <t>翠庭尚都</t>
  </si>
  <si>
    <t>北大资源未名府</t>
  </si>
  <si>
    <t>北大资源</t>
  </si>
  <si>
    <t>晋开总部悦都</t>
  </si>
  <si>
    <t>新晋美·悦都</t>
  </si>
  <si>
    <t>开封紫薇公馆</t>
  </si>
  <si>
    <t>绿城·紫薇公馆</t>
  </si>
  <si>
    <t>河南茂投房地产</t>
  </si>
  <si>
    <t>涧溪美景</t>
  </si>
  <si>
    <t>西景佳苑</t>
  </si>
  <si>
    <t>中南林樾</t>
  </si>
  <si>
    <t>晖达中南</t>
  </si>
  <si>
    <t>恒大帝景</t>
  </si>
  <si>
    <t>东润银基望京</t>
  </si>
  <si>
    <t>东润银基·望京</t>
  </si>
  <si>
    <t>富九华熙</t>
  </si>
  <si>
    <t>国大·富九华熙</t>
  </si>
  <si>
    <t>东京大观综合体项目</t>
  </si>
  <si>
    <t>东京大观</t>
  </si>
  <si>
    <t>盛世宝隆</t>
  </si>
  <si>
    <t>兴隆兴业地产</t>
  </si>
  <si>
    <t>帝湖世家</t>
  </si>
  <si>
    <t>亿乘·帝湖世家;帝湖世家</t>
  </si>
  <si>
    <t>永威东京华府</t>
  </si>
  <si>
    <t>中南樾府</t>
  </si>
  <si>
    <t>中南建设</t>
  </si>
  <si>
    <t>安联风度柏林</t>
  </si>
  <si>
    <t>安联·风度柏林</t>
  </si>
  <si>
    <t>东汇名城</t>
  </si>
  <si>
    <t>爪哇·东汇名城</t>
  </si>
  <si>
    <t>龙翔香格里拉</t>
  </si>
  <si>
    <t>龙翔香格里拉二期</t>
  </si>
  <si>
    <t>住宅</t>
    <phoneticPr fontId="21" type="noConversion"/>
  </si>
  <si>
    <t>60-70（含）</t>
  </si>
  <si>
    <t>高层</t>
  </si>
  <si>
    <t>高层</t>
    <phoneticPr fontId="21" type="noConversion"/>
  </si>
  <si>
    <t>钢混</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</si>
  <si>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</si>
  <si>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</si>
  <si>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</si>
  <si>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</si>
  <si>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</si>
  <si>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</si>
  <si>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</si>
  <si>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</si>
  <si>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晖达新世界</t>
    <phoneticPr fontId="225" type="noConversion"/>
  </si>
  <si>
    <t>绿城·春江明月</t>
    <phoneticPr fontId="21" type="noConversion"/>
  </si>
  <si>
    <t>五大街与晋安路交叉口路西</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</si>
  <si>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</si>
  <si>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</si>
  <si>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自定义</t>
  </si>
  <si>
    <t>土地面积</t>
    <phoneticPr fontId="21" type="noConversion"/>
  </si>
  <si>
    <t>容积率</t>
    <phoneticPr fontId="21" type="noConversion"/>
  </si>
  <si>
    <t>容积率</t>
    <phoneticPr fontId="3" type="noConversion"/>
  </si>
  <si>
    <t>40000(含)-60000</t>
  </si>
  <si>
    <t>0(含)-20000</t>
  </si>
  <si>
    <t>情况3</t>
  </si>
  <si>
    <t>正常</t>
  </si>
  <si>
    <t>自行开发建设</t>
  </si>
  <si>
    <t>非个人房产</t>
  </si>
  <si>
    <t>仅含出让金</t>
  </si>
  <si>
    <t>市调</t>
    <phoneticPr fontId="225" type="noConversion"/>
  </si>
  <si>
    <t>绿城·春江明月：高层100多平只剩顶层和底层，毛坯6100-6200，120平,毛坯6500-6800，150平以上一梯一户，毛坯6600-7100，即将开盘的预计价格差不多和之前一样，可选户型较多，本来预计12月开盘，因疫情推迟了</t>
    <phoneticPr fontId="225" type="noConversion"/>
  </si>
  <si>
    <t>碧桂园天玺：小高层、高层118、135平,毛坯6500-7300</t>
    <phoneticPr fontId="225" type="noConversion"/>
  </si>
  <si>
    <t>碧桂园天玺</t>
    <phoneticPr fontId="3" type="noConversion"/>
  </si>
  <si>
    <t>7大街与安顺路交会处东北角</t>
    <phoneticPr fontId="3" type="noConversion"/>
  </si>
  <si>
    <t>永威梅隆樾一号院</t>
    <phoneticPr fontId="225" type="noConversion"/>
  </si>
  <si>
    <t>永威梅隆郡：高层107-206，毛坯7100左右，品质好</t>
    <phoneticPr fontId="225" type="noConversion"/>
  </si>
  <si>
    <t>小高层</t>
    <phoneticPr fontId="21" type="noConversion"/>
  </si>
  <si>
    <t>高档</t>
  </si>
  <si>
    <t>高档</t>
    <phoneticPr fontId="21" type="noConversion"/>
  </si>
  <si>
    <t>中档</t>
  </si>
  <si>
    <t>中档</t>
    <phoneticPr fontId="21" type="noConversion"/>
  </si>
  <si>
    <t>低档</t>
    <phoneticPr fontId="21" type="noConversion"/>
  </si>
  <si>
    <t>永威梅隆郡</t>
    <phoneticPr fontId="3" type="noConversion"/>
  </si>
  <si>
    <t>开封市 职教路与四大街交叉口</t>
    <phoneticPr fontId="3" type="noConversion"/>
  </si>
  <si>
    <t>永威梅隆郡</t>
    <phoneticPr fontId="225" type="noConversion"/>
  </si>
  <si>
    <t>楼盘</t>
    <phoneticPr fontId="225" type="noConversion"/>
  </si>
  <si>
    <t>26-2号地块</t>
  </si>
  <si>
    <t>26-2号地块</t>
    <phoneticPr fontId="225" type="noConversion"/>
  </si>
  <si>
    <t>30-3号地块</t>
  </si>
  <si>
    <t>30-3号地块</t>
    <phoneticPr fontId="225" type="noConversion"/>
  </si>
  <si>
    <t>小高层</t>
    <phoneticPr fontId="3" type="noConversion"/>
  </si>
  <si>
    <t>郑州</t>
    <phoneticPr fontId="3" type="noConversion"/>
  </si>
  <si>
    <t>利息：取LPR加浮动点数</t>
  </si>
  <si>
    <t>开封市龙亭区二十二大街东侧、规划四路北侧YLXB03-03（2号）地块一宗商服用地、城镇住宅用地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</si>
</sst>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
      <sz val="11"/>
      <color theme="1"/>
      <name val="Arial"/>
      <family val="3"/>
      <charset val="134"/>
    </font>
    <font>
      <b/>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
      <patternFill patternType="solid">
        <fgColor rgb="FF57EF57"/>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282" fillId="0" borderId="0" applyNumberFormat="0" applyFill="0" applyBorder="0" applyAlignment="0" applyProtection="0">
      <alignment vertical="center"/>
    </xf>
  </cellStyleXfs>
  <cellXfs count="35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2" fillId="0" borderId="0" xfId="0" applyFont="1" applyAlignment="1">
      <alignment horizontal="left" vertical="center"/>
    </xf>
    <xf numFmtId="58" fontId="142" fillId="0" borderId="0" xfId="0" applyNumberFormat="1" applyFont="1" applyAlignment="1">
      <alignment horizontal="left" vertical="center"/>
    </xf>
    <xf numFmtId="0" fontId="78" fillId="12" borderId="0" xfId="0" applyFont="1" applyFill="1" applyProtection="1">
      <alignment vertical="center"/>
      <protection locked="0"/>
    </xf>
    <xf numFmtId="0" fontId="281" fillId="0" borderId="0" xfId="16" applyFont="1" applyAlignment="1">
      <alignment horizontal="left" vertical="center"/>
    </xf>
    <xf numFmtId="14" fontId="161" fillId="0" borderId="0" xfId="16" applyNumberFormat="1" applyFont="1" applyAlignment="1">
      <alignment horizontal="left" vertical="center"/>
    </xf>
    <xf numFmtId="0" fontId="281" fillId="21" borderId="0" xfId="16" applyFont="1" applyFill="1" applyAlignment="1">
      <alignment horizontal="left" vertical="center"/>
    </xf>
    <xf numFmtId="14" fontId="161" fillId="21" borderId="0" xfId="16" applyNumberFormat="1" applyFont="1" applyFill="1" applyAlignment="1">
      <alignment horizontal="left" vertical="center"/>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81" fillId="6" borderId="0" xfId="16" applyFont="1" applyFill="1" applyAlignment="1">
      <alignment horizontal="left" vertical="center"/>
    </xf>
    <xf numFmtId="14" fontId="161" fillId="6" borderId="0" xfId="16" applyNumberFormat="1" applyFont="1" applyFill="1" applyAlignment="1">
      <alignment horizontal="left" vertical="center"/>
    </xf>
    <xf numFmtId="0" fontId="281" fillId="9" borderId="0" xfId="16" applyFont="1" applyFill="1" applyAlignment="1">
      <alignment horizontal="left" vertical="center"/>
    </xf>
    <xf numFmtId="14" fontId="161" fillId="9" borderId="0" xfId="16" applyNumberFormat="1" applyFont="1" applyFill="1" applyAlignment="1">
      <alignment horizontal="left" vertical="center"/>
    </xf>
    <xf numFmtId="0" fontId="282" fillId="0" borderId="0" xfId="17" applyAlignment="1">
      <alignment horizontal="left" vertical="center"/>
    </xf>
    <xf numFmtId="0" fontId="78" fillId="0" borderId="59" xfId="0" applyFont="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259" fillId="0" borderId="105" xfId="0" applyFont="1" applyBorder="1" applyAlignment="1" applyProtection="1">
      <alignment horizontal="center" vertical="center" wrapText="1"/>
      <protection locked="0"/>
    </xf>
    <xf numFmtId="0" fontId="259" fillId="0" borderId="31" xfId="0" applyFont="1" applyBorder="1" applyAlignment="1" applyProtection="1">
      <alignment horizontal="center" vertical="center" wrapText="1"/>
      <protection locked="0"/>
    </xf>
    <xf numFmtId="2" fontId="11" fillId="0" borderId="2" xfId="0" applyNumberFormat="1" applyFont="1" applyBorder="1" applyAlignment="1" applyProtection="1">
      <alignment horizontal="center" vertical="center" wrapText="1"/>
      <protection locked="0"/>
    </xf>
    <xf numFmtId="0" fontId="281" fillId="22" borderId="0" xfId="16" applyFont="1" applyFill="1" applyAlignment="1">
      <alignment horizontal="left" vertical="center"/>
    </xf>
    <xf numFmtId="0" fontId="167" fillId="0" borderId="0" xfId="16" applyFont="1" applyAlignment="1">
      <alignment horizontal="left" vertical="center"/>
    </xf>
    <xf numFmtId="14" fontId="167" fillId="0" borderId="0" xfId="16" applyNumberFormat="1" applyFont="1" applyAlignment="1">
      <alignment horizontal="left" vertical="center"/>
    </xf>
    <xf numFmtId="10" fontId="68" fillId="23" borderId="2" xfId="0" applyNumberFormat="1" applyFont="1" applyFill="1" applyBorder="1" applyAlignment="1" applyProtection="1">
      <alignment horizontal="center" vertical="center"/>
      <protection locked="0"/>
    </xf>
    <xf numFmtId="182" fontId="73" fillId="23" borderId="12" xfId="0" applyNumberFormat="1" applyFont="1" applyFill="1" applyBorder="1" applyAlignment="1" applyProtection="1">
      <alignment horizontal="center" vertical="center"/>
      <protection locked="0"/>
    </xf>
    <xf numFmtId="178" fontId="73" fillId="7" borderId="2" xfId="2"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182" fontId="68" fillId="7" borderId="2" xfId="0" applyNumberFormat="1" applyFont="1" applyFill="1" applyBorder="1" applyProtection="1">
      <alignment vertical="center"/>
      <protection locked="0"/>
    </xf>
    <xf numFmtId="9" fontId="73" fillId="7" borderId="5" xfId="0" applyNumberFormat="1" applyFont="1" applyFill="1" applyBorder="1" applyAlignment="1" applyProtection="1">
      <alignment horizontal="center" vertical="center"/>
      <protection locked="0"/>
    </xf>
    <xf numFmtId="0" fontId="17" fillId="7" borderId="22" xfId="0" applyFont="1" applyFill="1" applyBorder="1" applyAlignment="1" applyProtection="1">
      <alignment vertical="center" wrapText="1"/>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42" fillId="0" borderId="0" xfId="0" applyFont="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68" fillId="23" borderId="10" xfId="0" applyFont="1" applyFill="1" applyBorder="1" applyAlignment="1" applyProtection="1">
      <alignment horizontal="center" vertical="center"/>
      <protection locked="0"/>
    </xf>
    <xf numFmtId="0" fontId="68" fillId="23" borderId="3" xfId="0" applyFont="1" applyFill="1" applyBorder="1" applyAlignment="1" applyProtection="1">
      <alignment horizontal="center" vertical="center"/>
      <protection locked="0"/>
    </xf>
    <xf numFmtId="0" fontId="68" fillId="23" borderId="21" xfId="0" applyFont="1" applyFill="1" applyBorder="1" applyAlignment="1" applyProtection="1">
      <alignment horizontal="center" vertical="center"/>
      <protection locked="0"/>
    </xf>
    <xf numFmtId="0" fontId="68" fillId="23" borderId="2" xfId="0" applyFont="1" applyFill="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56" fillId="0" borderId="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34" Type="http://schemas.openxmlformats.org/officeDocument/2006/relationships/image" Target="../media/image41.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12</xdr:col>
      <xdr:colOff>674787</xdr:colOff>
      <xdr:row>39</xdr:row>
      <xdr:rowOff>104183</xdr:rowOff>
    </xdr:to>
    <xdr:pic>
      <xdr:nvPicPr>
        <xdr:cNvPr id="2" name="图片 1">
          <a:extLst>
            <a:ext uri="{FF2B5EF4-FFF2-40B4-BE49-F238E27FC236}">
              <a16:creationId xmlns:a16="http://schemas.microsoft.com/office/drawing/2014/main" xmlns="" id="{8C805354-A71A-E3C2-5919-3FBAEBD977EE}"/>
            </a:ext>
          </a:extLst>
        </xdr:cNvPr>
        <xdr:cNvPicPr>
          <a:picLocks noChangeAspect="1"/>
        </xdr:cNvPicPr>
      </xdr:nvPicPr>
      <xdr:blipFill>
        <a:blip xmlns:r="http://schemas.openxmlformats.org/officeDocument/2006/relationships" r:embed="rId1"/>
        <a:stretch>
          <a:fillRect/>
        </a:stretch>
      </xdr:blipFill>
      <xdr:spPr>
        <a:xfrm>
          <a:off x="0" y="2057400"/>
          <a:ext cx="11904762" cy="4733333"/>
        </a:xfrm>
        <a:prstGeom prst="rect">
          <a:avLst/>
        </a:prstGeom>
      </xdr:spPr>
    </xdr:pic>
    <xdr:clientData/>
  </xdr:twoCellAnchor>
  <xdr:twoCellAnchor editAs="oneCell">
    <xdr:from>
      <xdr:col>0</xdr:col>
      <xdr:colOff>0</xdr:colOff>
      <xdr:row>40</xdr:row>
      <xdr:rowOff>0</xdr:rowOff>
    </xdr:from>
    <xdr:to>
      <xdr:col>13</xdr:col>
      <xdr:colOff>284182</xdr:colOff>
      <xdr:row>73</xdr:row>
      <xdr:rowOff>37388</xdr:rowOff>
    </xdr:to>
    <xdr:pic>
      <xdr:nvPicPr>
        <xdr:cNvPr id="3" name="图片 2">
          <a:extLst>
            <a:ext uri="{FF2B5EF4-FFF2-40B4-BE49-F238E27FC236}">
              <a16:creationId xmlns:a16="http://schemas.microsoft.com/office/drawing/2014/main" xmlns="" id="{C5A148DB-5961-6D23-2E6D-08B96FAF41D9}"/>
            </a:ext>
          </a:extLst>
        </xdr:cNvPr>
        <xdr:cNvPicPr>
          <a:picLocks noChangeAspect="1"/>
        </xdr:cNvPicPr>
      </xdr:nvPicPr>
      <xdr:blipFill>
        <a:blip xmlns:r="http://schemas.openxmlformats.org/officeDocument/2006/relationships" r:embed="rId2"/>
        <a:stretch>
          <a:fillRect/>
        </a:stretch>
      </xdr:blipFill>
      <xdr:spPr>
        <a:xfrm>
          <a:off x="0" y="6858000"/>
          <a:ext cx="12542857" cy="5695238"/>
        </a:xfrm>
        <a:prstGeom prst="rect">
          <a:avLst/>
        </a:prstGeom>
      </xdr:spPr>
    </xdr:pic>
    <xdr:clientData/>
  </xdr:twoCellAnchor>
  <xdr:twoCellAnchor editAs="oneCell">
    <xdr:from>
      <xdr:col>0</xdr:col>
      <xdr:colOff>0</xdr:colOff>
      <xdr:row>73</xdr:row>
      <xdr:rowOff>0</xdr:rowOff>
    </xdr:from>
    <xdr:to>
      <xdr:col>13</xdr:col>
      <xdr:colOff>284182</xdr:colOff>
      <xdr:row>108</xdr:row>
      <xdr:rowOff>170679</xdr:rowOff>
    </xdr:to>
    <xdr:pic>
      <xdr:nvPicPr>
        <xdr:cNvPr id="4" name="图片 3">
          <a:extLst>
            <a:ext uri="{FF2B5EF4-FFF2-40B4-BE49-F238E27FC236}">
              <a16:creationId xmlns:a16="http://schemas.microsoft.com/office/drawing/2014/main" xmlns="" id="{3015959A-7034-FF6F-B9B6-5336B995F439}"/>
            </a:ext>
          </a:extLst>
        </xdr:cNvPr>
        <xdr:cNvPicPr>
          <a:picLocks noChangeAspect="1"/>
        </xdr:cNvPicPr>
      </xdr:nvPicPr>
      <xdr:blipFill>
        <a:blip xmlns:r="http://schemas.openxmlformats.org/officeDocument/2006/relationships" r:embed="rId3"/>
        <a:stretch>
          <a:fillRect/>
        </a:stretch>
      </xdr:blipFill>
      <xdr:spPr>
        <a:xfrm>
          <a:off x="0" y="12515850"/>
          <a:ext cx="12542857" cy="6171429"/>
        </a:xfrm>
        <a:prstGeom prst="rect">
          <a:avLst/>
        </a:prstGeom>
      </xdr:spPr>
    </xdr:pic>
    <xdr:clientData/>
  </xdr:twoCellAnchor>
  <xdr:twoCellAnchor editAs="oneCell">
    <xdr:from>
      <xdr:col>0</xdr:col>
      <xdr:colOff>0</xdr:colOff>
      <xdr:row>112</xdr:row>
      <xdr:rowOff>0</xdr:rowOff>
    </xdr:from>
    <xdr:to>
      <xdr:col>11</xdr:col>
      <xdr:colOff>636777</xdr:colOff>
      <xdr:row>146</xdr:row>
      <xdr:rowOff>56414</xdr:rowOff>
    </xdr:to>
    <xdr:pic>
      <xdr:nvPicPr>
        <xdr:cNvPr id="5" name="图片 4">
          <a:extLst>
            <a:ext uri="{FF2B5EF4-FFF2-40B4-BE49-F238E27FC236}">
              <a16:creationId xmlns:a16="http://schemas.microsoft.com/office/drawing/2014/main" xmlns="" id="{B2381D33-7370-62BF-4830-946A2BFD9AB0}"/>
            </a:ext>
          </a:extLst>
        </xdr:cNvPr>
        <xdr:cNvPicPr>
          <a:picLocks noChangeAspect="1"/>
        </xdr:cNvPicPr>
      </xdr:nvPicPr>
      <xdr:blipFill>
        <a:blip xmlns:r="http://schemas.openxmlformats.org/officeDocument/2006/relationships" r:embed="rId4"/>
        <a:stretch>
          <a:fillRect/>
        </a:stretch>
      </xdr:blipFill>
      <xdr:spPr>
        <a:xfrm>
          <a:off x="0" y="19202400"/>
          <a:ext cx="11180952" cy="5885714"/>
        </a:xfrm>
        <a:prstGeom prst="rect">
          <a:avLst/>
        </a:prstGeom>
      </xdr:spPr>
    </xdr:pic>
    <xdr:clientData/>
  </xdr:twoCellAnchor>
  <xdr:twoCellAnchor editAs="oneCell">
    <xdr:from>
      <xdr:col>0</xdr:col>
      <xdr:colOff>0</xdr:colOff>
      <xdr:row>147</xdr:row>
      <xdr:rowOff>0</xdr:rowOff>
    </xdr:from>
    <xdr:to>
      <xdr:col>12</xdr:col>
      <xdr:colOff>265263</xdr:colOff>
      <xdr:row>182</xdr:row>
      <xdr:rowOff>132583</xdr:rowOff>
    </xdr:to>
    <xdr:pic>
      <xdr:nvPicPr>
        <xdr:cNvPr id="6" name="图片 5">
          <a:extLst>
            <a:ext uri="{FF2B5EF4-FFF2-40B4-BE49-F238E27FC236}">
              <a16:creationId xmlns:a16="http://schemas.microsoft.com/office/drawing/2014/main" xmlns="" id="{EB46E624-BF31-A333-D4B0-E0E611FB9A59}"/>
            </a:ext>
          </a:extLst>
        </xdr:cNvPr>
        <xdr:cNvPicPr>
          <a:picLocks noChangeAspect="1"/>
        </xdr:cNvPicPr>
      </xdr:nvPicPr>
      <xdr:blipFill>
        <a:blip xmlns:r="http://schemas.openxmlformats.org/officeDocument/2006/relationships" r:embed="rId5"/>
        <a:stretch>
          <a:fillRect/>
        </a:stretch>
      </xdr:blipFill>
      <xdr:spPr>
        <a:xfrm>
          <a:off x="0" y="25203150"/>
          <a:ext cx="11495238" cy="6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137</xdr:row>
      <xdr:rowOff>0</xdr:rowOff>
    </xdr:from>
    <xdr:to>
      <xdr:col>21</xdr:col>
      <xdr:colOff>417684</xdr:colOff>
      <xdr:row>165</xdr:row>
      <xdr:rowOff>151848</xdr:rowOff>
    </xdr:to>
    <xdr:pic>
      <xdr:nvPicPr>
        <xdr:cNvPr id="2" name="图片 1">
          <a:extLst>
            <a:ext uri="{FF2B5EF4-FFF2-40B4-BE49-F238E27FC236}">
              <a16:creationId xmlns:a16="http://schemas.microsoft.com/office/drawing/2014/main" xmlns="" id="{E943FFDE-8274-3818-6DAA-BE9F29A017C2}"/>
            </a:ext>
          </a:extLst>
        </xdr:cNvPr>
        <xdr:cNvPicPr>
          <a:picLocks noChangeAspect="1"/>
        </xdr:cNvPicPr>
      </xdr:nvPicPr>
      <xdr:blipFill>
        <a:blip xmlns:r="http://schemas.openxmlformats.org/officeDocument/2006/relationships" r:embed="rId1"/>
        <a:stretch>
          <a:fillRect/>
        </a:stretch>
      </xdr:blipFill>
      <xdr:spPr>
        <a:xfrm>
          <a:off x="0" y="20878800"/>
          <a:ext cx="11323809" cy="4419048"/>
        </a:xfrm>
        <a:prstGeom prst="rect">
          <a:avLst/>
        </a:prstGeom>
      </xdr:spPr>
    </xdr:pic>
    <xdr:clientData/>
  </xdr:twoCellAnchor>
  <xdr:twoCellAnchor editAs="oneCell">
    <xdr:from>
      <xdr:col>0</xdr:col>
      <xdr:colOff>0</xdr:colOff>
      <xdr:row>166</xdr:row>
      <xdr:rowOff>0</xdr:rowOff>
    </xdr:from>
    <xdr:to>
      <xdr:col>21</xdr:col>
      <xdr:colOff>284351</xdr:colOff>
      <xdr:row>196</xdr:row>
      <xdr:rowOff>142286</xdr:rowOff>
    </xdr:to>
    <xdr:pic>
      <xdr:nvPicPr>
        <xdr:cNvPr id="3" name="图片 2">
          <a:extLst>
            <a:ext uri="{FF2B5EF4-FFF2-40B4-BE49-F238E27FC236}">
              <a16:creationId xmlns:a16="http://schemas.microsoft.com/office/drawing/2014/main" xmlns="" id="{2630A55F-667F-AFE3-919A-85624FF82704}"/>
            </a:ext>
          </a:extLst>
        </xdr:cNvPr>
        <xdr:cNvPicPr>
          <a:picLocks noChangeAspect="1"/>
        </xdr:cNvPicPr>
      </xdr:nvPicPr>
      <xdr:blipFill>
        <a:blip xmlns:r="http://schemas.openxmlformats.org/officeDocument/2006/relationships" r:embed="rId2"/>
        <a:stretch>
          <a:fillRect/>
        </a:stretch>
      </xdr:blipFill>
      <xdr:spPr>
        <a:xfrm>
          <a:off x="0" y="25298400"/>
          <a:ext cx="11190476" cy="4714286"/>
        </a:xfrm>
        <a:prstGeom prst="rect">
          <a:avLst/>
        </a:prstGeom>
      </xdr:spPr>
    </xdr:pic>
    <xdr:clientData/>
  </xdr:twoCellAnchor>
  <xdr:twoCellAnchor editAs="oneCell">
    <xdr:from>
      <xdr:col>0</xdr:col>
      <xdr:colOff>0</xdr:colOff>
      <xdr:row>197</xdr:row>
      <xdr:rowOff>0</xdr:rowOff>
    </xdr:from>
    <xdr:to>
      <xdr:col>21</xdr:col>
      <xdr:colOff>189113</xdr:colOff>
      <xdr:row>222</xdr:row>
      <xdr:rowOff>66190</xdr:rowOff>
    </xdr:to>
    <xdr:pic>
      <xdr:nvPicPr>
        <xdr:cNvPr id="4" name="图片 3">
          <a:extLst>
            <a:ext uri="{FF2B5EF4-FFF2-40B4-BE49-F238E27FC236}">
              <a16:creationId xmlns:a16="http://schemas.microsoft.com/office/drawing/2014/main" xmlns="" id="{D10E924A-F770-334D-A221-435F943F234F}"/>
            </a:ext>
          </a:extLst>
        </xdr:cNvPr>
        <xdr:cNvPicPr>
          <a:picLocks noChangeAspect="1"/>
        </xdr:cNvPicPr>
      </xdr:nvPicPr>
      <xdr:blipFill>
        <a:blip xmlns:r="http://schemas.openxmlformats.org/officeDocument/2006/relationships" r:embed="rId3"/>
        <a:stretch>
          <a:fillRect/>
        </a:stretch>
      </xdr:blipFill>
      <xdr:spPr>
        <a:xfrm>
          <a:off x="0" y="30022800"/>
          <a:ext cx="11095238" cy="3876190"/>
        </a:xfrm>
        <a:prstGeom prst="rect">
          <a:avLst/>
        </a:prstGeom>
      </xdr:spPr>
    </xdr:pic>
    <xdr:clientData/>
  </xdr:twoCellAnchor>
  <xdr:twoCellAnchor editAs="oneCell">
    <xdr:from>
      <xdr:col>0</xdr:col>
      <xdr:colOff>0</xdr:colOff>
      <xdr:row>223</xdr:row>
      <xdr:rowOff>0</xdr:rowOff>
    </xdr:from>
    <xdr:to>
      <xdr:col>21</xdr:col>
      <xdr:colOff>293875</xdr:colOff>
      <xdr:row>248</xdr:row>
      <xdr:rowOff>104286</xdr:rowOff>
    </xdr:to>
    <xdr:pic>
      <xdr:nvPicPr>
        <xdr:cNvPr id="5" name="图片 4">
          <a:extLst>
            <a:ext uri="{FF2B5EF4-FFF2-40B4-BE49-F238E27FC236}">
              <a16:creationId xmlns:a16="http://schemas.microsoft.com/office/drawing/2014/main" xmlns="" id="{17B54660-A844-905F-F586-EF7F99CF453C}"/>
            </a:ext>
          </a:extLst>
        </xdr:cNvPr>
        <xdr:cNvPicPr>
          <a:picLocks noChangeAspect="1"/>
        </xdr:cNvPicPr>
      </xdr:nvPicPr>
      <xdr:blipFill>
        <a:blip xmlns:r="http://schemas.openxmlformats.org/officeDocument/2006/relationships" r:embed="rId4"/>
        <a:stretch>
          <a:fillRect/>
        </a:stretch>
      </xdr:blipFill>
      <xdr:spPr>
        <a:xfrm>
          <a:off x="0" y="33985200"/>
          <a:ext cx="11200000" cy="3914286"/>
        </a:xfrm>
        <a:prstGeom prst="rect">
          <a:avLst/>
        </a:prstGeom>
      </xdr:spPr>
    </xdr:pic>
    <xdr:clientData/>
  </xdr:twoCellAnchor>
  <xdr:twoCellAnchor editAs="oneCell">
    <xdr:from>
      <xdr:col>0</xdr:col>
      <xdr:colOff>0</xdr:colOff>
      <xdr:row>249</xdr:row>
      <xdr:rowOff>0</xdr:rowOff>
    </xdr:from>
    <xdr:to>
      <xdr:col>21</xdr:col>
      <xdr:colOff>208161</xdr:colOff>
      <xdr:row>270</xdr:row>
      <xdr:rowOff>37695</xdr:rowOff>
    </xdr:to>
    <xdr:pic>
      <xdr:nvPicPr>
        <xdr:cNvPr id="6" name="图片 5">
          <a:extLst>
            <a:ext uri="{FF2B5EF4-FFF2-40B4-BE49-F238E27FC236}">
              <a16:creationId xmlns:a16="http://schemas.microsoft.com/office/drawing/2014/main" xmlns="" id="{4A7B966F-E72F-65DB-8A45-3A08CD1213AE}"/>
            </a:ext>
          </a:extLst>
        </xdr:cNvPr>
        <xdr:cNvPicPr>
          <a:picLocks noChangeAspect="1"/>
        </xdr:cNvPicPr>
      </xdr:nvPicPr>
      <xdr:blipFill>
        <a:blip xmlns:r="http://schemas.openxmlformats.org/officeDocument/2006/relationships" r:embed="rId5"/>
        <a:stretch>
          <a:fillRect/>
        </a:stretch>
      </xdr:blipFill>
      <xdr:spPr>
        <a:xfrm>
          <a:off x="0" y="37947600"/>
          <a:ext cx="11114286" cy="3238095"/>
        </a:xfrm>
        <a:prstGeom prst="rect">
          <a:avLst/>
        </a:prstGeom>
      </xdr:spPr>
    </xdr:pic>
    <xdr:clientData/>
  </xdr:twoCellAnchor>
  <xdr:twoCellAnchor editAs="oneCell">
    <xdr:from>
      <xdr:col>0</xdr:col>
      <xdr:colOff>0</xdr:colOff>
      <xdr:row>270</xdr:row>
      <xdr:rowOff>0</xdr:rowOff>
    </xdr:from>
    <xdr:to>
      <xdr:col>21</xdr:col>
      <xdr:colOff>303399</xdr:colOff>
      <xdr:row>289</xdr:row>
      <xdr:rowOff>37733</xdr:rowOff>
    </xdr:to>
    <xdr:pic>
      <xdr:nvPicPr>
        <xdr:cNvPr id="7" name="图片 6">
          <a:extLst>
            <a:ext uri="{FF2B5EF4-FFF2-40B4-BE49-F238E27FC236}">
              <a16:creationId xmlns:a16="http://schemas.microsoft.com/office/drawing/2014/main" xmlns="" id="{1649F174-895C-56B1-3DDA-F644AC33E71F}"/>
            </a:ext>
          </a:extLst>
        </xdr:cNvPr>
        <xdr:cNvPicPr>
          <a:picLocks noChangeAspect="1"/>
        </xdr:cNvPicPr>
      </xdr:nvPicPr>
      <xdr:blipFill>
        <a:blip xmlns:r="http://schemas.openxmlformats.org/officeDocument/2006/relationships" r:embed="rId6"/>
        <a:stretch>
          <a:fillRect/>
        </a:stretch>
      </xdr:blipFill>
      <xdr:spPr>
        <a:xfrm>
          <a:off x="0" y="41148000"/>
          <a:ext cx="11209524" cy="2933333"/>
        </a:xfrm>
        <a:prstGeom prst="rect">
          <a:avLst/>
        </a:prstGeom>
      </xdr:spPr>
    </xdr:pic>
    <xdr:clientData/>
  </xdr:twoCellAnchor>
  <xdr:twoCellAnchor editAs="oneCell">
    <xdr:from>
      <xdr:col>0</xdr:col>
      <xdr:colOff>0</xdr:colOff>
      <xdr:row>289</xdr:row>
      <xdr:rowOff>0</xdr:rowOff>
    </xdr:from>
    <xdr:to>
      <xdr:col>21</xdr:col>
      <xdr:colOff>189113</xdr:colOff>
      <xdr:row>321</xdr:row>
      <xdr:rowOff>104152</xdr:rowOff>
    </xdr:to>
    <xdr:pic>
      <xdr:nvPicPr>
        <xdr:cNvPr id="8" name="图片 7">
          <a:extLst>
            <a:ext uri="{FF2B5EF4-FFF2-40B4-BE49-F238E27FC236}">
              <a16:creationId xmlns:a16="http://schemas.microsoft.com/office/drawing/2014/main" xmlns="" id="{FE2A9F4E-D303-63A9-6630-DACB24B7BD02}"/>
            </a:ext>
          </a:extLst>
        </xdr:cNvPr>
        <xdr:cNvPicPr>
          <a:picLocks noChangeAspect="1"/>
        </xdr:cNvPicPr>
      </xdr:nvPicPr>
      <xdr:blipFill>
        <a:blip xmlns:r="http://schemas.openxmlformats.org/officeDocument/2006/relationships" r:embed="rId7"/>
        <a:stretch>
          <a:fillRect/>
        </a:stretch>
      </xdr:blipFill>
      <xdr:spPr>
        <a:xfrm>
          <a:off x="0" y="44043600"/>
          <a:ext cx="11095238" cy="4980952"/>
        </a:xfrm>
        <a:prstGeom prst="rect">
          <a:avLst/>
        </a:prstGeom>
      </xdr:spPr>
    </xdr:pic>
    <xdr:clientData/>
  </xdr:twoCellAnchor>
  <xdr:twoCellAnchor editAs="oneCell">
    <xdr:from>
      <xdr:col>0</xdr:col>
      <xdr:colOff>0</xdr:colOff>
      <xdr:row>324</xdr:row>
      <xdr:rowOff>0</xdr:rowOff>
    </xdr:from>
    <xdr:to>
      <xdr:col>21</xdr:col>
      <xdr:colOff>398637</xdr:colOff>
      <xdr:row>350</xdr:row>
      <xdr:rowOff>85219</xdr:rowOff>
    </xdr:to>
    <xdr:pic>
      <xdr:nvPicPr>
        <xdr:cNvPr id="9" name="图片 8">
          <a:extLst>
            <a:ext uri="{FF2B5EF4-FFF2-40B4-BE49-F238E27FC236}">
              <a16:creationId xmlns:a16="http://schemas.microsoft.com/office/drawing/2014/main" xmlns="" id="{F7EAC191-EE83-394D-163C-816B1E4BA573}"/>
            </a:ext>
          </a:extLst>
        </xdr:cNvPr>
        <xdr:cNvPicPr>
          <a:picLocks noChangeAspect="1"/>
        </xdr:cNvPicPr>
      </xdr:nvPicPr>
      <xdr:blipFill>
        <a:blip xmlns:r="http://schemas.openxmlformats.org/officeDocument/2006/relationships" r:embed="rId8"/>
        <a:stretch>
          <a:fillRect/>
        </a:stretch>
      </xdr:blipFill>
      <xdr:spPr>
        <a:xfrm>
          <a:off x="0" y="49377600"/>
          <a:ext cx="11304762" cy="4047619"/>
        </a:xfrm>
        <a:prstGeom prst="rect">
          <a:avLst/>
        </a:prstGeom>
      </xdr:spPr>
    </xdr:pic>
    <xdr:clientData/>
  </xdr:twoCellAnchor>
  <xdr:twoCellAnchor editAs="oneCell">
    <xdr:from>
      <xdr:col>0</xdr:col>
      <xdr:colOff>0</xdr:colOff>
      <xdr:row>350</xdr:row>
      <xdr:rowOff>0</xdr:rowOff>
    </xdr:from>
    <xdr:to>
      <xdr:col>21</xdr:col>
      <xdr:colOff>293875</xdr:colOff>
      <xdr:row>381</xdr:row>
      <xdr:rowOff>47029</xdr:rowOff>
    </xdr:to>
    <xdr:pic>
      <xdr:nvPicPr>
        <xdr:cNvPr id="10" name="图片 9">
          <a:extLst>
            <a:ext uri="{FF2B5EF4-FFF2-40B4-BE49-F238E27FC236}">
              <a16:creationId xmlns:a16="http://schemas.microsoft.com/office/drawing/2014/main" xmlns="" id="{BE60AFDE-4C90-468D-5B0E-5073F2A206AC}"/>
            </a:ext>
          </a:extLst>
        </xdr:cNvPr>
        <xdr:cNvPicPr>
          <a:picLocks noChangeAspect="1"/>
        </xdr:cNvPicPr>
      </xdr:nvPicPr>
      <xdr:blipFill>
        <a:blip xmlns:r="http://schemas.openxmlformats.org/officeDocument/2006/relationships" r:embed="rId9"/>
        <a:stretch>
          <a:fillRect/>
        </a:stretch>
      </xdr:blipFill>
      <xdr:spPr>
        <a:xfrm>
          <a:off x="0" y="53340000"/>
          <a:ext cx="11200000" cy="4771429"/>
        </a:xfrm>
        <a:prstGeom prst="rect">
          <a:avLst/>
        </a:prstGeom>
      </xdr:spPr>
    </xdr:pic>
    <xdr:clientData/>
  </xdr:twoCellAnchor>
  <xdr:twoCellAnchor editAs="oneCell">
    <xdr:from>
      <xdr:col>0</xdr:col>
      <xdr:colOff>0</xdr:colOff>
      <xdr:row>381</xdr:row>
      <xdr:rowOff>0</xdr:rowOff>
    </xdr:from>
    <xdr:to>
      <xdr:col>21</xdr:col>
      <xdr:colOff>217684</xdr:colOff>
      <xdr:row>404</xdr:row>
      <xdr:rowOff>123371</xdr:rowOff>
    </xdr:to>
    <xdr:pic>
      <xdr:nvPicPr>
        <xdr:cNvPr id="11" name="图片 10">
          <a:extLst>
            <a:ext uri="{FF2B5EF4-FFF2-40B4-BE49-F238E27FC236}">
              <a16:creationId xmlns:a16="http://schemas.microsoft.com/office/drawing/2014/main" xmlns="" id="{49089D5E-B8B9-78BF-2140-331D1316D158}"/>
            </a:ext>
          </a:extLst>
        </xdr:cNvPr>
        <xdr:cNvPicPr>
          <a:picLocks noChangeAspect="1"/>
        </xdr:cNvPicPr>
      </xdr:nvPicPr>
      <xdr:blipFill>
        <a:blip xmlns:r="http://schemas.openxmlformats.org/officeDocument/2006/relationships" r:embed="rId10"/>
        <a:stretch>
          <a:fillRect/>
        </a:stretch>
      </xdr:blipFill>
      <xdr:spPr>
        <a:xfrm>
          <a:off x="0" y="58064400"/>
          <a:ext cx="11123809" cy="3628571"/>
        </a:xfrm>
        <a:prstGeom prst="rect">
          <a:avLst/>
        </a:prstGeom>
      </xdr:spPr>
    </xdr:pic>
    <xdr:clientData/>
  </xdr:twoCellAnchor>
  <xdr:twoCellAnchor editAs="oneCell">
    <xdr:from>
      <xdr:col>0</xdr:col>
      <xdr:colOff>0</xdr:colOff>
      <xdr:row>405</xdr:row>
      <xdr:rowOff>0</xdr:rowOff>
    </xdr:from>
    <xdr:to>
      <xdr:col>21</xdr:col>
      <xdr:colOff>179589</xdr:colOff>
      <xdr:row>430</xdr:row>
      <xdr:rowOff>56667</xdr:rowOff>
    </xdr:to>
    <xdr:pic>
      <xdr:nvPicPr>
        <xdr:cNvPr id="12" name="图片 11">
          <a:extLst>
            <a:ext uri="{FF2B5EF4-FFF2-40B4-BE49-F238E27FC236}">
              <a16:creationId xmlns:a16="http://schemas.microsoft.com/office/drawing/2014/main" xmlns="" id="{10DE11E5-FA4A-4D25-C794-827B036E4E80}"/>
            </a:ext>
          </a:extLst>
        </xdr:cNvPr>
        <xdr:cNvPicPr>
          <a:picLocks noChangeAspect="1"/>
        </xdr:cNvPicPr>
      </xdr:nvPicPr>
      <xdr:blipFill>
        <a:blip xmlns:r="http://schemas.openxmlformats.org/officeDocument/2006/relationships" r:embed="rId11"/>
        <a:stretch>
          <a:fillRect/>
        </a:stretch>
      </xdr:blipFill>
      <xdr:spPr>
        <a:xfrm>
          <a:off x="0" y="61722000"/>
          <a:ext cx="11085714" cy="3866667"/>
        </a:xfrm>
        <a:prstGeom prst="rect">
          <a:avLst/>
        </a:prstGeom>
      </xdr:spPr>
    </xdr:pic>
    <xdr:clientData/>
  </xdr:twoCellAnchor>
  <xdr:twoCellAnchor editAs="oneCell">
    <xdr:from>
      <xdr:col>0</xdr:col>
      <xdr:colOff>0</xdr:colOff>
      <xdr:row>430</xdr:row>
      <xdr:rowOff>0</xdr:rowOff>
    </xdr:from>
    <xdr:to>
      <xdr:col>21</xdr:col>
      <xdr:colOff>198637</xdr:colOff>
      <xdr:row>451</xdr:row>
      <xdr:rowOff>94838</xdr:rowOff>
    </xdr:to>
    <xdr:pic>
      <xdr:nvPicPr>
        <xdr:cNvPr id="13" name="图片 12">
          <a:extLst>
            <a:ext uri="{FF2B5EF4-FFF2-40B4-BE49-F238E27FC236}">
              <a16:creationId xmlns:a16="http://schemas.microsoft.com/office/drawing/2014/main" xmlns="" id="{9DAA39A8-BAF7-FDA2-0072-B5FB953E57AC}"/>
            </a:ext>
          </a:extLst>
        </xdr:cNvPr>
        <xdr:cNvPicPr>
          <a:picLocks noChangeAspect="1"/>
        </xdr:cNvPicPr>
      </xdr:nvPicPr>
      <xdr:blipFill>
        <a:blip xmlns:r="http://schemas.openxmlformats.org/officeDocument/2006/relationships" r:embed="rId12"/>
        <a:stretch>
          <a:fillRect/>
        </a:stretch>
      </xdr:blipFill>
      <xdr:spPr>
        <a:xfrm>
          <a:off x="0" y="65532000"/>
          <a:ext cx="11104762" cy="3295238"/>
        </a:xfrm>
        <a:prstGeom prst="rect">
          <a:avLst/>
        </a:prstGeom>
      </xdr:spPr>
    </xdr:pic>
    <xdr:clientData/>
  </xdr:twoCellAnchor>
  <xdr:twoCellAnchor editAs="oneCell">
    <xdr:from>
      <xdr:col>0</xdr:col>
      <xdr:colOff>0</xdr:colOff>
      <xdr:row>452</xdr:row>
      <xdr:rowOff>0</xdr:rowOff>
    </xdr:from>
    <xdr:to>
      <xdr:col>21</xdr:col>
      <xdr:colOff>255780</xdr:colOff>
      <xdr:row>471</xdr:row>
      <xdr:rowOff>94876</xdr:rowOff>
    </xdr:to>
    <xdr:pic>
      <xdr:nvPicPr>
        <xdr:cNvPr id="14" name="图片 13">
          <a:extLst>
            <a:ext uri="{FF2B5EF4-FFF2-40B4-BE49-F238E27FC236}">
              <a16:creationId xmlns:a16="http://schemas.microsoft.com/office/drawing/2014/main" xmlns="" id="{D1EA234D-3ACA-BF5E-E099-754A09C62683}"/>
            </a:ext>
          </a:extLst>
        </xdr:cNvPr>
        <xdr:cNvPicPr>
          <a:picLocks noChangeAspect="1"/>
        </xdr:cNvPicPr>
      </xdr:nvPicPr>
      <xdr:blipFill>
        <a:blip xmlns:r="http://schemas.openxmlformats.org/officeDocument/2006/relationships" r:embed="rId13"/>
        <a:stretch>
          <a:fillRect/>
        </a:stretch>
      </xdr:blipFill>
      <xdr:spPr>
        <a:xfrm>
          <a:off x="0" y="68884800"/>
          <a:ext cx="11161905" cy="2990476"/>
        </a:xfrm>
        <a:prstGeom prst="rect">
          <a:avLst/>
        </a:prstGeom>
      </xdr:spPr>
    </xdr:pic>
    <xdr:clientData/>
  </xdr:twoCellAnchor>
  <xdr:twoCellAnchor editAs="oneCell">
    <xdr:from>
      <xdr:col>0</xdr:col>
      <xdr:colOff>0</xdr:colOff>
      <xdr:row>472</xdr:row>
      <xdr:rowOff>0</xdr:rowOff>
    </xdr:from>
    <xdr:to>
      <xdr:col>21</xdr:col>
      <xdr:colOff>274827</xdr:colOff>
      <xdr:row>505</xdr:row>
      <xdr:rowOff>85086</xdr:rowOff>
    </xdr:to>
    <xdr:pic>
      <xdr:nvPicPr>
        <xdr:cNvPr id="15" name="图片 14">
          <a:extLst>
            <a:ext uri="{FF2B5EF4-FFF2-40B4-BE49-F238E27FC236}">
              <a16:creationId xmlns:a16="http://schemas.microsoft.com/office/drawing/2014/main" xmlns="" id="{23F071CF-371D-9F00-3324-D8427211EFDF}"/>
            </a:ext>
          </a:extLst>
        </xdr:cNvPr>
        <xdr:cNvPicPr>
          <a:picLocks noChangeAspect="1"/>
        </xdr:cNvPicPr>
      </xdr:nvPicPr>
      <xdr:blipFill>
        <a:blip xmlns:r="http://schemas.openxmlformats.org/officeDocument/2006/relationships" r:embed="rId14"/>
        <a:stretch>
          <a:fillRect/>
        </a:stretch>
      </xdr:blipFill>
      <xdr:spPr>
        <a:xfrm>
          <a:off x="0" y="71932800"/>
          <a:ext cx="11180952" cy="5114286"/>
        </a:xfrm>
        <a:prstGeom prst="rect">
          <a:avLst/>
        </a:prstGeom>
      </xdr:spPr>
    </xdr:pic>
    <xdr:clientData/>
  </xdr:twoCellAnchor>
  <xdr:twoCellAnchor editAs="oneCell">
    <xdr:from>
      <xdr:col>0</xdr:col>
      <xdr:colOff>0</xdr:colOff>
      <xdr:row>508</xdr:row>
      <xdr:rowOff>0</xdr:rowOff>
    </xdr:from>
    <xdr:to>
      <xdr:col>21</xdr:col>
      <xdr:colOff>408161</xdr:colOff>
      <xdr:row>536</xdr:row>
      <xdr:rowOff>123276</xdr:rowOff>
    </xdr:to>
    <xdr:pic>
      <xdr:nvPicPr>
        <xdr:cNvPr id="16" name="图片 15">
          <a:extLst>
            <a:ext uri="{FF2B5EF4-FFF2-40B4-BE49-F238E27FC236}">
              <a16:creationId xmlns:a16="http://schemas.microsoft.com/office/drawing/2014/main" xmlns="" id="{FA0637FD-29E3-8D9A-C0A0-3D1980DA8D9E}"/>
            </a:ext>
          </a:extLst>
        </xdr:cNvPr>
        <xdr:cNvPicPr>
          <a:picLocks noChangeAspect="1"/>
        </xdr:cNvPicPr>
      </xdr:nvPicPr>
      <xdr:blipFill>
        <a:blip xmlns:r="http://schemas.openxmlformats.org/officeDocument/2006/relationships" r:embed="rId15"/>
        <a:stretch>
          <a:fillRect/>
        </a:stretch>
      </xdr:blipFill>
      <xdr:spPr>
        <a:xfrm>
          <a:off x="0" y="72999600"/>
          <a:ext cx="11314286" cy="4390476"/>
        </a:xfrm>
        <a:prstGeom prst="rect">
          <a:avLst/>
        </a:prstGeom>
      </xdr:spPr>
    </xdr:pic>
    <xdr:clientData/>
  </xdr:twoCellAnchor>
  <xdr:twoCellAnchor editAs="oneCell">
    <xdr:from>
      <xdr:col>0</xdr:col>
      <xdr:colOff>0</xdr:colOff>
      <xdr:row>537</xdr:row>
      <xdr:rowOff>0</xdr:rowOff>
    </xdr:from>
    <xdr:to>
      <xdr:col>21</xdr:col>
      <xdr:colOff>255780</xdr:colOff>
      <xdr:row>569</xdr:row>
      <xdr:rowOff>132724</xdr:rowOff>
    </xdr:to>
    <xdr:pic>
      <xdr:nvPicPr>
        <xdr:cNvPr id="17" name="图片 16">
          <a:extLst>
            <a:ext uri="{FF2B5EF4-FFF2-40B4-BE49-F238E27FC236}">
              <a16:creationId xmlns:a16="http://schemas.microsoft.com/office/drawing/2014/main" xmlns="" id="{56F1B85D-1694-824C-39A7-1FD985D62797}"/>
            </a:ext>
          </a:extLst>
        </xdr:cNvPr>
        <xdr:cNvPicPr>
          <a:picLocks noChangeAspect="1"/>
        </xdr:cNvPicPr>
      </xdr:nvPicPr>
      <xdr:blipFill>
        <a:blip xmlns:r="http://schemas.openxmlformats.org/officeDocument/2006/relationships" r:embed="rId16"/>
        <a:stretch>
          <a:fillRect/>
        </a:stretch>
      </xdr:blipFill>
      <xdr:spPr>
        <a:xfrm>
          <a:off x="0" y="77419200"/>
          <a:ext cx="11161905" cy="5009524"/>
        </a:xfrm>
        <a:prstGeom prst="rect">
          <a:avLst/>
        </a:prstGeom>
      </xdr:spPr>
    </xdr:pic>
    <xdr:clientData/>
  </xdr:twoCellAnchor>
  <xdr:twoCellAnchor editAs="oneCell">
    <xdr:from>
      <xdr:col>0</xdr:col>
      <xdr:colOff>0</xdr:colOff>
      <xdr:row>570</xdr:row>
      <xdr:rowOff>0</xdr:rowOff>
    </xdr:from>
    <xdr:to>
      <xdr:col>21</xdr:col>
      <xdr:colOff>322446</xdr:colOff>
      <xdr:row>593</xdr:row>
      <xdr:rowOff>94800</xdr:rowOff>
    </xdr:to>
    <xdr:pic>
      <xdr:nvPicPr>
        <xdr:cNvPr id="18" name="图片 17">
          <a:extLst>
            <a:ext uri="{FF2B5EF4-FFF2-40B4-BE49-F238E27FC236}">
              <a16:creationId xmlns:a16="http://schemas.microsoft.com/office/drawing/2014/main" xmlns="" id="{C7474946-54A4-C1E0-99D1-954DFD360538}"/>
            </a:ext>
          </a:extLst>
        </xdr:cNvPr>
        <xdr:cNvPicPr>
          <a:picLocks noChangeAspect="1"/>
        </xdr:cNvPicPr>
      </xdr:nvPicPr>
      <xdr:blipFill>
        <a:blip xmlns:r="http://schemas.openxmlformats.org/officeDocument/2006/relationships" r:embed="rId17"/>
        <a:stretch>
          <a:fillRect/>
        </a:stretch>
      </xdr:blipFill>
      <xdr:spPr>
        <a:xfrm>
          <a:off x="0" y="82448400"/>
          <a:ext cx="11228571" cy="3600000"/>
        </a:xfrm>
        <a:prstGeom prst="rect">
          <a:avLst/>
        </a:prstGeom>
      </xdr:spPr>
    </xdr:pic>
    <xdr:clientData/>
  </xdr:twoCellAnchor>
  <xdr:twoCellAnchor editAs="oneCell">
    <xdr:from>
      <xdr:col>0</xdr:col>
      <xdr:colOff>0</xdr:colOff>
      <xdr:row>594</xdr:row>
      <xdr:rowOff>0</xdr:rowOff>
    </xdr:from>
    <xdr:to>
      <xdr:col>21</xdr:col>
      <xdr:colOff>198637</xdr:colOff>
      <xdr:row>619</xdr:row>
      <xdr:rowOff>104286</xdr:rowOff>
    </xdr:to>
    <xdr:pic>
      <xdr:nvPicPr>
        <xdr:cNvPr id="19" name="图片 18">
          <a:extLst>
            <a:ext uri="{FF2B5EF4-FFF2-40B4-BE49-F238E27FC236}">
              <a16:creationId xmlns:a16="http://schemas.microsoft.com/office/drawing/2014/main" xmlns="" id="{AE2BB036-4808-8B58-2C87-C0292BF85F85}"/>
            </a:ext>
          </a:extLst>
        </xdr:cNvPr>
        <xdr:cNvPicPr>
          <a:picLocks noChangeAspect="1"/>
        </xdr:cNvPicPr>
      </xdr:nvPicPr>
      <xdr:blipFill>
        <a:blip xmlns:r="http://schemas.openxmlformats.org/officeDocument/2006/relationships" r:embed="rId18"/>
        <a:stretch>
          <a:fillRect/>
        </a:stretch>
      </xdr:blipFill>
      <xdr:spPr>
        <a:xfrm>
          <a:off x="0" y="86106000"/>
          <a:ext cx="11104762" cy="3914286"/>
        </a:xfrm>
        <a:prstGeom prst="rect">
          <a:avLst/>
        </a:prstGeom>
      </xdr:spPr>
    </xdr:pic>
    <xdr:clientData/>
  </xdr:twoCellAnchor>
  <xdr:twoCellAnchor editAs="oneCell">
    <xdr:from>
      <xdr:col>0</xdr:col>
      <xdr:colOff>0</xdr:colOff>
      <xdr:row>620</xdr:row>
      <xdr:rowOff>0</xdr:rowOff>
    </xdr:from>
    <xdr:to>
      <xdr:col>21</xdr:col>
      <xdr:colOff>274827</xdr:colOff>
      <xdr:row>641</xdr:row>
      <xdr:rowOff>56743</xdr:rowOff>
    </xdr:to>
    <xdr:pic>
      <xdr:nvPicPr>
        <xdr:cNvPr id="20" name="图片 19">
          <a:extLst>
            <a:ext uri="{FF2B5EF4-FFF2-40B4-BE49-F238E27FC236}">
              <a16:creationId xmlns:a16="http://schemas.microsoft.com/office/drawing/2014/main" xmlns="" id="{187976E9-BD6F-1F2A-5A52-0A546E682FE5}"/>
            </a:ext>
          </a:extLst>
        </xdr:cNvPr>
        <xdr:cNvPicPr>
          <a:picLocks noChangeAspect="1"/>
        </xdr:cNvPicPr>
      </xdr:nvPicPr>
      <xdr:blipFill>
        <a:blip xmlns:r="http://schemas.openxmlformats.org/officeDocument/2006/relationships" r:embed="rId19"/>
        <a:stretch>
          <a:fillRect/>
        </a:stretch>
      </xdr:blipFill>
      <xdr:spPr>
        <a:xfrm>
          <a:off x="0" y="90068400"/>
          <a:ext cx="11180952" cy="3257143"/>
        </a:xfrm>
        <a:prstGeom prst="rect">
          <a:avLst/>
        </a:prstGeom>
      </xdr:spPr>
    </xdr:pic>
    <xdr:clientData/>
  </xdr:twoCellAnchor>
  <xdr:twoCellAnchor editAs="oneCell">
    <xdr:from>
      <xdr:col>0</xdr:col>
      <xdr:colOff>0</xdr:colOff>
      <xdr:row>641</xdr:row>
      <xdr:rowOff>0</xdr:rowOff>
    </xdr:from>
    <xdr:to>
      <xdr:col>21</xdr:col>
      <xdr:colOff>284351</xdr:colOff>
      <xdr:row>673</xdr:row>
      <xdr:rowOff>132724</xdr:rowOff>
    </xdr:to>
    <xdr:pic>
      <xdr:nvPicPr>
        <xdr:cNvPr id="21" name="图片 20">
          <a:extLst>
            <a:ext uri="{FF2B5EF4-FFF2-40B4-BE49-F238E27FC236}">
              <a16:creationId xmlns:a16="http://schemas.microsoft.com/office/drawing/2014/main" xmlns="" id="{A1928CED-B1C7-5299-60FD-F880E48F6F56}"/>
            </a:ext>
          </a:extLst>
        </xdr:cNvPr>
        <xdr:cNvPicPr>
          <a:picLocks noChangeAspect="1"/>
        </xdr:cNvPicPr>
      </xdr:nvPicPr>
      <xdr:blipFill>
        <a:blip xmlns:r="http://schemas.openxmlformats.org/officeDocument/2006/relationships" r:embed="rId20"/>
        <a:stretch>
          <a:fillRect/>
        </a:stretch>
      </xdr:blipFill>
      <xdr:spPr>
        <a:xfrm>
          <a:off x="0" y="93268800"/>
          <a:ext cx="11190476" cy="5009524"/>
        </a:xfrm>
        <a:prstGeom prst="rect">
          <a:avLst/>
        </a:prstGeom>
      </xdr:spPr>
    </xdr:pic>
    <xdr:clientData/>
  </xdr:twoCellAnchor>
  <xdr:twoCellAnchor editAs="oneCell">
    <xdr:from>
      <xdr:col>0</xdr:col>
      <xdr:colOff>0</xdr:colOff>
      <xdr:row>677</xdr:row>
      <xdr:rowOff>0</xdr:rowOff>
    </xdr:from>
    <xdr:to>
      <xdr:col>21</xdr:col>
      <xdr:colOff>398637</xdr:colOff>
      <xdr:row>701</xdr:row>
      <xdr:rowOff>123352</xdr:rowOff>
    </xdr:to>
    <xdr:pic>
      <xdr:nvPicPr>
        <xdr:cNvPr id="22" name="图片 21">
          <a:extLst>
            <a:ext uri="{FF2B5EF4-FFF2-40B4-BE49-F238E27FC236}">
              <a16:creationId xmlns:a16="http://schemas.microsoft.com/office/drawing/2014/main" xmlns="" id="{33B2FC09-F5D1-EB49-F231-3C34C535C934}"/>
            </a:ext>
          </a:extLst>
        </xdr:cNvPr>
        <xdr:cNvPicPr>
          <a:picLocks noChangeAspect="1"/>
        </xdr:cNvPicPr>
      </xdr:nvPicPr>
      <xdr:blipFill>
        <a:blip xmlns:r="http://schemas.openxmlformats.org/officeDocument/2006/relationships" r:embed="rId21"/>
        <a:stretch>
          <a:fillRect/>
        </a:stretch>
      </xdr:blipFill>
      <xdr:spPr>
        <a:xfrm>
          <a:off x="0" y="98755200"/>
          <a:ext cx="11304762" cy="3780952"/>
        </a:xfrm>
        <a:prstGeom prst="rect">
          <a:avLst/>
        </a:prstGeom>
      </xdr:spPr>
    </xdr:pic>
    <xdr:clientData/>
  </xdr:twoCellAnchor>
  <xdr:twoCellAnchor editAs="oneCell">
    <xdr:from>
      <xdr:col>0</xdr:col>
      <xdr:colOff>0</xdr:colOff>
      <xdr:row>702</xdr:row>
      <xdr:rowOff>0</xdr:rowOff>
    </xdr:from>
    <xdr:to>
      <xdr:col>21</xdr:col>
      <xdr:colOff>303399</xdr:colOff>
      <xdr:row>735</xdr:row>
      <xdr:rowOff>8895</xdr:rowOff>
    </xdr:to>
    <xdr:pic>
      <xdr:nvPicPr>
        <xdr:cNvPr id="23" name="图片 22">
          <a:extLst>
            <a:ext uri="{FF2B5EF4-FFF2-40B4-BE49-F238E27FC236}">
              <a16:creationId xmlns:a16="http://schemas.microsoft.com/office/drawing/2014/main" xmlns="" id="{BB1B40CC-390A-8F8A-FB67-CF70AC281190}"/>
            </a:ext>
          </a:extLst>
        </xdr:cNvPr>
        <xdr:cNvPicPr>
          <a:picLocks noChangeAspect="1"/>
        </xdr:cNvPicPr>
      </xdr:nvPicPr>
      <xdr:blipFill>
        <a:blip xmlns:r="http://schemas.openxmlformats.org/officeDocument/2006/relationships" r:embed="rId22"/>
        <a:stretch>
          <a:fillRect/>
        </a:stretch>
      </xdr:blipFill>
      <xdr:spPr>
        <a:xfrm>
          <a:off x="0" y="102565200"/>
          <a:ext cx="11209524" cy="5038095"/>
        </a:xfrm>
        <a:prstGeom prst="rect">
          <a:avLst/>
        </a:prstGeom>
      </xdr:spPr>
    </xdr:pic>
    <xdr:clientData/>
  </xdr:twoCellAnchor>
  <xdr:twoCellAnchor editAs="oneCell">
    <xdr:from>
      <xdr:col>0</xdr:col>
      <xdr:colOff>0</xdr:colOff>
      <xdr:row>735</xdr:row>
      <xdr:rowOff>0</xdr:rowOff>
    </xdr:from>
    <xdr:to>
      <xdr:col>21</xdr:col>
      <xdr:colOff>293875</xdr:colOff>
      <xdr:row>757</xdr:row>
      <xdr:rowOff>132914</xdr:rowOff>
    </xdr:to>
    <xdr:pic>
      <xdr:nvPicPr>
        <xdr:cNvPr id="24" name="图片 23">
          <a:extLst>
            <a:ext uri="{FF2B5EF4-FFF2-40B4-BE49-F238E27FC236}">
              <a16:creationId xmlns:a16="http://schemas.microsoft.com/office/drawing/2014/main" xmlns="" id="{EA725DDB-B74F-D41C-8564-07062B5A723B}"/>
            </a:ext>
          </a:extLst>
        </xdr:cNvPr>
        <xdr:cNvPicPr>
          <a:picLocks noChangeAspect="1"/>
        </xdr:cNvPicPr>
      </xdr:nvPicPr>
      <xdr:blipFill>
        <a:blip xmlns:r="http://schemas.openxmlformats.org/officeDocument/2006/relationships" r:embed="rId23"/>
        <a:stretch>
          <a:fillRect/>
        </a:stretch>
      </xdr:blipFill>
      <xdr:spPr>
        <a:xfrm>
          <a:off x="0" y="107594400"/>
          <a:ext cx="11200000" cy="3485714"/>
        </a:xfrm>
        <a:prstGeom prst="rect">
          <a:avLst/>
        </a:prstGeom>
      </xdr:spPr>
    </xdr:pic>
    <xdr:clientData/>
  </xdr:twoCellAnchor>
  <xdr:twoCellAnchor editAs="oneCell">
    <xdr:from>
      <xdr:col>0</xdr:col>
      <xdr:colOff>0</xdr:colOff>
      <xdr:row>758</xdr:row>
      <xdr:rowOff>0</xdr:rowOff>
    </xdr:from>
    <xdr:to>
      <xdr:col>21</xdr:col>
      <xdr:colOff>341494</xdr:colOff>
      <xdr:row>784</xdr:row>
      <xdr:rowOff>28076</xdr:rowOff>
    </xdr:to>
    <xdr:pic>
      <xdr:nvPicPr>
        <xdr:cNvPr id="25" name="图片 24">
          <a:extLst>
            <a:ext uri="{FF2B5EF4-FFF2-40B4-BE49-F238E27FC236}">
              <a16:creationId xmlns:a16="http://schemas.microsoft.com/office/drawing/2014/main" xmlns="" id="{AEC28833-7C0D-7F86-9D9E-BE46F404A33E}"/>
            </a:ext>
          </a:extLst>
        </xdr:cNvPr>
        <xdr:cNvPicPr>
          <a:picLocks noChangeAspect="1"/>
        </xdr:cNvPicPr>
      </xdr:nvPicPr>
      <xdr:blipFill>
        <a:blip xmlns:r="http://schemas.openxmlformats.org/officeDocument/2006/relationships" r:embed="rId24"/>
        <a:stretch>
          <a:fillRect/>
        </a:stretch>
      </xdr:blipFill>
      <xdr:spPr>
        <a:xfrm>
          <a:off x="0" y="111099600"/>
          <a:ext cx="11247619" cy="3990476"/>
        </a:xfrm>
        <a:prstGeom prst="rect">
          <a:avLst/>
        </a:prstGeom>
      </xdr:spPr>
    </xdr:pic>
    <xdr:clientData/>
  </xdr:twoCellAnchor>
  <xdr:twoCellAnchor editAs="oneCell">
    <xdr:from>
      <xdr:col>0</xdr:col>
      <xdr:colOff>0</xdr:colOff>
      <xdr:row>784</xdr:row>
      <xdr:rowOff>0</xdr:rowOff>
    </xdr:from>
    <xdr:to>
      <xdr:col>21</xdr:col>
      <xdr:colOff>293875</xdr:colOff>
      <xdr:row>805</xdr:row>
      <xdr:rowOff>151981</xdr:rowOff>
    </xdr:to>
    <xdr:pic>
      <xdr:nvPicPr>
        <xdr:cNvPr id="26" name="图片 25">
          <a:extLst>
            <a:ext uri="{FF2B5EF4-FFF2-40B4-BE49-F238E27FC236}">
              <a16:creationId xmlns:a16="http://schemas.microsoft.com/office/drawing/2014/main" xmlns="" id="{89C58F3E-9AEE-C0FE-B71B-3D3398489AEC}"/>
            </a:ext>
          </a:extLst>
        </xdr:cNvPr>
        <xdr:cNvPicPr>
          <a:picLocks noChangeAspect="1"/>
        </xdr:cNvPicPr>
      </xdr:nvPicPr>
      <xdr:blipFill>
        <a:blip xmlns:r="http://schemas.openxmlformats.org/officeDocument/2006/relationships" r:embed="rId25"/>
        <a:stretch>
          <a:fillRect/>
        </a:stretch>
      </xdr:blipFill>
      <xdr:spPr>
        <a:xfrm>
          <a:off x="0" y="115062000"/>
          <a:ext cx="11200000" cy="3352381"/>
        </a:xfrm>
        <a:prstGeom prst="rect">
          <a:avLst/>
        </a:prstGeom>
      </xdr:spPr>
    </xdr:pic>
    <xdr:clientData/>
  </xdr:twoCellAnchor>
  <xdr:twoCellAnchor editAs="oneCell">
    <xdr:from>
      <xdr:col>0</xdr:col>
      <xdr:colOff>0</xdr:colOff>
      <xdr:row>806</xdr:row>
      <xdr:rowOff>0</xdr:rowOff>
    </xdr:from>
    <xdr:to>
      <xdr:col>21</xdr:col>
      <xdr:colOff>255780</xdr:colOff>
      <xdr:row>829</xdr:row>
      <xdr:rowOff>37657</xdr:rowOff>
    </xdr:to>
    <xdr:pic>
      <xdr:nvPicPr>
        <xdr:cNvPr id="27" name="图片 26">
          <a:extLst>
            <a:ext uri="{FF2B5EF4-FFF2-40B4-BE49-F238E27FC236}">
              <a16:creationId xmlns:a16="http://schemas.microsoft.com/office/drawing/2014/main" xmlns="" id="{B06842BF-43D5-C034-ADB6-DCC58572A12F}"/>
            </a:ext>
          </a:extLst>
        </xdr:cNvPr>
        <xdr:cNvPicPr>
          <a:picLocks noChangeAspect="1"/>
        </xdr:cNvPicPr>
      </xdr:nvPicPr>
      <xdr:blipFill>
        <a:blip xmlns:r="http://schemas.openxmlformats.org/officeDocument/2006/relationships" r:embed="rId26"/>
        <a:stretch>
          <a:fillRect/>
        </a:stretch>
      </xdr:blipFill>
      <xdr:spPr>
        <a:xfrm>
          <a:off x="0" y="118414800"/>
          <a:ext cx="11161905" cy="3542857"/>
        </a:xfrm>
        <a:prstGeom prst="rect">
          <a:avLst/>
        </a:prstGeom>
      </xdr:spPr>
    </xdr:pic>
    <xdr:clientData/>
  </xdr:twoCellAnchor>
  <xdr:twoCellAnchor editAs="oneCell">
    <xdr:from>
      <xdr:col>0</xdr:col>
      <xdr:colOff>0</xdr:colOff>
      <xdr:row>830</xdr:row>
      <xdr:rowOff>0</xdr:rowOff>
    </xdr:from>
    <xdr:to>
      <xdr:col>21</xdr:col>
      <xdr:colOff>122446</xdr:colOff>
      <xdr:row>862</xdr:row>
      <xdr:rowOff>104152</xdr:rowOff>
    </xdr:to>
    <xdr:pic>
      <xdr:nvPicPr>
        <xdr:cNvPr id="28" name="图片 27">
          <a:extLst>
            <a:ext uri="{FF2B5EF4-FFF2-40B4-BE49-F238E27FC236}">
              <a16:creationId xmlns:a16="http://schemas.microsoft.com/office/drawing/2014/main" xmlns="" id="{2DC9BF7B-CFC4-7194-60A3-47A2945DDFC1}"/>
            </a:ext>
          </a:extLst>
        </xdr:cNvPr>
        <xdr:cNvPicPr>
          <a:picLocks noChangeAspect="1"/>
        </xdr:cNvPicPr>
      </xdr:nvPicPr>
      <xdr:blipFill>
        <a:blip xmlns:r="http://schemas.openxmlformats.org/officeDocument/2006/relationships" r:embed="rId27"/>
        <a:stretch>
          <a:fillRect/>
        </a:stretch>
      </xdr:blipFill>
      <xdr:spPr>
        <a:xfrm>
          <a:off x="0" y="122072400"/>
          <a:ext cx="11028571" cy="4980952"/>
        </a:xfrm>
        <a:prstGeom prst="rect">
          <a:avLst/>
        </a:prstGeom>
      </xdr:spPr>
    </xdr:pic>
    <xdr:clientData/>
  </xdr:twoCellAnchor>
  <xdr:twoCellAnchor editAs="oneCell">
    <xdr:from>
      <xdr:col>0</xdr:col>
      <xdr:colOff>0</xdr:colOff>
      <xdr:row>866</xdr:row>
      <xdr:rowOff>0</xdr:rowOff>
    </xdr:from>
    <xdr:to>
      <xdr:col>21</xdr:col>
      <xdr:colOff>274827</xdr:colOff>
      <xdr:row>897</xdr:row>
      <xdr:rowOff>85124</xdr:rowOff>
    </xdr:to>
    <xdr:pic>
      <xdr:nvPicPr>
        <xdr:cNvPr id="29" name="图片 28">
          <a:extLst>
            <a:ext uri="{FF2B5EF4-FFF2-40B4-BE49-F238E27FC236}">
              <a16:creationId xmlns:a16="http://schemas.microsoft.com/office/drawing/2014/main" xmlns="" id="{C4D202D5-9B0F-25D8-0B29-860A4FAEBC50}"/>
            </a:ext>
          </a:extLst>
        </xdr:cNvPr>
        <xdr:cNvPicPr>
          <a:picLocks noChangeAspect="1"/>
        </xdr:cNvPicPr>
      </xdr:nvPicPr>
      <xdr:blipFill>
        <a:blip xmlns:r="http://schemas.openxmlformats.org/officeDocument/2006/relationships" r:embed="rId28"/>
        <a:stretch>
          <a:fillRect/>
        </a:stretch>
      </xdr:blipFill>
      <xdr:spPr>
        <a:xfrm>
          <a:off x="0" y="127558800"/>
          <a:ext cx="11180952" cy="4809524"/>
        </a:xfrm>
        <a:prstGeom prst="rect">
          <a:avLst/>
        </a:prstGeom>
      </xdr:spPr>
    </xdr:pic>
    <xdr:clientData/>
  </xdr:twoCellAnchor>
  <xdr:twoCellAnchor editAs="oneCell">
    <xdr:from>
      <xdr:col>0</xdr:col>
      <xdr:colOff>0</xdr:colOff>
      <xdr:row>898</xdr:row>
      <xdr:rowOff>0</xdr:rowOff>
    </xdr:from>
    <xdr:to>
      <xdr:col>21</xdr:col>
      <xdr:colOff>389113</xdr:colOff>
      <xdr:row>931</xdr:row>
      <xdr:rowOff>123181</xdr:rowOff>
    </xdr:to>
    <xdr:pic>
      <xdr:nvPicPr>
        <xdr:cNvPr id="30" name="图片 29">
          <a:extLst>
            <a:ext uri="{FF2B5EF4-FFF2-40B4-BE49-F238E27FC236}">
              <a16:creationId xmlns:a16="http://schemas.microsoft.com/office/drawing/2014/main" xmlns="" id="{14C8CAF4-FD43-9B65-103F-30DBA2A75990}"/>
            </a:ext>
          </a:extLst>
        </xdr:cNvPr>
        <xdr:cNvPicPr>
          <a:picLocks noChangeAspect="1"/>
        </xdr:cNvPicPr>
      </xdr:nvPicPr>
      <xdr:blipFill>
        <a:blip xmlns:r="http://schemas.openxmlformats.org/officeDocument/2006/relationships" r:embed="rId29"/>
        <a:stretch>
          <a:fillRect/>
        </a:stretch>
      </xdr:blipFill>
      <xdr:spPr>
        <a:xfrm>
          <a:off x="0" y="132435600"/>
          <a:ext cx="11295238" cy="5152381"/>
        </a:xfrm>
        <a:prstGeom prst="rect">
          <a:avLst/>
        </a:prstGeom>
      </xdr:spPr>
    </xdr:pic>
    <xdr:clientData/>
  </xdr:twoCellAnchor>
  <xdr:twoCellAnchor editAs="oneCell">
    <xdr:from>
      <xdr:col>0</xdr:col>
      <xdr:colOff>0</xdr:colOff>
      <xdr:row>932</xdr:row>
      <xdr:rowOff>0</xdr:rowOff>
    </xdr:from>
    <xdr:to>
      <xdr:col>21</xdr:col>
      <xdr:colOff>227208</xdr:colOff>
      <xdr:row>955</xdr:row>
      <xdr:rowOff>142419</xdr:rowOff>
    </xdr:to>
    <xdr:pic>
      <xdr:nvPicPr>
        <xdr:cNvPr id="31" name="图片 30">
          <a:extLst>
            <a:ext uri="{FF2B5EF4-FFF2-40B4-BE49-F238E27FC236}">
              <a16:creationId xmlns:a16="http://schemas.microsoft.com/office/drawing/2014/main" xmlns="" id="{51AAED9E-CF81-FF39-BF52-CD2F4E52A8F4}"/>
            </a:ext>
          </a:extLst>
        </xdr:cNvPr>
        <xdr:cNvPicPr>
          <a:picLocks noChangeAspect="1"/>
        </xdr:cNvPicPr>
      </xdr:nvPicPr>
      <xdr:blipFill>
        <a:blip xmlns:r="http://schemas.openxmlformats.org/officeDocument/2006/relationships" r:embed="rId30"/>
        <a:stretch>
          <a:fillRect/>
        </a:stretch>
      </xdr:blipFill>
      <xdr:spPr>
        <a:xfrm>
          <a:off x="0" y="137617200"/>
          <a:ext cx="11133333" cy="3647619"/>
        </a:xfrm>
        <a:prstGeom prst="rect">
          <a:avLst/>
        </a:prstGeom>
      </xdr:spPr>
    </xdr:pic>
    <xdr:clientData/>
  </xdr:twoCellAnchor>
  <xdr:twoCellAnchor editAs="oneCell">
    <xdr:from>
      <xdr:col>0</xdr:col>
      <xdr:colOff>0</xdr:colOff>
      <xdr:row>956</xdr:row>
      <xdr:rowOff>0</xdr:rowOff>
    </xdr:from>
    <xdr:to>
      <xdr:col>21</xdr:col>
      <xdr:colOff>236732</xdr:colOff>
      <xdr:row>981</xdr:row>
      <xdr:rowOff>151905</xdr:rowOff>
    </xdr:to>
    <xdr:pic>
      <xdr:nvPicPr>
        <xdr:cNvPr id="32" name="图片 31">
          <a:extLst>
            <a:ext uri="{FF2B5EF4-FFF2-40B4-BE49-F238E27FC236}">
              <a16:creationId xmlns:a16="http://schemas.microsoft.com/office/drawing/2014/main" xmlns="" id="{924AE69E-E3AA-3D12-85F0-6A7BE4E5067E}"/>
            </a:ext>
          </a:extLst>
        </xdr:cNvPr>
        <xdr:cNvPicPr>
          <a:picLocks noChangeAspect="1"/>
        </xdr:cNvPicPr>
      </xdr:nvPicPr>
      <xdr:blipFill>
        <a:blip xmlns:r="http://schemas.openxmlformats.org/officeDocument/2006/relationships" r:embed="rId31"/>
        <a:stretch>
          <a:fillRect/>
        </a:stretch>
      </xdr:blipFill>
      <xdr:spPr>
        <a:xfrm>
          <a:off x="0" y="141274800"/>
          <a:ext cx="11142857" cy="3961905"/>
        </a:xfrm>
        <a:prstGeom prst="rect">
          <a:avLst/>
        </a:prstGeom>
      </xdr:spPr>
    </xdr:pic>
    <xdr:clientData/>
  </xdr:twoCellAnchor>
  <xdr:twoCellAnchor editAs="oneCell">
    <xdr:from>
      <xdr:col>0</xdr:col>
      <xdr:colOff>0</xdr:colOff>
      <xdr:row>982</xdr:row>
      <xdr:rowOff>0</xdr:rowOff>
    </xdr:from>
    <xdr:to>
      <xdr:col>21</xdr:col>
      <xdr:colOff>303399</xdr:colOff>
      <xdr:row>1003</xdr:row>
      <xdr:rowOff>104362</xdr:rowOff>
    </xdr:to>
    <xdr:pic>
      <xdr:nvPicPr>
        <xdr:cNvPr id="33" name="图片 32">
          <a:extLst>
            <a:ext uri="{FF2B5EF4-FFF2-40B4-BE49-F238E27FC236}">
              <a16:creationId xmlns:a16="http://schemas.microsoft.com/office/drawing/2014/main" xmlns="" id="{B92C40E8-B0CA-AB5C-FABC-8030B525B115}"/>
            </a:ext>
          </a:extLst>
        </xdr:cNvPr>
        <xdr:cNvPicPr>
          <a:picLocks noChangeAspect="1"/>
        </xdr:cNvPicPr>
      </xdr:nvPicPr>
      <xdr:blipFill>
        <a:blip xmlns:r="http://schemas.openxmlformats.org/officeDocument/2006/relationships" r:embed="rId32"/>
        <a:stretch>
          <a:fillRect/>
        </a:stretch>
      </xdr:blipFill>
      <xdr:spPr>
        <a:xfrm>
          <a:off x="0" y="145237200"/>
          <a:ext cx="11209524" cy="3304762"/>
        </a:xfrm>
        <a:prstGeom prst="rect">
          <a:avLst/>
        </a:prstGeom>
      </xdr:spPr>
    </xdr:pic>
    <xdr:clientData/>
  </xdr:twoCellAnchor>
  <xdr:twoCellAnchor editAs="oneCell">
    <xdr:from>
      <xdr:col>0</xdr:col>
      <xdr:colOff>0</xdr:colOff>
      <xdr:row>1004</xdr:row>
      <xdr:rowOff>0</xdr:rowOff>
    </xdr:from>
    <xdr:to>
      <xdr:col>21</xdr:col>
      <xdr:colOff>189113</xdr:colOff>
      <xdr:row>1024</xdr:row>
      <xdr:rowOff>94857</xdr:rowOff>
    </xdr:to>
    <xdr:pic>
      <xdr:nvPicPr>
        <xdr:cNvPr id="34" name="图片 33">
          <a:extLst>
            <a:ext uri="{FF2B5EF4-FFF2-40B4-BE49-F238E27FC236}">
              <a16:creationId xmlns:a16="http://schemas.microsoft.com/office/drawing/2014/main" xmlns="" id="{FDD1C3C5-4F58-DA86-08A4-7FA57BB2E01B}"/>
            </a:ext>
          </a:extLst>
        </xdr:cNvPr>
        <xdr:cNvPicPr>
          <a:picLocks noChangeAspect="1"/>
        </xdr:cNvPicPr>
      </xdr:nvPicPr>
      <xdr:blipFill>
        <a:blip xmlns:r="http://schemas.openxmlformats.org/officeDocument/2006/relationships" r:embed="rId33"/>
        <a:stretch>
          <a:fillRect/>
        </a:stretch>
      </xdr:blipFill>
      <xdr:spPr>
        <a:xfrm>
          <a:off x="0" y="148590000"/>
          <a:ext cx="11095238" cy="3142857"/>
        </a:xfrm>
        <a:prstGeom prst="rect">
          <a:avLst/>
        </a:prstGeom>
      </xdr:spPr>
    </xdr:pic>
    <xdr:clientData/>
  </xdr:twoCellAnchor>
  <xdr:twoCellAnchor editAs="oneCell">
    <xdr:from>
      <xdr:col>0</xdr:col>
      <xdr:colOff>0</xdr:colOff>
      <xdr:row>1025</xdr:row>
      <xdr:rowOff>0</xdr:rowOff>
    </xdr:from>
    <xdr:to>
      <xdr:col>21</xdr:col>
      <xdr:colOff>217684</xdr:colOff>
      <xdr:row>1051</xdr:row>
      <xdr:rowOff>37600</xdr:rowOff>
    </xdr:to>
    <xdr:pic>
      <xdr:nvPicPr>
        <xdr:cNvPr id="35" name="图片 34">
          <a:extLst>
            <a:ext uri="{FF2B5EF4-FFF2-40B4-BE49-F238E27FC236}">
              <a16:creationId xmlns:a16="http://schemas.microsoft.com/office/drawing/2014/main" xmlns="" id="{417EF2B3-5C9C-5403-6331-0D268838E1E5}"/>
            </a:ext>
          </a:extLst>
        </xdr:cNvPr>
        <xdr:cNvPicPr>
          <a:picLocks noChangeAspect="1"/>
        </xdr:cNvPicPr>
      </xdr:nvPicPr>
      <xdr:blipFill>
        <a:blip xmlns:r="http://schemas.openxmlformats.org/officeDocument/2006/relationships" r:embed="rId34"/>
        <a:stretch>
          <a:fillRect/>
        </a:stretch>
      </xdr:blipFill>
      <xdr:spPr>
        <a:xfrm>
          <a:off x="0" y="151790400"/>
          <a:ext cx="11123809" cy="4000000"/>
        </a:xfrm>
        <a:prstGeom prst="rect">
          <a:avLst/>
        </a:prstGeom>
      </xdr:spPr>
    </xdr:pic>
    <xdr:clientData/>
  </xdr:twoCellAnchor>
  <xdr:twoCellAnchor editAs="oneCell">
    <xdr:from>
      <xdr:col>0</xdr:col>
      <xdr:colOff>0</xdr:colOff>
      <xdr:row>1051</xdr:row>
      <xdr:rowOff>0</xdr:rowOff>
    </xdr:from>
    <xdr:to>
      <xdr:col>21</xdr:col>
      <xdr:colOff>208161</xdr:colOff>
      <xdr:row>1084</xdr:row>
      <xdr:rowOff>94609</xdr:rowOff>
    </xdr:to>
    <xdr:pic>
      <xdr:nvPicPr>
        <xdr:cNvPr id="36" name="图片 35">
          <a:extLst>
            <a:ext uri="{FF2B5EF4-FFF2-40B4-BE49-F238E27FC236}">
              <a16:creationId xmlns:a16="http://schemas.microsoft.com/office/drawing/2014/main" xmlns="" id="{F494E13C-13A6-AA97-F47B-E5A3E01B0B35}"/>
            </a:ext>
          </a:extLst>
        </xdr:cNvPr>
        <xdr:cNvPicPr>
          <a:picLocks noChangeAspect="1"/>
        </xdr:cNvPicPr>
      </xdr:nvPicPr>
      <xdr:blipFill>
        <a:blip xmlns:r="http://schemas.openxmlformats.org/officeDocument/2006/relationships" r:embed="rId35"/>
        <a:stretch>
          <a:fillRect/>
        </a:stretch>
      </xdr:blipFill>
      <xdr:spPr>
        <a:xfrm>
          <a:off x="0" y="155752800"/>
          <a:ext cx="11114286" cy="5123809"/>
        </a:xfrm>
        <a:prstGeom prst="rect">
          <a:avLst/>
        </a:prstGeom>
      </xdr:spPr>
    </xdr:pic>
    <xdr:clientData/>
  </xdr:twoCellAnchor>
  <xdr:twoCellAnchor editAs="oneCell">
    <xdr:from>
      <xdr:col>0</xdr:col>
      <xdr:colOff>0</xdr:colOff>
      <xdr:row>96</xdr:row>
      <xdr:rowOff>0</xdr:rowOff>
    </xdr:from>
    <xdr:to>
      <xdr:col>20</xdr:col>
      <xdr:colOff>427319</xdr:colOff>
      <xdr:row>131</xdr:row>
      <xdr:rowOff>123143</xdr:rowOff>
    </xdr:to>
    <xdr:pic>
      <xdr:nvPicPr>
        <xdr:cNvPr id="37" name="图片 36">
          <a:extLst>
            <a:ext uri="{FF2B5EF4-FFF2-40B4-BE49-F238E27FC236}">
              <a16:creationId xmlns:a16="http://schemas.microsoft.com/office/drawing/2014/main" xmlns="" id="{A66A2077-5B6B-EDF9-75F4-CDDB61B56750}"/>
            </a:ext>
          </a:extLst>
        </xdr:cNvPr>
        <xdr:cNvPicPr>
          <a:picLocks noChangeAspect="1"/>
        </xdr:cNvPicPr>
      </xdr:nvPicPr>
      <xdr:blipFill>
        <a:blip xmlns:r="http://schemas.openxmlformats.org/officeDocument/2006/relationships" r:embed="rId36"/>
        <a:stretch>
          <a:fillRect/>
        </a:stretch>
      </xdr:blipFill>
      <xdr:spPr>
        <a:xfrm>
          <a:off x="0" y="10210800"/>
          <a:ext cx="10447619" cy="5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160962</xdr:colOff>
      <xdr:row>15</xdr:row>
      <xdr:rowOff>94917</xdr:rowOff>
    </xdr:to>
    <xdr:pic>
      <xdr:nvPicPr>
        <xdr:cNvPr id="2" name="图片 1">
          <a:extLst>
            <a:ext uri="{FF2B5EF4-FFF2-40B4-BE49-F238E27FC236}">
              <a16:creationId xmlns:a16="http://schemas.microsoft.com/office/drawing/2014/main" xmlns="" id="{4B88A4FE-EC15-02A9-D79C-A5617C5AB704}"/>
            </a:ext>
          </a:extLst>
        </xdr:cNvPr>
        <xdr:cNvPicPr>
          <a:picLocks noChangeAspect="1"/>
        </xdr:cNvPicPr>
      </xdr:nvPicPr>
      <xdr:blipFill>
        <a:blip xmlns:r="http://schemas.openxmlformats.org/officeDocument/2006/relationships" r:embed="rId1"/>
        <a:stretch>
          <a:fillRect/>
        </a:stretch>
      </xdr:blipFill>
      <xdr:spPr>
        <a:xfrm>
          <a:off x="0" y="0"/>
          <a:ext cx="7704762" cy="2666667"/>
        </a:xfrm>
        <a:prstGeom prst="rect">
          <a:avLst/>
        </a:prstGeom>
      </xdr:spPr>
    </xdr:pic>
    <xdr:clientData/>
  </xdr:twoCellAnchor>
  <xdr:twoCellAnchor editAs="oneCell">
    <xdr:from>
      <xdr:col>0</xdr:col>
      <xdr:colOff>0</xdr:colOff>
      <xdr:row>16</xdr:row>
      <xdr:rowOff>0</xdr:rowOff>
    </xdr:from>
    <xdr:to>
      <xdr:col>11</xdr:col>
      <xdr:colOff>427628</xdr:colOff>
      <xdr:row>31</xdr:row>
      <xdr:rowOff>104440</xdr:rowOff>
    </xdr:to>
    <xdr:pic>
      <xdr:nvPicPr>
        <xdr:cNvPr id="3" name="图片 2">
          <a:extLst>
            <a:ext uri="{FF2B5EF4-FFF2-40B4-BE49-F238E27FC236}">
              <a16:creationId xmlns:a16="http://schemas.microsoft.com/office/drawing/2014/main" xmlns="" id="{A018C487-ED97-E2DD-CB69-F9A46C7B46E3}"/>
            </a:ext>
          </a:extLst>
        </xdr:cNvPr>
        <xdr:cNvPicPr>
          <a:picLocks noChangeAspect="1"/>
        </xdr:cNvPicPr>
      </xdr:nvPicPr>
      <xdr:blipFill>
        <a:blip xmlns:r="http://schemas.openxmlformats.org/officeDocument/2006/relationships" r:embed="rId2"/>
        <a:stretch>
          <a:fillRect/>
        </a:stretch>
      </xdr:blipFill>
      <xdr:spPr>
        <a:xfrm>
          <a:off x="0" y="2743200"/>
          <a:ext cx="7971428" cy="2676190"/>
        </a:xfrm>
        <a:prstGeom prst="rect">
          <a:avLst/>
        </a:prstGeom>
      </xdr:spPr>
    </xdr:pic>
    <xdr:clientData/>
  </xdr:twoCellAnchor>
  <xdr:twoCellAnchor editAs="oneCell">
    <xdr:from>
      <xdr:col>0</xdr:col>
      <xdr:colOff>0</xdr:colOff>
      <xdr:row>32</xdr:row>
      <xdr:rowOff>0</xdr:rowOff>
    </xdr:from>
    <xdr:to>
      <xdr:col>11</xdr:col>
      <xdr:colOff>322867</xdr:colOff>
      <xdr:row>48</xdr:row>
      <xdr:rowOff>56800</xdr:rowOff>
    </xdr:to>
    <xdr:pic>
      <xdr:nvPicPr>
        <xdr:cNvPr id="4" name="图片 3">
          <a:extLst>
            <a:ext uri="{FF2B5EF4-FFF2-40B4-BE49-F238E27FC236}">
              <a16:creationId xmlns:a16="http://schemas.microsoft.com/office/drawing/2014/main" xmlns="" id="{B0084A83-53D5-29E3-1D4D-2F734C1FE77C}"/>
            </a:ext>
          </a:extLst>
        </xdr:cNvPr>
        <xdr:cNvPicPr>
          <a:picLocks noChangeAspect="1"/>
        </xdr:cNvPicPr>
      </xdr:nvPicPr>
      <xdr:blipFill>
        <a:blip xmlns:r="http://schemas.openxmlformats.org/officeDocument/2006/relationships" r:embed="rId3"/>
        <a:stretch>
          <a:fillRect/>
        </a:stretch>
      </xdr:blipFill>
      <xdr:spPr>
        <a:xfrm>
          <a:off x="0" y="5486400"/>
          <a:ext cx="7866667" cy="2800000"/>
        </a:xfrm>
        <a:prstGeom prst="rect">
          <a:avLst/>
        </a:prstGeom>
      </xdr:spPr>
    </xdr:pic>
    <xdr:clientData/>
  </xdr:twoCellAnchor>
  <xdr:twoCellAnchor editAs="oneCell">
    <xdr:from>
      <xdr:col>0</xdr:col>
      <xdr:colOff>0</xdr:colOff>
      <xdr:row>48</xdr:row>
      <xdr:rowOff>0</xdr:rowOff>
    </xdr:from>
    <xdr:to>
      <xdr:col>11</xdr:col>
      <xdr:colOff>332390</xdr:colOff>
      <xdr:row>78</xdr:row>
      <xdr:rowOff>94595</xdr:rowOff>
    </xdr:to>
    <xdr:pic>
      <xdr:nvPicPr>
        <xdr:cNvPr id="5" name="图片 4">
          <a:extLst>
            <a:ext uri="{FF2B5EF4-FFF2-40B4-BE49-F238E27FC236}">
              <a16:creationId xmlns:a16="http://schemas.microsoft.com/office/drawing/2014/main" xmlns="" id="{41DE9410-9DD0-EEF4-DA5D-18A3C1AC665F}"/>
            </a:ext>
          </a:extLst>
        </xdr:cNvPr>
        <xdr:cNvPicPr>
          <a:picLocks noChangeAspect="1"/>
        </xdr:cNvPicPr>
      </xdr:nvPicPr>
      <xdr:blipFill>
        <a:blip xmlns:r="http://schemas.openxmlformats.org/officeDocument/2006/relationships" r:embed="rId4"/>
        <a:stretch>
          <a:fillRect/>
        </a:stretch>
      </xdr:blipFill>
      <xdr:spPr>
        <a:xfrm>
          <a:off x="0" y="8229600"/>
          <a:ext cx="7876190" cy="5238095"/>
        </a:xfrm>
        <a:prstGeom prst="rect">
          <a:avLst/>
        </a:prstGeom>
      </xdr:spPr>
    </xdr:pic>
    <xdr:clientData/>
  </xdr:twoCellAnchor>
  <xdr:twoCellAnchor editAs="oneCell">
    <xdr:from>
      <xdr:col>0</xdr:col>
      <xdr:colOff>0</xdr:colOff>
      <xdr:row>79</xdr:row>
      <xdr:rowOff>0</xdr:rowOff>
    </xdr:from>
    <xdr:to>
      <xdr:col>11</xdr:col>
      <xdr:colOff>618105</xdr:colOff>
      <xdr:row>109</xdr:row>
      <xdr:rowOff>37452</xdr:rowOff>
    </xdr:to>
    <xdr:pic>
      <xdr:nvPicPr>
        <xdr:cNvPr id="6" name="图片 5">
          <a:extLst>
            <a:ext uri="{FF2B5EF4-FFF2-40B4-BE49-F238E27FC236}">
              <a16:creationId xmlns:a16="http://schemas.microsoft.com/office/drawing/2014/main" xmlns="" id="{0352B29F-0B1C-FC18-8EBE-77C3A9DFCB3F}"/>
            </a:ext>
          </a:extLst>
        </xdr:cNvPr>
        <xdr:cNvPicPr>
          <a:picLocks noChangeAspect="1"/>
        </xdr:cNvPicPr>
      </xdr:nvPicPr>
      <xdr:blipFill>
        <a:blip xmlns:r="http://schemas.openxmlformats.org/officeDocument/2006/relationships" r:embed="rId5"/>
        <a:stretch>
          <a:fillRect/>
        </a:stretch>
      </xdr:blipFill>
      <xdr:spPr>
        <a:xfrm>
          <a:off x="0" y="13544550"/>
          <a:ext cx="8161905" cy="5180952"/>
        </a:xfrm>
        <a:prstGeom prst="rect">
          <a:avLst/>
        </a:prstGeom>
      </xdr:spPr>
    </xdr:pic>
    <xdr:clientData/>
  </xdr:twoCellAnchor>
  <xdr:twoCellAnchor editAs="oneCell">
    <xdr:from>
      <xdr:col>0</xdr:col>
      <xdr:colOff>0</xdr:colOff>
      <xdr:row>110</xdr:row>
      <xdr:rowOff>0</xdr:rowOff>
    </xdr:from>
    <xdr:to>
      <xdr:col>11</xdr:col>
      <xdr:colOff>27628</xdr:colOff>
      <xdr:row>141</xdr:row>
      <xdr:rowOff>8859</xdr:rowOff>
    </xdr:to>
    <xdr:pic>
      <xdr:nvPicPr>
        <xdr:cNvPr id="7" name="图片 6">
          <a:extLst>
            <a:ext uri="{FF2B5EF4-FFF2-40B4-BE49-F238E27FC236}">
              <a16:creationId xmlns:a16="http://schemas.microsoft.com/office/drawing/2014/main" xmlns="" id="{44EB7557-4CD6-8B17-CAB0-972FC05AF1F9}"/>
            </a:ext>
          </a:extLst>
        </xdr:cNvPr>
        <xdr:cNvPicPr>
          <a:picLocks noChangeAspect="1"/>
        </xdr:cNvPicPr>
      </xdr:nvPicPr>
      <xdr:blipFill>
        <a:blip xmlns:r="http://schemas.openxmlformats.org/officeDocument/2006/relationships" r:embed="rId6"/>
        <a:stretch>
          <a:fillRect/>
        </a:stretch>
      </xdr:blipFill>
      <xdr:spPr>
        <a:xfrm>
          <a:off x="0" y="18859500"/>
          <a:ext cx="7571428" cy="5323809"/>
        </a:xfrm>
        <a:prstGeom prst="rect">
          <a:avLst/>
        </a:prstGeom>
      </xdr:spPr>
    </xdr:pic>
    <xdr:clientData/>
  </xdr:twoCellAnchor>
  <xdr:twoCellAnchor editAs="oneCell">
    <xdr:from>
      <xdr:col>0</xdr:col>
      <xdr:colOff>0</xdr:colOff>
      <xdr:row>141</xdr:row>
      <xdr:rowOff>0</xdr:rowOff>
    </xdr:from>
    <xdr:to>
      <xdr:col>11</xdr:col>
      <xdr:colOff>275248</xdr:colOff>
      <xdr:row>164</xdr:row>
      <xdr:rowOff>47126</xdr:rowOff>
    </xdr:to>
    <xdr:pic>
      <xdr:nvPicPr>
        <xdr:cNvPr id="8" name="图片 7">
          <a:extLst>
            <a:ext uri="{FF2B5EF4-FFF2-40B4-BE49-F238E27FC236}">
              <a16:creationId xmlns:a16="http://schemas.microsoft.com/office/drawing/2014/main" xmlns="" id="{E8336B0D-324E-0DD1-329F-8AF19C04B2FB}"/>
            </a:ext>
          </a:extLst>
        </xdr:cNvPr>
        <xdr:cNvPicPr>
          <a:picLocks noChangeAspect="1"/>
        </xdr:cNvPicPr>
      </xdr:nvPicPr>
      <xdr:blipFill>
        <a:blip xmlns:r="http://schemas.openxmlformats.org/officeDocument/2006/relationships" r:embed="rId7"/>
        <a:stretch>
          <a:fillRect/>
        </a:stretch>
      </xdr:blipFill>
      <xdr:spPr>
        <a:xfrm>
          <a:off x="0" y="24174450"/>
          <a:ext cx="7819048" cy="3990476"/>
        </a:xfrm>
        <a:prstGeom prst="rect">
          <a:avLst/>
        </a:prstGeom>
      </xdr:spPr>
    </xdr:pic>
    <xdr:clientData/>
  </xdr:twoCellAnchor>
  <xdr:twoCellAnchor editAs="oneCell">
    <xdr:from>
      <xdr:col>0</xdr:col>
      <xdr:colOff>0</xdr:colOff>
      <xdr:row>164</xdr:row>
      <xdr:rowOff>0</xdr:rowOff>
    </xdr:from>
    <xdr:to>
      <xdr:col>11</xdr:col>
      <xdr:colOff>132390</xdr:colOff>
      <xdr:row>194</xdr:row>
      <xdr:rowOff>142214</xdr:rowOff>
    </xdr:to>
    <xdr:pic>
      <xdr:nvPicPr>
        <xdr:cNvPr id="9" name="图片 8">
          <a:extLst>
            <a:ext uri="{FF2B5EF4-FFF2-40B4-BE49-F238E27FC236}">
              <a16:creationId xmlns:a16="http://schemas.microsoft.com/office/drawing/2014/main" xmlns="" id="{0A249B85-AA41-BE24-B837-BC15CE998317}"/>
            </a:ext>
          </a:extLst>
        </xdr:cNvPr>
        <xdr:cNvPicPr>
          <a:picLocks noChangeAspect="1"/>
        </xdr:cNvPicPr>
      </xdr:nvPicPr>
      <xdr:blipFill>
        <a:blip xmlns:r="http://schemas.openxmlformats.org/officeDocument/2006/relationships" r:embed="rId8"/>
        <a:stretch>
          <a:fillRect/>
        </a:stretch>
      </xdr:blipFill>
      <xdr:spPr>
        <a:xfrm>
          <a:off x="0" y="28117800"/>
          <a:ext cx="7676190" cy="5285714"/>
        </a:xfrm>
        <a:prstGeom prst="rect">
          <a:avLst/>
        </a:prstGeom>
      </xdr:spPr>
    </xdr:pic>
    <xdr:clientData/>
  </xdr:twoCellAnchor>
  <xdr:twoCellAnchor editAs="oneCell">
    <xdr:from>
      <xdr:col>0</xdr:col>
      <xdr:colOff>0</xdr:colOff>
      <xdr:row>195</xdr:row>
      <xdr:rowOff>0</xdr:rowOff>
    </xdr:from>
    <xdr:to>
      <xdr:col>11</xdr:col>
      <xdr:colOff>332390</xdr:colOff>
      <xdr:row>219</xdr:row>
      <xdr:rowOff>37581</xdr:rowOff>
    </xdr:to>
    <xdr:pic>
      <xdr:nvPicPr>
        <xdr:cNvPr id="10" name="图片 9">
          <a:extLst>
            <a:ext uri="{FF2B5EF4-FFF2-40B4-BE49-F238E27FC236}">
              <a16:creationId xmlns:a16="http://schemas.microsoft.com/office/drawing/2014/main" xmlns="" id="{0D350A21-837B-4284-DEA2-76929974F792}"/>
            </a:ext>
          </a:extLst>
        </xdr:cNvPr>
        <xdr:cNvPicPr>
          <a:picLocks noChangeAspect="1"/>
        </xdr:cNvPicPr>
      </xdr:nvPicPr>
      <xdr:blipFill>
        <a:blip xmlns:r="http://schemas.openxmlformats.org/officeDocument/2006/relationships" r:embed="rId9"/>
        <a:stretch>
          <a:fillRect/>
        </a:stretch>
      </xdr:blipFill>
      <xdr:spPr>
        <a:xfrm>
          <a:off x="0" y="33432750"/>
          <a:ext cx="7876190" cy="4152381"/>
        </a:xfrm>
        <a:prstGeom prst="rect">
          <a:avLst/>
        </a:prstGeom>
      </xdr:spPr>
    </xdr:pic>
    <xdr:clientData/>
  </xdr:twoCellAnchor>
  <xdr:twoCellAnchor editAs="oneCell">
    <xdr:from>
      <xdr:col>0</xdr:col>
      <xdr:colOff>0</xdr:colOff>
      <xdr:row>219</xdr:row>
      <xdr:rowOff>0</xdr:rowOff>
    </xdr:from>
    <xdr:to>
      <xdr:col>11</xdr:col>
      <xdr:colOff>227628</xdr:colOff>
      <xdr:row>249</xdr:row>
      <xdr:rowOff>142214</xdr:rowOff>
    </xdr:to>
    <xdr:pic>
      <xdr:nvPicPr>
        <xdr:cNvPr id="11" name="图片 10">
          <a:extLst>
            <a:ext uri="{FF2B5EF4-FFF2-40B4-BE49-F238E27FC236}">
              <a16:creationId xmlns:a16="http://schemas.microsoft.com/office/drawing/2014/main" xmlns="" id="{8D3D9AC2-0947-7FD1-20BA-8CD963EE1F5F}"/>
            </a:ext>
          </a:extLst>
        </xdr:cNvPr>
        <xdr:cNvPicPr>
          <a:picLocks noChangeAspect="1"/>
        </xdr:cNvPicPr>
      </xdr:nvPicPr>
      <xdr:blipFill>
        <a:blip xmlns:r="http://schemas.openxmlformats.org/officeDocument/2006/relationships" r:embed="rId10"/>
        <a:stretch>
          <a:fillRect/>
        </a:stretch>
      </xdr:blipFill>
      <xdr:spPr>
        <a:xfrm>
          <a:off x="0" y="37547550"/>
          <a:ext cx="7771428" cy="5285714"/>
        </a:xfrm>
        <a:prstGeom prst="rect">
          <a:avLst/>
        </a:prstGeom>
      </xdr:spPr>
    </xdr:pic>
    <xdr:clientData/>
  </xdr:twoCellAnchor>
  <xdr:twoCellAnchor editAs="oneCell">
    <xdr:from>
      <xdr:col>12</xdr:col>
      <xdr:colOff>0</xdr:colOff>
      <xdr:row>0</xdr:row>
      <xdr:rowOff>0</xdr:rowOff>
    </xdr:from>
    <xdr:to>
      <xdr:col>23</xdr:col>
      <xdr:colOff>189533</xdr:colOff>
      <xdr:row>29</xdr:row>
      <xdr:rowOff>132712</xdr:rowOff>
    </xdr:to>
    <xdr:pic>
      <xdr:nvPicPr>
        <xdr:cNvPr id="12" name="图片 11">
          <a:extLst>
            <a:ext uri="{FF2B5EF4-FFF2-40B4-BE49-F238E27FC236}">
              <a16:creationId xmlns:a16="http://schemas.microsoft.com/office/drawing/2014/main" xmlns="" id="{F80FE0BB-12E1-91BF-E25A-0CACCD98AC5D}"/>
            </a:ext>
          </a:extLst>
        </xdr:cNvPr>
        <xdr:cNvPicPr>
          <a:picLocks noChangeAspect="1"/>
        </xdr:cNvPicPr>
      </xdr:nvPicPr>
      <xdr:blipFill>
        <a:blip xmlns:r="http://schemas.openxmlformats.org/officeDocument/2006/relationships" r:embed="rId11"/>
        <a:stretch>
          <a:fillRect/>
        </a:stretch>
      </xdr:blipFill>
      <xdr:spPr>
        <a:xfrm>
          <a:off x="8229600" y="0"/>
          <a:ext cx="7733333" cy="5104762"/>
        </a:xfrm>
        <a:prstGeom prst="rect">
          <a:avLst/>
        </a:prstGeom>
      </xdr:spPr>
    </xdr:pic>
    <xdr:clientData/>
  </xdr:twoCellAnchor>
  <xdr:twoCellAnchor editAs="oneCell">
    <xdr:from>
      <xdr:col>12</xdr:col>
      <xdr:colOff>0</xdr:colOff>
      <xdr:row>30</xdr:row>
      <xdr:rowOff>0</xdr:rowOff>
    </xdr:from>
    <xdr:to>
      <xdr:col>23</xdr:col>
      <xdr:colOff>227628</xdr:colOff>
      <xdr:row>60</xdr:row>
      <xdr:rowOff>123167</xdr:rowOff>
    </xdr:to>
    <xdr:pic>
      <xdr:nvPicPr>
        <xdr:cNvPr id="13" name="图片 12">
          <a:extLst>
            <a:ext uri="{FF2B5EF4-FFF2-40B4-BE49-F238E27FC236}">
              <a16:creationId xmlns:a16="http://schemas.microsoft.com/office/drawing/2014/main" xmlns="" id="{BDCDDA90-4160-EFC5-3616-805CAAA3CAAD}"/>
            </a:ext>
          </a:extLst>
        </xdr:cNvPr>
        <xdr:cNvPicPr>
          <a:picLocks noChangeAspect="1"/>
        </xdr:cNvPicPr>
      </xdr:nvPicPr>
      <xdr:blipFill>
        <a:blip xmlns:r="http://schemas.openxmlformats.org/officeDocument/2006/relationships" r:embed="rId12"/>
        <a:stretch>
          <a:fillRect/>
        </a:stretch>
      </xdr:blipFill>
      <xdr:spPr>
        <a:xfrm>
          <a:off x="8229600" y="5143500"/>
          <a:ext cx="7771428" cy="5266667"/>
        </a:xfrm>
        <a:prstGeom prst="rect">
          <a:avLst/>
        </a:prstGeom>
      </xdr:spPr>
    </xdr:pic>
    <xdr:clientData/>
  </xdr:twoCellAnchor>
  <xdr:twoCellAnchor editAs="oneCell">
    <xdr:from>
      <xdr:col>12</xdr:col>
      <xdr:colOff>0</xdr:colOff>
      <xdr:row>61</xdr:row>
      <xdr:rowOff>0</xdr:rowOff>
    </xdr:from>
    <xdr:to>
      <xdr:col>23</xdr:col>
      <xdr:colOff>237152</xdr:colOff>
      <xdr:row>92</xdr:row>
      <xdr:rowOff>8859</xdr:rowOff>
    </xdr:to>
    <xdr:pic>
      <xdr:nvPicPr>
        <xdr:cNvPr id="14" name="图片 13">
          <a:extLst>
            <a:ext uri="{FF2B5EF4-FFF2-40B4-BE49-F238E27FC236}">
              <a16:creationId xmlns:a16="http://schemas.microsoft.com/office/drawing/2014/main" xmlns="" id="{DD7739F6-2D3F-1F39-E770-509BD80B01AA}"/>
            </a:ext>
          </a:extLst>
        </xdr:cNvPr>
        <xdr:cNvPicPr>
          <a:picLocks noChangeAspect="1"/>
        </xdr:cNvPicPr>
      </xdr:nvPicPr>
      <xdr:blipFill>
        <a:blip xmlns:r="http://schemas.openxmlformats.org/officeDocument/2006/relationships" r:embed="rId13"/>
        <a:stretch>
          <a:fillRect/>
        </a:stretch>
      </xdr:blipFill>
      <xdr:spPr>
        <a:xfrm>
          <a:off x="8229600" y="10458450"/>
          <a:ext cx="7780952" cy="5323809"/>
        </a:xfrm>
        <a:prstGeom prst="rect">
          <a:avLst/>
        </a:prstGeom>
      </xdr:spPr>
    </xdr:pic>
    <xdr:clientData/>
  </xdr:twoCellAnchor>
  <xdr:twoCellAnchor editAs="oneCell">
    <xdr:from>
      <xdr:col>12</xdr:col>
      <xdr:colOff>0</xdr:colOff>
      <xdr:row>92</xdr:row>
      <xdr:rowOff>0</xdr:rowOff>
    </xdr:from>
    <xdr:to>
      <xdr:col>23</xdr:col>
      <xdr:colOff>208581</xdr:colOff>
      <xdr:row>123</xdr:row>
      <xdr:rowOff>66002</xdr:rowOff>
    </xdr:to>
    <xdr:pic>
      <xdr:nvPicPr>
        <xdr:cNvPr id="15" name="图片 14">
          <a:extLst>
            <a:ext uri="{FF2B5EF4-FFF2-40B4-BE49-F238E27FC236}">
              <a16:creationId xmlns:a16="http://schemas.microsoft.com/office/drawing/2014/main" xmlns="" id="{DFCC3DEA-A221-949C-51D0-7A39E1D29EFF}"/>
            </a:ext>
          </a:extLst>
        </xdr:cNvPr>
        <xdr:cNvPicPr>
          <a:picLocks noChangeAspect="1"/>
        </xdr:cNvPicPr>
      </xdr:nvPicPr>
      <xdr:blipFill>
        <a:blip xmlns:r="http://schemas.openxmlformats.org/officeDocument/2006/relationships" r:embed="rId14"/>
        <a:stretch>
          <a:fillRect/>
        </a:stretch>
      </xdr:blipFill>
      <xdr:spPr>
        <a:xfrm>
          <a:off x="8229600" y="15773400"/>
          <a:ext cx="7752381" cy="5380952"/>
        </a:xfrm>
        <a:prstGeom prst="rect">
          <a:avLst/>
        </a:prstGeom>
      </xdr:spPr>
    </xdr:pic>
    <xdr:clientData/>
  </xdr:twoCellAnchor>
  <xdr:twoCellAnchor editAs="oneCell">
    <xdr:from>
      <xdr:col>12</xdr:col>
      <xdr:colOff>0</xdr:colOff>
      <xdr:row>124</xdr:row>
      <xdr:rowOff>0</xdr:rowOff>
    </xdr:from>
    <xdr:to>
      <xdr:col>23</xdr:col>
      <xdr:colOff>303819</xdr:colOff>
      <xdr:row>154</xdr:row>
      <xdr:rowOff>170786</xdr:rowOff>
    </xdr:to>
    <xdr:pic>
      <xdr:nvPicPr>
        <xdr:cNvPr id="16" name="图片 15">
          <a:extLst>
            <a:ext uri="{FF2B5EF4-FFF2-40B4-BE49-F238E27FC236}">
              <a16:creationId xmlns:a16="http://schemas.microsoft.com/office/drawing/2014/main" xmlns="" id="{C98A618B-4525-538F-F15C-A4E610A7556C}"/>
            </a:ext>
          </a:extLst>
        </xdr:cNvPr>
        <xdr:cNvPicPr>
          <a:picLocks noChangeAspect="1"/>
        </xdr:cNvPicPr>
      </xdr:nvPicPr>
      <xdr:blipFill>
        <a:blip xmlns:r="http://schemas.openxmlformats.org/officeDocument/2006/relationships" r:embed="rId15"/>
        <a:stretch>
          <a:fillRect/>
        </a:stretch>
      </xdr:blipFill>
      <xdr:spPr>
        <a:xfrm>
          <a:off x="8229600" y="21259800"/>
          <a:ext cx="7847619"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122867</xdr:colOff>
      <xdr:row>30</xdr:row>
      <xdr:rowOff>37452</xdr:rowOff>
    </xdr:to>
    <xdr:pic>
      <xdr:nvPicPr>
        <xdr:cNvPr id="2" name="图片 1">
          <a:extLst>
            <a:ext uri="{FF2B5EF4-FFF2-40B4-BE49-F238E27FC236}">
              <a16:creationId xmlns:a16="http://schemas.microsoft.com/office/drawing/2014/main" xmlns="" id="{E71B0DE0-5542-BBEC-0098-E3E767FED91A}"/>
            </a:ext>
          </a:extLst>
        </xdr:cNvPr>
        <xdr:cNvPicPr>
          <a:picLocks noChangeAspect="1"/>
        </xdr:cNvPicPr>
      </xdr:nvPicPr>
      <xdr:blipFill>
        <a:blip xmlns:r="http://schemas.openxmlformats.org/officeDocument/2006/relationships" r:embed="rId1"/>
        <a:stretch>
          <a:fillRect/>
        </a:stretch>
      </xdr:blipFill>
      <xdr:spPr>
        <a:xfrm>
          <a:off x="0" y="0"/>
          <a:ext cx="7666667" cy="5180952"/>
        </a:xfrm>
        <a:prstGeom prst="rect">
          <a:avLst/>
        </a:prstGeom>
      </xdr:spPr>
    </xdr:pic>
    <xdr:clientData/>
  </xdr:twoCellAnchor>
  <xdr:twoCellAnchor editAs="oneCell">
    <xdr:from>
      <xdr:col>0</xdr:col>
      <xdr:colOff>0</xdr:colOff>
      <xdr:row>30</xdr:row>
      <xdr:rowOff>0</xdr:rowOff>
    </xdr:from>
    <xdr:to>
      <xdr:col>11</xdr:col>
      <xdr:colOff>237152</xdr:colOff>
      <xdr:row>60</xdr:row>
      <xdr:rowOff>123167</xdr:rowOff>
    </xdr:to>
    <xdr:pic>
      <xdr:nvPicPr>
        <xdr:cNvPr id="3" name="图片 2">
          <a:extLst>
            <a:ext uri="{FF2B5EF4-FFF2-40B4-BE49-F238E27FC236}">
              <a16:creationId xmlns:a16="http://schemas.microsoft.com/office/drawing/2014/main" xmlns="" id="{CAAA0F1E-70AF-EBA0-6A57-2066BB057652}"/>
            </a:ext>
          </a:extLst>
        </xdr:cNvPr>
        <xdr:cNvPicPr>
          <a:picLocks noChangeAspect="1"/>
        </xdr:cNvPicPr>
      </xdr:nvPicPr>
      <xdr:blipFill>
        <a:blip xmlns:r="http://schemas.openxmlformats.org/officeDocument/2006/relationships" r:embed="rId2"/>
        <a:stretch>
          <a:fillRect/>
        </a:stretch>
      </xdr:blipFill>
      <xdr:spPr>
        <a:xfrm>
          <a:off x="0" y="5143500"/>
          <a:ext cx="7780952" cy="5266667"/>
        </a:xfrm>
        <a:prstGeom prst="rect">
          <a:avLst/>
        </a:prstGeom>
      </xdr:spPr>
    </xdr:pic>
    <xdr:clientData/>
  </xdr:twoCellAnchor>
  <xdr:twoCellAnchor editAs="oneCell">
    <xdr:from>
      <xdr:col>0</xdr:col>
      <xdr:colOff>0</xdr:colOff>
      <xdr:row>61</xdr:row>
      <xdr:rowOff>0</xdr:rowOff>
    </xdr:from>
    <xdr:to>
      <xdr:col>11</xdr:col>
      <xdr:colOff>227628</xdr:colOff>
      <xdr:row>92</xdr:row>
      <xdr:rowOff>27907</xdr:rowOff>
    </xdr:to>
    <xdr:pic>
      <xdr:nvPicPr>
        <xdr:cNvPr id="4" name="图片 3">
          <a:extLst>
            <a:ext uri="{FF2B5EF4-FFF2-40B4-BE49-F238E27FC236}">
              <a16:creationId xmlns:a16="http://schemas.microsoft.com/office/drawing/2014/main" xmlns="" id="{76C4C55F-1779-D947-FADD-CA776487B6AE}"/>
            </a:ext>
          </a:extLst>
        </xdr:cNvPr>
        <xdr:cNvPicPr>
          <a:picLocks noChangeAspect="1"/>
        </xdr:cNvPicPr>
      </xdr:nvPicPr>
      <xdr:blipFill>
        <a:blip xmlns:r="http://schemas.openxmlformats.org/officeDocument/2006/relationships" r:embed="rId3"/>
        <a:stretch>
          <a:fillRect/>
        </a:stretch>
      </xdr:blipFill>
      <xdr:spPr>
        <a:xfrm>
          <a:off x="0" y="10458450"/>
          <a:ext cx="7771428" cy="5342857"/>
        </a:xfrm>
        <a:prstGeom prst="rect">
          <a:avLst/>
        </a:prstGeom>
      </xdr:spPr>
    </xdr:pic>
    <xdr:clientData/>
  </xdr:twoCellAnchor>
  <xdr:twoCellAnchor editAs="oneCell">
    <xdr:from>
      <xdr:col>0</xdr:col>
      <xdr:colOff>0</xdr:colOff>
      <xdr:row>92</xdr:row>
      <xdr:rowOff>0</xdr:rowOff>
    </xdr:from>
    <xdr:to>
      <xdr:col>11</xdr:col>
      <xdr:colOff>94295</xdr:colOff>
      <xdr:row>122</xdr:row>
      <xdr:rowOff>142214</xdr:rowOff>
    </xdr:to>
    <xdr:pic>
      <xdr:nvPicPr>
        <xdr:cNvPr id="5" name="图片 4">
          <a:extLst>
            <a:ext uri="{FF2B5EF4-FFF2-40B4-BE49-F238E27FC236}">
              <a16:creationId xmlns:a16="http://schemas.microsoft.com/office/drawing/2014/main" xmlns="" id="{ACD20CCF-FF7D-7466-51F5-74D41E69FE1D}"/>
            </a:ext>
          </a:extLst>
        </xdr:cNvPr>
        <xdr:cNvPicPr>
          <a:picLocks noChangeAspect="1"/>
        </xdr:cNvPicPr>
      </xdr:nvPicPr>
      <xdr:blipFill>
        <a:blip xmlns:r="http://schemas.openxmlformats.org/officeDocument/2006/relationships" r:embed="rId4"/>
        <a:stretch>
          <a:fillRect/>
        </a:stretch>
      </xdr:blipFill>
      <xdr:spPr>
        <a:xfrm>
          <a:off x="0" y="15773400"/>
          <a:ext cx="7638095" cy="5285714"/>
        </a:xfrm>
        <a:prstGeom prst="rect">
          <a:avLst/>
        </a:prstGeom>
      </xdr:spPr>
    </xdr:pic>
    <xdr:clientData/>
  </xdr:twoCellAnchor>
  <xdr:twoCellAnchor editAs="oneCell">
    <xdr:from>
      <xdr:col>0</xdr:col>
      <xdr:colOff>0</xdr:colOff>
      <xdr:row>123</xdr:row>
      <xdr:rowOff>0</xdr:rowOff>
    </xdr:from>
    <xdr:to>
      <xdr:col>10</xdr:col>
      <xdr:colOff>608667</xdr:colOff>
      <xdr:row>153</xdr:row>
      <xdr:rowOff>8881</xdr:rowOff>
    </xdr:to>
    <xdr:pic>
      <xdr:nvPicPr>
        <xdr:cNvPr id="6" name="图片 5">
          <a:extLst>
            <a:ext uri="{FF2B5EF4-FFF2-40B4-BE49-F238E27FC236}">
              <a16:creationId xmlns:a16="http://schemas.microsoft.com/office/drawing/2014/main" xmlns="" id="{00C7D7CA-81E8-9446-CF84-5E35FEA9FFD0}"/>
            </a:ext>
          </a:extLst>
        </xdr:cNvPr>
        <xdr:cNvPicPr>
          <a:picLocks noChangeAspect="1"/>
        </xdr:cNvPicPr>
      </xdr:nvPicPr>
      <xdr:blipFill>
        <a:blip xmlns:r="http://schemas.openxmlformats.org/officeDocument/2006/relationships" r:embed="rId5"/>
        <a:stretch>
          <a:fillRect/>
        </a:stretch>
      </xdr:blipFill>
      <xdr:spPr>
        <a:xfrm>
          <a:off x="0" y="21088350"/>
          <a:ext cx="7466667"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60/7Z8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125" style="2341" customWidth="1"/>
    <col min="3" max="18" width="9" style="2334"/>
    <col min="19" max="19" width="17.875" style="2334" customWidth="1"/>
    <col min="20" max="51" width="9" style="2334"/>
    <col min="52" max="52" width="13.1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2371</v>
      </c>
      <c r="B1" s="2345" t="s">
        <v>2468</v>
      </c>
    </row>
    <row r="2" spans="1:55" s="2349" customFormat="1" ht="15" thickTop="1">
      <c r="A2" s="2347" t="s">
        <v>2375</v>
      </c>
      <c r="B2" s="2348" t="str">
        <f>'预评函-封皮'!B37</f>
        <v>河南省开封市龙亭区二十二大街东侧、规划四路北侧YLXB03-03（2号）地块一宗商服用地、城镇住宅用地出让国有建设用地使用权抵押价格预评估</v>
      </c>
      <c r="AX2" s="2350"/>
      <c r="AZ2" s="2350"/>
      <c r="BA2" s="2351"/>
      <c r="BC2" s="2351"/>
    </row>
    <row r="3" spans="1:55">
      <c r="A3" s="2335" t="s">
        <v>2376</v>
      </c>
      <c r="B3" s="2336" t="str">
        <f>'预评函-封皮'!B40</f>
        <v>国民信托有限公司</v>
      </c>
    </row>
    <row r="4" spans="1:55" s="2337" customFormat="1">
      <c r="A4" s="2335" t="s">
        <v>2377</v>
      </c>
      <c r="B4" s="2336" t="str">
        <f>'预评函-封皮'!B46</f>
        <v>土地估价师、土地估价师</v>
      </c>
      <c r="N4" s="2337" t="str">
        <f>'预评函-1'!A28</f>
        <v>本次估价的“抵押净值”是指估价对象“抵押价格”减去估价对象在估价期日以“土地销售收入”为基数计算的预计抵押权实现进行处置时需缴纳的各项费用、税金等相关费用后的价格。</v>
      </c>
    </row>
    <row r="5" spans="1:55" s="2346" customFormat="1" ht="15" thickBot="1">
      <c r="A5" s="2352" t="s">
        <v>2378</v>
      </c>
      <c r="B5" s="2353" t="str">
        <f>'预评函-封皮'!B49</f>
        <v>康正预评字号</v>
      </c>
    </row>
    <row r="6" spans="1:55" s="2354" customFormat="1" ht="15" thickTop="1">
      <c r="A6" s="2347" t="s">
        <v>2420</v>
      </c>
      <c r="B6" s="2348" t="str">
        <f>'预评函-1'!A4</f>
        <v>受贵公司委托，我公司对河南省开封市龙亭区二十二大街东侧、规划四路北侧YLXB03-03（2号）地块一宗商服用地、城镇住宅用地出让国有建设用地使用权抵押价格进行了预评估。</v>
      </c>
      <c r="AM6" s="2355"/>
    </row>
    <row r="7" spans="1:55">
      <c r="A7" s="2335" t="s">
        <v>2372</v>
      </c>
      <c r="B7" s="2336" t="str">
        <f>'预评函-1'!A6</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8" spans="1:55">
      <c r="A8" s="2335" t="s">
        <v>2373</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2423</v>
      </c>
      <c r="B9" s="2336" t="str">
        <f>'预评函-1'!A9</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335" t="s">
        <v>2374</v>
      </c>
      <c r="B10" s="2336" t="str">
        <f>'预评函-1'!A11</f>
        <v>2022年11月30日（评估专业人员勘察现场之日）</v>
      </c>
    </row>
    <row r="11" spans="1:55">
      <c r="A11" s="2335" t="s">
        <v>2380</v>
      </c>
      <c r="B11" s="2336" t="str">
        <f>'预评函-1'!A14</f>
        <v>根据《国有土地使用证》[]，本次评估估价对象证载（地类）用途为商服用地、城镇住宅用地。</v>
      </c>
    </row>
    <row r="12" spans="1:55">
      <c r="A12" s="2335" t="s">
        <v>2381</v>
      </c>
      <c r="B12" s="2336" t="str">
        <f>'预评函-1'!A15</f>
        <v>本次评估设定用途即为证载用途商服用地、城镇住宅用地。</v>
      </c>
    </row>
    <row r="13" spans="1:55">
      <c r="A13" s="2335" t="s">
        <v>2382</v>
      </c>
      <c r="B13" s="2336"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335" t="s">
        <v>2383</v>
      </c>
      <c r="B14" s="2336" t="str">
        <f>'预评函-1'!A18</f>
        <v>本次评估设定土地开发程度为红线外市政基础设施达“七通”、宗地红线内场地平整。</v>
      </c>
    </row>
    <row r="15" spans="1:55">
      <c r="A15" s="2335" t="s">
        <v>2379</v>
      </c>
      <c r="B15" s="2336" t="str">
        <f>'预评函-1'!A20</f>
        <v>根据《国有土地使用证》[]，估价对象（分摊）出让国有建设用地使用权面积为53757.04平方米。根据《建设工程规划许可证》[]、《出让合同》[]，估价对象规划建筑面积为139768.3平方米。</v>
      </c>
    </row>
    <row r="16" spans="1:55">
      <c r="A16" s="2335" t="s">
        <v>2384</v>
      </c>
      <c r="B16" s="2336" t="str">
        <f>'预评函-1'!A22</f>
        <v>本次估价对象为出让国有建设用地使用权，《国有土地使用证》[]证载土地终止日期为住宅2089年10月28日、商业2059年10月28日、办公2069年10月28日、地下车库2069年10月28日。截至估价期日，出让国有建设用地使用权剩余土地使用年限为。</v>
      </c>
    </row>
    <row r="17" spans="1:48">
      <c r="A17" s="2335" t="s">
        <v>2385</v>
      </c>
      <c r="B17" s="2336" t="str">
        <f>'预评函-1'!A23</f>
        <v>本次评估设定估价对象剩余土地使用年限为。</v>
      </c>
    </row>
    <row r="18" spans="1:48">
      <c r="A18" s="2335" t="s">
        <v>2386</v>
      </c>
      <c r="B18" s="2336"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19" spans="1:48">
      <c r="A19" s="2335" t="s">
        <v>2387</v>
      </c>
      <c r="B19" s="2336" t="str">
        <f>'预评函-1'!A26</f>
        <v>本次估价的“抵押价格”是指估价对象在估价期日的“出让国有建设用地使用权价格”扣减估价师于估价期日所知悉的法定优先受偿款后的余额。</v>
      </c>
    </row>
    <row r="20" spans="1:48">
      <c r="A20" s="2335" t="s">
        <v>2388</v>
      </c>
      <c r="B20" s="23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46" customFormat="1" ht="15" thickBot="1">
      <c r="A21" s="2352" t="s">
        <v>2389</v>
      </c>
      <c r="B21" s="23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42" t="s">
        <v>2390</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2391</v>
      </c>
      <c r="B23" s="2336" t="str">
        <f>'预评函-2'!K2</f>
        <v>估价期日：2022年11月30日</v>
      </c>
    </row>
    <row r="24" spans="1:48">
      <c r="A24" s="2335" t="s">
        <v>2392</v>
      </c>
      <c r="B24" s="2336" t="str">
        <f>'预评函-2'!R2</f>
        <v>估价期日的国有建设用地使用权性质：出让</v>
      </c>
    </row>
    <row r="25" spans="1:48">
      <c r="A25" s="2335" t="s">
        <v>2448</v>
      </c>
      <c r="B25" s="2336" t="str">
        <f>'预评函-2'!A3</f>
        <v>估价期日土地使用者</v>
      </c>
    </row>
    <row r="26" spans="1:48">
      <c r="A26" s="2335" t="s">
        <v>2424</v>
      </c>
      <c r="B26" s="2336" t="str">
        <f>'预评函-2'!A5</f>
        <v>中信开发</v>
      </c>
    </row>
    <row r="27" spans="1:48">
      <c r="A27" s="2335" t="s">
        <v>2449</v>
      </c>
      <c r="B27" s="2336" t="str">
        <f>'预评函-2'!B3</f>
        <v>宗地编号/不动产单元号</v>
      </c>
    </row>
    <row r="28" spans="1:48">
      <c r="A28" s="2335" t="s">
        <v>2425</v>
      </c>
      <c r="B28" s="2336" t="str">
        <f>'预评函-2'!B5</f>
        <v>11111111111</v>
      </c>
    </row>
    <row r="29" spans="1:48">
      <c r="A29" s="2335" t="s">
        <v>2451</v>
      </c>
      <c r="B29" s="2336">
        <f>'预评函-2'!C5</f>
        <v>22</v>
      </c>
    </row>
    <row r="30" spans="1:48">
      <c r="A30" s="2335" t="s">
        <v>2452</v>
      </c>
      <c r="B30" s="2336" t="str">
        <f>'预评函-2'!D3</f>
        <v>土地使用证编号/不动产权证书编号</v>
      </c>
    </row>
    <row r="31" spans="1:48">
      <c r="A31" s="2335" t="s">
        <v>2426</v>
      </c>
      <c r="B31" s="2336" t="str">
        <f>'预评函-2'!D5</f>
        <v>京国土字第111号</v>
      </c>
    </row>
    <row r="32" spans="1:48">
      <c r="A32" s="2335" t="s">
        <v>2427</v>
      </c>
      <c r="B32" s="2336" t="str">
        <f>'预评函-2'!E5</f>
        <v>商服用地、城镇住宅用地</v>
      </c>
      <c r="AV32" s="2338"/>
    </row>
    <row r="33" spans="1:2">
      <c r="A33" s="2335" t="s">
        <v>2428</v>
      </c>
      <c r="B33" s="2336">
        <f>'预评函-2'!F5</f>
        <v>258</v>
      </c>
    </row>
    <row r="34" spans="1:2">
      <c r="A34" s="2335" t="s">
        <v>2429</v>
      </c>
      <c r="B34" s="2336" t="str">
        <f>'预评函-2'!G5</f>
        <v>商服用地、城镇住宅用地</v>
      </c>
    </row>
    <row r="35" spans="1:2">
      <c r="A35" s="2335" t="s">
        <v>2430</v>
      </c>
      <c r="B35" s="2336">
        <f>'预评函-2'!H5</f>
        <v>1.5</v>
      </c>
    </row>
    <row r="36" spans="1:2">
      <c r="A36" s="2335" t="s">
        <v>2431</v>
      </c>
      <c r="B36" s="2336">
        <f>'预评函-2'!I5</f>
        <v>1.5</v>
      </c>
    </row>
    <row r="37" spans="1:2">
      <c r="A37" s="2335" t="s">
        <v>2432</v>
      </c>
      <c r="B37" s="2336">
        <f>'预评函-2'!J5</f>
        <v>1.5</v>
      </c>
    </row>
    <row r="38" spans="1:2">
      <c r="A38" s="2335" t="s">
        <v>2433</v>
      </c>
      <c r="B38" s="2336" t="str">
        <f>'预评函-2'!K5</f>
        <v>红线外七通、宗地红线内场地平整</v>
      </c>
    </row>
    <row r="39" spans="1:2">
      <c r="A39" s="2335" t="s">
        <v>2434</v>
      </c>
      <c r="B39" s="2336" t="str">
        <f>'预评函-2'!L5</f>
        <v>红线外七通、宗地红线内场地平整</v>
      </c>
    </row>
    <row r="40" spans="1:2">
      <c r="A40" s="2335" t="s">
        <v>2453</v>
      </c>
      <c r="B40" s="2336" t="str">
        <f>'预评函-2'!M3</f>
        <v>（剩余）土地使用年限/年</v>
      </c>
    </row>
    <row r="41" spans="1:2">
      <c r="A41" s="2335" t="s">
        <v>2435</v>
      </c>
      <c r="B41" s="2336">
        <f>'预评函-2'!M5</f>
        <v>0</v>
      </c>
    </row>
    <row r="42" spans="1:2">
      <c r="A42" s="2335" t="s">
        <v>2454</v>
      </c>
      <c r="B42" s="2336" t="str">
        <f>'预评函-2'!N3</f>
        <v>（分摊）出让国有建设用地使用权面积/㎡</v>
      </c>
    </row>
    <row r="43" spans="1:2">
      <c r="A43" s="2335" t="s">
        <v>2436</v>
      </c>
      <c r="B43" s="2336">
        <f>'预评函-2'!N5</f>
        <v>53757.04</v>
      </c>
    </row>
    <row r="44" spans="1:2">
      <c r="A44" s="2335" t="s">
        <v>2455</v>
      </c>
      <c r="B44" s="2336" t="str">
        <f>'预评函-2'!O3</f>
        <v>规划建筑面积/㎡</v>
      </c>
    </row>
    <row r="45" spans="1:2">
      <c r="A45" s="2335" t="s">
        <v>2437</v>
      </c>
      <c r="B45" s="2336">
        <f>'预评函-2'!O5</f>
        <v>139768.29999999999</v>
      </c>
    </row>
    <row r="46" spans="1:2">
      <c r="A46" s="2335" t="s">
        <v>2438</v>
      </c>
      <c r="B46" s="2336">
        <f ca="1">'预评函-2'!P5</f>
        <v>6042</v>
      </c>
    </row>
    <row r="47" spans="1:2">
      <c r="A47" s="2335" t="s">
        <v>2439</v>
      </c>
      <c r="B47" s="2336">
        <f ca="1">'预评函-2'!Q5</f>
        <v>2324</v>
      </c>
    </row>
    <row r="48" spans="1:2">
      <c r="A48" s="2335" t="s">
        <v>2440</v>
      </c>
      <c r="B48" s="2336">
        <f ca="1">'预评函-2'!R5</f>
        <v>32481</v>
      </c>
    </row>
    <row r="49" spans="1:2">
      <c r="A49" s="2335" t="s">
        <v>2456</v>
      </c>
      <c r="B49" s="2336" t="str">
        <f>'预评函-2'!A6</f>
        <v>抵押价格</v>
      </c>
    </row>
    <row r="50" spans="1:2">
      <c r="A50" s="2335" t="s">
        <v>2441</v>
      </c>
      <c r="B50" s="2336">
        <f ca="1">'预评函-2'!R6</f>
        <v>32481</v>
      </c>
    </row>
    <row r="51" spans="1:2">
      <c r="A51" s="2335" t="s">
        <v>2457</v>
      </c>
      <c r="B51" s="2336" t="str">
        <f>'预评函-2'!A7</f>
        <v>——</v>
      </c>
    </row>
    <row r="52" spans="1:2">
      <c r="A52" s="2335" t="s">
        <v>2442</v>
      </c>
      <c r="B52" s="2336" t="str">
        <f>'预评函-2'!R7</f>
        <v>——</v>
      </c>
    </row>
    <row r="53" spans="1:2">
      <c r="A53" s="2335" t="s">
        <v>2458</v>
      </c>
      <c r="B53" s="2336">
        <f>'预评函-2'!A8</f>
        <v>0</v>
      </c>
    </row>
    <row r="54" spans="1:2" s="2346" customFormat="1" ht="15" thickBot="1">
      <c r="A54" s="2352" t="s">
        <v>2443</v>
      </c>
      <c r="B54" s="2353" t="str">
        <f>'预评函-2'!R8</f>
        <v>——</v>
      </c>
    </row>
    <row r="55" spans="1:2" ht="15" thickTop="1">
      <c r="A55" s="2342" t="s">
        <v>2393</v>
      </c>
      <c r="B55" s="2343" t="str">
        <f>'预评函-3'!A2</f>
        <v>1.权利限制：根据估价对象《不动产权证书》原件、《国有土地使用权》复印件，截至估价期日，估价对象抵押权未见登记。未设定租赁等其他他项权利。</v>
      </c>
    </row>
    <row r="56" spans="1:2">
      <c r="A56" s="2335" t="s">
        <v>2394</v>
      </c>
      <c r="B56" s="2336" t="str">
        <f>'预评函-3'!A3</f>
        <v>2.基础设施条件：估价对象实际开发程度为红线外七通、宗地红线内场地平整；本次评估设定开发程度为红线外七通、宗地红线内场地平整。</v>
      </c>
    </row>
    <row r="57" spans="1:2">
      <c r="A57" s="2335" t="s">
        <v>2395</v>
      </c>
      <c r="B57" s="2336" t="str">
        <f>'预评函-3'!A4</f>
        <v>3.估价规划限制条件：详见《建设工程规划许可证》[]、《出让合同》[]。</v>
      </c>
    </row>
    <row r="58" spans="1:2" s="2346" customFormat="1" ht="15" thickBot="1">
      <c r="A58" s="2352" t="s">
        <v>2444</v>
      </c>
      <c r="B58" s="2353" t="str">
        <f>'预评函-3'!A5</f>
        <v>4.影响价格的其他限定条件：无。</v>
      </c>
    </row>
    <row r="59" spans="1:2" ht="15" thickTop="1">
      <c r="A59" s="2342" t="s">
        <v>2396</v>
      </c>
      <c r="B59" s="2343" t="str">
        <f>'预评函-3'!A8</f>
        <v>2.本《评估意见函》仅供金融机构进行内部审核使用，不做其他目的之用。</v>
      </c>
    </row>
    <row r="60" spans="1:2">
      <c r="A60" s="2335" t="s">
        <v>2397</v>
      </c>
      <c r="B60" s="2336" t="str">
        <f>'预评函-3'!A9</f>
        <v>3.抵押双方在办理抵押登记手续时，应使用本公司出具的正式《土地估价报告》，特提请报告使用者注意。</v>
      </c>
    </row>
    <row r="61" spans="1:2">
      <c r="A61" s="2335" t="s">
        <v>2399</v>
      </c>
      <c r="B61" s="2336" t="str">
        <f>'预评函-3'!A10</f>
        <v>4.估价师所知悉的法定优先受偿款情况为：</v>
      </c>
    </row>
    <row r="62" spans="1:2">
      <c r="A62" s="2335" t="s">
        <v>2398</v>
      </c>
      <c r="B62" s="23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35" t="s">
        <v>2400</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2401</v>
      </c>
      <c r="B64" s="2339" t="str">
        <f>'预评函-3'!A13</f>
        <v>（3）。</v>
      </c>
    </row>
    <row r="65" spans="1:2">
      <c r="A65" s="2335" t="s">
        <v>2402</v>
      </c>
      <c r="B65" s="2336" t="str">
        <f>'预评函-3'!A14</f>
        <v>综上，本次评估不存在估价师知悉的法定优先受偿款</v>
      </c>
    </row>
    <row r="66" spans="1:2">
      <c r="A66" s="2335" t="s">
        <v>2403</v>
      </c>
      <c r="B66" s="23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2404</v>
      </c>
      <c r="B67" s="23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2407</v>
      </c>
      <c r="B68" s="2356">
        <f>'预评函-3'!D30</f>
        <v>42558</v>
      </c>
    </row>
    <row r="69" spans="1:2" ht="15" thickTop="1">
      <c r="A69" s="2342" t="s">
        <v>2405</v>
      </c>
      <c r="B69" s="2343" t="str">
        <f>'预评函-3'!A20</f>
        <v>土地估价师</v>
      </c>
    </row>
    <row r="70" spans="1:2">
      <c r="A70" s="2335" t="s">
        <v>2405</v>
      </c>
      <c r="B70" s="2336">
        <f>'预评函-3'!B20</f>
        <v>0</v>
      </c>
    </row>
    <row r="71" spans="1:2">
      <c r="A71" s="2335" t="s">
        <v>2406</v>
      </c>
      <c r="B71" s="2336" t="str">
        <f>'预评函-3'!A21</f>
        <v>土地估价师</v>
      </c>
    </row>
    <row r="72" spans="1:2" s="2346" customFormat="1" ht="15" thickBot="1">
      <c r="A72" s="2352" t="s">
        <v>2406</v>
      </c>
      <c r="B72" s="2353">
        <f>'预评函-3'!B21</f>
        <v>0</v>
      </c>
    </row>
    <row r="73" spans="1:2" ht="15" thickTop="1">
      <c r="A73" s="2342" t="s">
        <v>2465</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2466</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2467</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2501</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7" sqref="B7"/>
    </sheetView>
  </sheetViews>
  <sheetFormatPr defaultColWidth="10" defaultRowHeight="14.25"/>
  <cols>
    <col min="1" max="1" width="15.375" style="1479" customWidth="1"/>
    <col min="2" max="2" width="13.5" style="1479" customWidth="1"/>
    <col min="3" max="3" width="12.625" style="1479" customWidth="1"/>
    <col min="4" max="4" width="14.1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1728</v>
      </c>
      <c r="B1" s="3254" t="str">
        <f>IF(B10="北京市","北京市",C10)&amp;F10&amp;B16&amp;"国有建设用地使用权"&amp;B9&amp;"预评估"</f>
        <v>河南省开封市龙亭区二十二大街东侧、规划四路北侧YLXB03-03（2号）地块一宗商服用地、城镇住宅用地出让国有建设用地使用权抵押价格预评估</v>
      </c>
      <c r="C1" s="3255"/>
      <c r="D1" s="3255"/>
      <c r="E1" s="3255"/>
      <c r="F1" s="3255"/>
      <c r="G1" s="3255"/>
      <c r="H1" s="3255"/>
      <c r="I1" s="3256"/>
      <c r="J1" s="2761"/>
      <c r="K1" s="2122" t="str">
        <f>IF(B10="北京市","北京市",C10)&amp;F10&amp;B16&amp;"国有建设用地使用权"&amp;B9</f>
        <v>河南省开封市龙亭区二十二大街东侧、规划四路北侧YLXB03-03（2号）地块一宗商服用地、城镇住宅用地出让国有建设用地使用权抵押价格</v>
      </c>
      <c r="L1" s="2742"/>
      <c r="M1" s="2742"/>
      <c r="N1" s="2743"/>
      <c r="O1" s="2744"/>
      <c r="P1" s="2743"/>
      <c r="Q1" s="2743"/>
      <c r="R1" s="2743"/>
      <c r="S1" s="2743"/>
      <c r="T1" s="2743"/>
      <c r="U1" s="2743"/>
    </row>
    <row r="2" spans="1:21">
      <c r="A2" s="1453" t="s">
        <v>1729</v>
      </c>
      <c r="B2" s="1612"/>
      <c r="D2" s="2761"/>
      <c r="E2" s="2761"/>
      <c r="F2" s="2761"/>
      <c r="G2" s="2761"/>
      <c r="H2" s="2761"/>
      <c r="I2" s="2762"/>
      <c r="J2" s="2761"/>
      <c r="K2" s="2122" t="str">
        <f>IF(B10="北京市","北京市",C10)&amp;F10&amp;B16&amp;"国有建设用地使用权"</f>
        <v>河南省开封市龙亭区二十二大街东侧、规划四路北侧YLXB03-03（2号）地块一宗商服用地、城镇住宅用地出让国有建设用地使用权</v>
      </c>
      <c r="L2" s="2742"/>
      <c r="M2" s="2742"/>
      <c r="N2" s="2743"/>
      <c r="O2" s="2744"/>
      <c r="P2" s="2743"/>
      <c r="Q2" s="2743"/>
      <c r="R2" s="2743"/>
      <c r="S2" s="2743"/>
      <c r="T2" s="2743"/>
      <c r="U2" s="2743"/>
    </row>
    <row r="3" spans="1:21">
      <c r="A3" s="1454" t="s">
        <v>1730</v>
      </c>
      <c r="B3" s="1455">
        <v>44895</v>
      </c>
      <c r="C3" s="2691" t="s">
        <v>1786</v>
      </c>
      <c r="D3" s="1455">
        <f>B3</f>
        <v>44895</v>
      </c>
      <c r="E3" s="2761"/>
      <c r="F3" s="2761"/>
      <c r="G3" s="2761"/>
      <c r="H3" s="2761"/>
      <c r="I3" s="2762"/>
      <c r="J3" s="2761"/>
      <c r="K3" s="2746"/>
      <c r="L3" s="2742"/>
      <c r="M3" s="2742"/>
      <c r="N3" s="2743"/>
      <c r="O3" s="2744"/>
      <c r="P3" s="2743"/>
      <c r="Q3" s="2743"/>
      <c r="R3" s="2743"/>
      <c r="S3" s="2743"/>
      <c r="T3" s="2743"/>
      <c r="U3" s="2743"/>
    </row>
    <row r="4" spans="1:21" ht="15" thickBot="1">
      <c r="A4" s="1457" t="s">
        <v>1731</v>
      </c>
      <c r="B4" s="1613" t="s">
        <v>2599</v>
      </c>
      <c r="C4" s="1616">
        <f>SUMIF(土地估价师,B4,估价师及机构信息!E3:E17)</f>
        <v>0</v>
      </c>
      <c r="D4" s="1613" t="s">
        <v>2599</v>
      </c>
      <c r="E4" s="1616">
        <f>SUMIF(土地估价师,D4,估价师及机构信息!E3:E17)</f>
        <v>0</v>
      </c>
      <c r="F4" s="1613" t="s">
        <v>930</v>
      </c>
      <c r="G4" s="1616">
        <f>SUMIF(土地估价师,F4,估价师及机构信息!E3:E17)</f>
        <v>0</v>
      </c>
      <c r="H4" s="1613" t="s">
        <v>930</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1732</v>
      </c>
      <c r="B5" s="1565" t="s">
        <v>3114</v>
      </c>
      <c r="C5" s="1459"/>
      <c r="D5" s="1460"/>
      <c r="E5" s="2761"/>
      <c r="F5" s="2761"/>
      <c r="G5" s="2761"/>
      <c r="H5" s="2761"/>
      <c r="I5" s="2762"/>
      <c r="J5" s="2761"/>
      <c r="K5" s="2746"/>
      <c r="L5" s="2742"/>
      <c r="M5" s="2742"/>
      <c r="N5" s="2743"/>
      <c r="O5" s="2744"/>
      <c r="P5" s="2743"/>
      <c r="Q5" s="2743"/>
      <c r="R5" s="2743"/>
      <c r="S5" s="2743"/>
      <c r="T5" s="2743"/>
      <c r="U5" s="2743"/>
    </row>
    <row r="6" spans="1:21" ht="26.25">
      <c r="A6" s="1456" t="s">
        <v>2421</v>
      </c>
      <c r="B6" s="1565" t="str">
        <f>B5</f>
        <v>国民信托有限公司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2422</v>
      </c>
      <c r="B7" s="1565" t="s">
        <v>3139</v>
      </c>
      <c r="C7" s="1542"/>
      <c r="D7" s="1461"/>
      <c r="E7" s="2761"/>
      <c r="F7" s="2761"/>
      <c r="G7" s="2761"/>
      <c r="H7" s="2761"/>
      <c r="I7" s="2762"/>
      <c r="J7" s="2761"/>
      <c r="K7" s="2746"/>
      <c r="L7" s="2742"/>
      <c r="M7" s="2742"/>
      <c r="N7" s="2743"/>
      <c r="O7" s="2744"/>
      <c r="P7" s="2743"/>
      <c r="Q7" s="2743"/>
      <c r="R7" s="2743"/>
      <c r="S7" s="2743"/>
      <c r="T7" s="2743"/>
      <c r="U7" s="2743"/>
    </row>
    <row r="8" spans="1:21">
      <c r="A8" s="2692" t="s">
        <v>1733</v>
      </c>
      <c r="B8" s="1463" t="s">
        <v>2684</v>
      </c>
      <c r="C8" s="1464"/>
      <c r="D8" s="3260" t="s">
        <v>1735</v>
      </c>
      <c r="E8" s="1614" t="s">
        <v>3115</v>
      </c>
      <c r="F8" s="1465"/>
      <c r="G8" s="2761"/>
      <c r="H8" s="2761"/>
      <c r="I8" s="2762"/>
      <c r="J8" s="2761"/>
      <c r="K8" s="2746"/>
      <c r="L8" s="2742"/>
      <c r="M8" s="2742"/>
      <c r="N8" s="2743"/>
      <c r="O8" s="2744"/>
      <c r="P8" s="2743"/>
      <c r="Q8" s="2743"/>
      <c r="R8" s="2743"/>
      <c r="S8" s="2743"/>
      <c r="T8" s="2743"/>
      <c r="U8" s="2743"/>
    </row>
    <row r="9" spans="1:21" ht="15" thickBot="1">
      <c r="A9" s="2693" t="s">
        <v>1734</v>
      </c>
      <c r="B9" s="1466" t="s">
        <v>3115</v>
      </c>
      <c r="C9" s="1467"/>
      <c r="D9" s="3261"/>
      <c r="E9" s="1466"/>
      <c r="F9" s="1528"/>
      <c r="G9" s="2764"/>
      <c r="H9" s="2764"/>
      <c r="I9" s="2765"/>
      <c r="J9" s="2761"/>
      <c r="K9" s="2746"/>
      <c r="L9" s="2742"/>
      <c r="M9" s="2742"/>
      <c r="N9" s="2743"/>
      <c r="O9" s="2744"/>
      <c r="P9" s="2743"/>
      <c r="Q9" s="2743"/>
      <c r="R9" s="2743"/>
      <c r="S9" s="2743"/>
      <c r="T9" s="2743"/>
      <c r="U9" s="2743"/>
    </row>
    <row r="10" spans="1:21" ht="15" thickTop="1">
      <c r="A10" s="2694" t="s">
        <v>1790</v>
      </c>
      <c r="B10" s="1504"/>
      <c r="C10" s="1468" t="s">
        <v>3117</v>
      </c>
      <c r="D10" s="1460"/>
      <c r="E10" s="1469" t="s">
        <v>1737</v>
      </c>
      <c r="F10" s="1470" t="s">
        <v>3784</v>
      </c>
      <c r="G10" s="1526"/>
      <c r="H10" s="1527"/>
      <c r="I10" s="1460"/>
      <c r="J10" s="2761"/>
      <c r="K10" s="2746"/>
      <c r="L10" s="2742"/>
      <c r="M10" s="2742"/>
      <c r="N10" s="2743"/>
      <c r="O10" s="2744"/>
      <c r="P10" s="2743"/>
      <c r="Q10" s="2743"/>
      <c r="R10" s="2743"/>
      <c r="S10" s="2743"/>
      <c r="T10" s="2743"/>
      <c r="U10" s="2743"/>
    </row>
    <row r="11" spans="1:21">
      <c r="A11" s="2695" t="s">
        <v>1791</v>
      </c>
      <c r="B11" s="1484" t="s">
        <v>3116</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1849</v>
      </c>
      <c r="B12" s="3257" t="s">
        <v>3118</v>
      </c>
      <c r="C12" s="3258"/>
      <c r="D12" s="3259"/>
      <c r="E12" s="1485" t="s">
        <v>1852</v>
      </c>
      <c r="F12" s="3275" t="s">
        <v>2600</v>
      </c>
      <c r="G12" s="3276"/>
      <c r="H12" s="3276"/>
      <c r="I12" s="3277"/>
      <c r="J12" s="2761"/>
      <c r="K12" s="2746"/>
      <c r="L12" s="2742"/>
      <c r="M12" s="2742"/>
      <c r="N12" s="2743"/>
      <c r="O12" s="2744"/>
      <c r="P12" s="2743"/>
      <c r="Q12" s="2743"/>
      <c r="R12" s="2743"/>
      <c r="S12" s="2743"/>
      <c r="T12" s="2743"/>
      <c r="U12" s="2743"/>
    </row>
    <row r="13" spans="1:21">
      <c r="A13" s="1477" t="s">
        <v>1850</v>
      </c>
      <c r="B13" s="3257" t="s">
        <v>3118</v>
      </c>
      <c r="C13" s="3258"/>
      <c r="D13" s="3259"/>
      <c r="E13" s="1485" t="s">
        <v>1852</v>
      </c>
      <c r="F13" s="3275" t="s">
        <v>2601</v>
      </c>
      <c r="G13" s="3276"/>
      <c r="H13" s="3276"/>
      <c r="I13" s="3277"/>
      <c r="J13" s="2761"/>
      <c r="K13" s="2746"/>
      <c r="L13" s="2742"/>
      <c r="M13" s="2742"/>
      <c r="N13" s="2743"/>
      <c r="O13" s="2744"/>
      <c r="P13" s="2743"/>
      <c r="Q13" s="2743"/>
      <c r="R13" s="2743"/>
      <c r="S13" s="2743"/>
      <c r="T13" s="2743"/>
      <c r="U13" s="2743"/>
    </row>
    <row r="14" spans="1:21">
      <c r="A14" s="1454" t="s">
        <v>1853</v>
      </c>
      <c r="B14" s="1485"/>
      <c r="C14" s="1615" t="s">
        <v>3120</v>
      </c>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1740</v>
      </c>
      <c r="E15" s="1547" t="s">
        <v>1741</v>
      </c>
      <c r="F15" s="1547" t="s">
        <v>1742</v>
      </c>
      <c r="G15" s="1476" t="s">
        <v>1743</v>
      </c>
      <c r="H15" s="1476" t="s">
        <v>1744</v>
      </c>
      <c r="I15" s="1476" t="s">
        <v>1745</v>
      </c>
      <c r="J15" s="2761"/>
      <c r="K15" s="2746"/>
      <c r="L15" s="2742"/>
      <c r="M15" s="2742"/>
      <c r="N15" s="2743"/>
      <c r="O15" s="2744"/>
      <c r="P15" s="2743"/>
      <c r="Q15" s="2743"/>
      <c r="R15" s="2743"/>
      <c r="S15" s="2743"/>
      <c r="T15" s="2743"/>
      <c r="U15" s="2743"/>
    </row>
    <row r="16" spans="1:21" ht="42.75">
      <c r="A16" s="2696" t="s">
        <v>1738</v>
      </c>
      <c r="B16" s="1472" t="s">
        <v>3119</v>
      </c>
      <c r="C16" s="1485" t="s">
        <v>1739</v>
      </c>
      <c r="D16" s="1547" t="s">
        <v>1740</v>
      </c>
      <c r="E16" s="1507" t="s">
        <v>3121</v>
      </c>
      <c r="F16" s="1507" t="s">
        <v>1476</v>
      </c>
      <c r="G16" s="1507" t="s">
        <v>35</v>
      </c>
      <c r="H16" s="1507"/>
      <c r="I16" s="1476" t="s">
        <v>1745</v>
      </c>
      <c r="J16" s="2761"/>
      <c r="K16" s="1476" t="str">
        <f>IF(D17="","",D16&amp;TEXT(D17,"yyyy年m月d日;;"))</f>
        <v>住宅2089年10月28日</v>
      </c>
      <c r="L16" s="1485" t="str">
        <f>IF(OR(K16="",M16=""),"","、")</f>
        <v>、</v>
      </c>
      <c r="M16" s="1476" t="str">
        <f>IF(E17="","",E16&amp;TEXT(E17,"yyyy年m月d日;;"))</f>
        <v>商业2059年10月28日</v>
      </c>
      <c r="N16" s="1485" t="str">
        <f>IF(OR(M16="",O16=""),"","、")</f>
        <v>、</v>
      </c>
      <c r="O16" s="1476" t="str">
        <f>IF(F17="","",F16&amp;TEXT(F17,"yyyy年m月d日;;"))</f>
        <v>办公2069年10月28日</v>
      </c>
      <c r="P16" s="1485" t="str">
        <f>IF(OR(O16="",Q16=""),"","、")</f>
        <v>、</v>
      </c>
      <c r="Q16" s="1476" t="str">
        <f>IF(G17="","",G16&amp;TEXT(G17,"yyyy年m月d日;;"))</f>
        <v>地下车库2069年10月28日</v>
      </c>
      <c r="R16" s="1485" t="str">
        <f>IF(OR(Q16="",S16=""),"","、")</f>
        <v/>
      </c>
      <c r="S16" s="1476" t="str">
        <f>IF(H17="","",H16&amp;TEXT(H17,"yyyy年m月d日;;"))</f>
        <v/>
      </c>
      <c r="T16" s="1485" t="str">
        <f>IF(OR(S16="",U16=""),"","、")</f>
        <v/>
      </c>
      <c r="U16" s="1476" t="str">
        <f>IF(I17="","",I16&amp;TEXT(I17,"yyyy年m月d日;;"))</f>
        <v/>
      </c>
    </row>
    <row r="17" spans="1:21">
      <c r="A17" s="1544"/>
      <c r="B17" s="1473"/>
      <c r="C17" s="2697" t="s">
        <v>1746</v>
      </c>
      <c r="D17" s="1486">
        <v>69334</v>
      </c>
      <c r="E17" s="1486">
        <v>58376</v>
      </c>
      <c r="F17" s="1486">
        <v>62029</v>
      </c>
      <c r="G17" s="1486">
        <v>62029</v>
      </c>
      <c r="H17" s="1486"/>
      <c r="I17" s="1486"/>
      <c r="J17" s="2761"/>
      <c r="K17" s="2741" t="str">
        <f>CONCATENATE(K16,L16,M16,N16,O16,P16,Q16,R16,S16,T16,,U16)</f>
        <v>住宅2089年10月28日、商业2059年10月28日、办公2069年10月28日、地下车库2069年10月28日</v>
      </c>
      <c r="L17" s="2742"/>
      <c r="M17" s="2742"/>
      <c r="N17" s="2743"/>
      <c r="O17" s="2744"/>
      <c r="P17" s="2743"/>
      <c r="Q17" s="2743"/>
      <c r="R17" s="2743"/>
      <c r="S17" s="2743"/>
      <c r="T17" s="2743"/>
      <c r="U17" s="2743"/>
    </row>
    <row r="18" spans="1:21">
      <c r="A18" s="1544"/>
      <c r="B18" s="1473"/>
      <c r="C18" s="2697" t="s">
        <v>1747</v>
      </c>
      <c r="D18" s="1474">
        <v>70</v>
      </c>
      <c r="E18" s="1474">
        <v>40</v>
      </c>
      <c r="F18" s="1474">
        <v>50</v>
      </c>
      <c r="G18" s="1474">
        <v>50</v>
      </c>
      <c r="H18" s="1474"/>
      <c r="I18" s="1474"/>
      <c r="J18" s="2761"/>
      <c r="K18" s="2746"/>
      <c r="L18" s="2742"/>
      <c r="M18" s="2742"/>
      <c r="N18" s="2743"/>
      <c r="O18" s="2744"/>
      <c r="P18" s="2743"/>
      <c r="Q18" s="2743"/>
      <c r="R18" s="2743"/>
      <c r="S18" s="2743"/>
      <c r="T18" s="2743"/>
      <c r="U18" s="2743"/>
    </row>
    <row r="19" spans="1:21">
      <c r="A19" s="1544"/>
      <c r="B19" s="1473"/>
      <c r="C19" s="1453" t="s">
        <v>1748</v>
      </c>
      <c r="D19" s="1539">
        <f>IF(B16="出让",IF(D17="","",ROUNDDOWN(MIN((D17-$D$3)/365,D18),2)),D18)</f>
        <v>66.95</v>
      </c>
      <c r="E19" s="1475">
        <f>IF(B16="出让",IF(E17="","",ROUNDDOWN(MIN((E17-$D$3)/365,E18),2)),E18)</f>
        <v>36.93</v>
      </c>
      <c r="F19" s="1475">
        <f>IF(B16="出让",IF(F17="","",ROUNDDOWN(MIN((F17-$D$3)/365,F18),2)),F18)</f>
        <v>46.94</v>
      </c>
      <c r="G19" s="1475">
        <f>IF(B16="出让",IF(G17="","",ROUNDDOWN(MIN((G17-$D$3)/365,G18),2)),G18)</f>
        <v>46.94</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1851</v>
      </c>
      <c r="D20" s="3272"/>
      <c r="E20" s="3273"/>
      <c r="F20" s="3273"/>
      <c r="G20" s="3273"/>
      <c r="H20" s="3273"/>
      <c r="I20" s="3274"/>
      <c r="J20" s="2761"/>
      <c r="K20" s="2746"/>
      <c r="L20" s="2742"/>
      <c r="M20" s="2742"/>
      <c r="N20" s="2743"/>
      <c r="O20" s="2744"/>
      <c r="P20" s="2743"/>
      <c r="Q20" s="2743"/>
      <c r="R20" s="2743"/>
      <c r="S20" s="2743"/>
      <c r="T20" s="2743"/>
      <c r="U20" s="2743"/>
    </row>
    <row r="21" spans="1:21">
      <c r="A21" s="1544" t="s">
        <v>1749</v>
      </c>
      <c r="B21" s="1545" t="s">
        <v>1750</v>
      </c>
      <c r="C21" s="1540">
        <f>'数据-汇总表'!E3</f>
        <v>139768.29999999999</v>
      </c>
      <c r="D21" s="1541" t="s">
        <v>1751</v>
      </c>
      <c r="E21" s="3262" t="s">
        <v>1789</v>
      </c>
      <c r="F21" s="3263"/>
      <c r="G21" s="3263"/>
      <c r="H21" s="3263"/>
      <c r="I21" s="3264"/>
      <c r="J21" s="2761"/>
      <c r="K21" s="2746"/>
      <c r="L21" s="2742"/>
      <c r="M21" s="2742"/>
      <c r="N21" s="2743"/>
      <c r="O21" s="2744"/>
      <c r="P21" s="2743"/>
      <c r="Q21" s="2743"/>
      <c r="R21" s="2743"/>
      <c r="S21" s="2743"/>
      <c r="T21" s="2743"/>
      <c r="U21" s="2743"/>
    </row>
    <row r="22" spans="1:21">
      <c r="A22" s="2523" t="s">
        <v>930</v>
      </c>
      <c r="B22" s="1454" t="s">
        <v>1752</v>
      </c>
      <c r="C22" s="1476">
        <f>'数据-汇总表'!D3</f>
        <v>53757.04</v>
      </c>
      <c r="D22" s="1477" t="s">
        <v>1751</v>
      </c>
      <c r="E22" s="3262" t="s">
        <v>2602</v>
      </c>
      <c r="F22" s="3263"/>
      <c r="G22" s="3263"/>
      <c r="H22" s="3263"/>
      <c r="I22" s="3264"/>
      <c r="J22" s="2761"/>
      <c r="K22" s="2746"/>
      <c r="L22" s="2742"/>
      <c r="M22" s="2742"/>
      <c r="N22" s="2743"/>
      <c r="O22" s="2744"/>
      <c r="P22" s="2743"/>
      <c r="Q22" s="2743"/>
      <c r="R22" s="2743"/>
      <c r="S22" s="2743"/>
      <c r="T22" s="2743"/>
      <c r="U22" s="2743"/>
    </row>
    <row r="23" spans="1:21" ht="29.25" thickBot="1">
      <c r="A23" s="1546" t="s">
        <v>1753</v>
      </c>
      <c r="B23" s="1487" t="s">
        <v>1754</v>
      </c>
      <c r="C23" s="1488"/>
      <c r="D23" s="1489" t="s">
        <v>1755</v>
      </c>
      <c r="E23" s="1490"/>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1756</v>
      </c>
      <c r="B24" s="3265" t="s">
        <v>1757</v>
      </c>
      <c r="C24" s="3266"/>
      <c r="D24" s="3267" t="s">
        <v>1758</v>
      </c>
      <c r="E24" s="3268"/>
      <c r="F24" s="1493" t="s">
        <v>1759</v>
      </c>
      <c r="G24" s="2761"/>
      <c r="H24" s="2761"/>
      <c r="I24" s="2762"/>
      <c r="J24" s="2761"/>
      <c r="K24" s="3253" t="s">
        <v>1760</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2114</v>
      </c>
      <c r="C25" s="1494" t="s">
        <v>1761</v>
      </c>
      <c r="D25" s="1495"/>
      <c r="E25" s="1496" t="s">
        <v>930</v>
      </c>
      <c r="F25" s="1497"/>
      <c r="G25" s="2761"/>
      <c r="H25" s="2761"/>
      <c r="I25" s="2762"/>
      <c r="J25" s="2761"/>
      <c r="K25" s="3253"/>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8"/>
      <c r="N25" s="2743"/>
      <c r="O25" s="2744"/>
      <c r="P25" s="2743"/>
      <c r="Q25" s="2743"/>
      <c r="R25" s="2743"/>
      <c r="S25" s="2743"/>
      <c r="T25" s="2743"/>
      <c r="U25" s="2743"/>
    </row>
    <row r="26" spans="1:21" ht="29.25" thickBot="1">
      <c r="A26" s="1533"/>
      <c r="B26" s="1530" t="s">
        <v>1762</v>
      </c>
      <c r="C26" s="1494" t="s">
        <v>2115</v>
      </c>
      <c r="D26" s="2761"/>
      <c r="E26" s="2761"/>
      <c r="F26" s="2766"/>
      <c r="G26" s="2761"/>
      <c r="H26" s="2761"/>
      <c r="I26" s="2762"/>
      <c r="J26" s="2761"/>
      <c r="K26" s="3253"/>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1763</v>
      </c>
      <c r="B27" s="1534" t="s">
        <v>1764</v>
      </c>
      <c r="C27" s="1498"/>
      <c r="D27" s="2243" t="s">
        <v>1764</v>
      </c>
      <c r="E27" s="1499"/>
      <c r="F27" s="2766"/>
      <c r="G27" s="2761"/>
      <c r="H27" s="2761"/>
      <c r="I27" s="2762"/>
      <c r="J27" s="2761"/>
      <c r="K27" s="2746"/>
      <c r="L27" s="2742"/>
      <c r="M27" s="2742"/>
      <c r="N27" s="2743"/>
      <c r="O27" s="2744"/>
      <c r="P27" s="2743"/>
      <c r="Q27" s="2743"/>
      <c r="R27" s="2743"/>
      <c r="S27" s="2743"/>
      <c r="T27" s="2743"/>
      <c r="U27" s="2743"/>
    </row>
    <row r="28" spans="1:21">
      <c r="A28" s="1537"/>
      <c r="B28" s="1534" t="s">
        <v>1765</v>
      </c>
      <c r="C28" s="1500"/>
      <c r="D28" s="2244" t="s">
        <v>1765</v>
      </c>
      <c r="E28" s="1501"/>
      <c r="F28" s="2766"/>
      <c r="G28" s="2761"/>
      <c r="H28" s="2761"/>
      <c r="I28" s="2762"/>
      <c r="J28" s="2761"/>
      <c r="K28" s="2746"/>
      <c r="L28" s="2742"/>
      <c r="M28" s="2742"/>
      <c r="N28" s="2743"/>
      <c r="O28" s="2744"/>
      <c r="P28" s="2743"/>
      <c r="Q28" s="2743"/>
      <c r="R28" s="2743"/>
      <c r="S28" s="2743"/>
      <c r="T28" s="2743"/>
      <c r="U28" s="2743"/>
    </row>
    <row r="29" spans="1:21">
      <c r="A29" s="1537"/>
      <c r="B29" s="1534" t="s">
        <v>1766</v>
      </c>
      <c r="C29" s="1500"/>
      <c r="D29" s="2244" t="s">
        <v>1766</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1767</v>
      </c>
      <c r="C30" s="1502"/>
      <c r="D30" s="2245" t="s">
        <v>1767</v>
      </c>
      <c r="E30" s="1503"/>
      <c r="F30" s="2767"/>
      <c r="G30" s="2764"/>
      <c r="H30" s="2764"/>
      <c r="I30" s="2765"/>
      <c r="J30" s="2761"/>
      <c r="K30" s="2746"/>
      <c r="L30" s="2742"/>
      <c r="M30" s="2742"/>
      <c r="N30" s="2743"/>
      <c r="O30" s="2744"/>
      <c r="P30" s="2743"/>
      <c r="Q30" s="2743"/>
      <c r="R30" s="2743"/>
      <c r="S30" s="2743"/>
      <c r="T30" s="2743"/>
      <c r="U30" s="2743"/>
    </row>
    <row r="31" spans="1:21" ht="15" thickTop="1">
      <c r="A31" s="3280" t="s">
        <v>1792</v>
      </c>
      <c r="B31" s="1545" t="s">
        <v>1793</v>
      </c>
      <c r="C31" s="3278" t="s">
        <v>3122</v>
      </c>
      <c r="D31" s="3279"/>
      <c r="E31" s="2761"/>
      <c r="F31" s="2761"/>
      <c r="G31" s="2761"/>
      <c r="H31" s="2761"/>
      <c r="I31" s="2762"/>
      <c r="J31" s="2761"/>
      <c r="K31" s="2749"/>
      <c r="L31" s="2743"/>
      <c r="M31" s="2743"/>
      <c r="N31" s="2743"/>
      <c r="O31" s="2743"/>
      <c r="P31" s="2743"/>
      <c r="Q31" s="2743"/>
      <c r="R31" s="2743"/>
      <c r="S31" s="2743"/>
      <c r="T31" s="2743"/>
      <c r="U31" s="2743"/>
    </row>
    <row r="32" spans="1:21">
      <c r="A32" s="3280"/>
      <c r="B32" s="1454" t="s">
        <v>1794</v>
      </c>
      <c r="C32" s="1504" t="s">
        <v>3123</v>
      </c>
      <c r="D32" s="1505"/>
      <c r="E32" s="2761"/>
      <c r="F32" s="2761"/>
      <c r="G32" s="2761"/>
      <c r="H32" s="2761"/>
      <c r="I32" s="2762"/>
      <c r="J32" s="2761"/>
      <c r="K32" s="2749"/>
      <c r="L32" s="2743"/>
      <c r="M32" s="2743"/>
      <c r="N32" s="2743"/>
      <c r="O32" s="2743"/>
      <c r="P32" s="2743"/>
      <c r="Q32" s="2743"/>
      <c r="R32" s="2743"/>
      <c r="S32" s="2743"/>
      <c r="T32" s="2743"/>
      <c r="U32" s="2743"/>
    </row>
    <row r="33" spans="1:28">
      <c r="A33" s="3280"/>
      <c r="B33" s="1454" t="s">
        <v>1795</v>
      </c>
      <c r="C33" s="1506" t="s">
        <v>3124</v>
      </c>
      <c r="D33" s="1609"/>
      <c r="E33" s="2761"/>
      <c r="F33" s="2761"/>
      <c r="G33" s="2761"/>
      <c r="H33" s="2761"/>
      <c r="I33" s="2762"/>
      <c r="J33" s="2761"/>
      <c r="K33" s="2749"/>
      <c r="L33" s="2743"/>
      <c r="M33" s="2743"/>
      <c r="N33" s="2743"/>
      <c r="O33" s="2743"/>
      <c r="P33" s="2743"/>
      <c r="Q33" s="2743"/>
      <c r="R33" s="2743"/>
      <c r="S33" s="2743"/>
      <c r="T33" s="2743"/>
      <c r="U33" s="2743"/>
    </row>
    <row r="34" spans="1:28">
      <c r="A34" s="3281"/>
      <c r="B34" s="1454" t="s">
        <v>1796</v>
      </c>
      <c r="C34" s="3282"/>
      <c r="D34" s="3283"/>
      <c r="E34" s="2761"/>
      <c r="F34" s="2761"/>
      <c r="G34" s="2761"/>
      <c r="H34" s="2761"/>
      <c r="I34" s="2762"/>
      <c r="J34" s="2761"/>
      <c r="K34" s="2749"/>
      <c r="L34" s="2743"/>
      <c r="M34" s="2743"/>
      <c r="N34" s="2743"/>
      <c r="O34" s="2743"/>
      <c r="P34" s="2743"/>
      <c r="Q34" s="2743"/>
      <c r="R34" s="2743"/>
      <c r="S34" s="2743"/>
      <c r="T34" s="2743"/>
      <c r="U34" s="2743"/>
    </row>
    <row r="35" spans="1:28">
      <c r="A35" s="3284" t="s">
        <v>826</v>
      </c>
      <c r="B35" s="1507" t="s">
        <v>3125</v>
      </c>
      <c r="C35" s="1553" t="str">
        <f>IF(B35="场地平整","——","具体情况：")</f>
        <v>——</v>
      </c>
      <c r="D35" s="3286"/>
      <c r="E35" s="3287"/>
      <c r="F35" s="3287"/>
      <c r="G35" s="3287"/>
      <c r="H35" s="3287"/>
      <c r="I35" s="3288"/>
      <c r="J35" s="2761"/>
      <c r="K35" s="2750"/>
      <c r="L35" s="2742"/>
      <c r="M35" s="2742"/>
      <c r="N35" s="2743"/>
      <c r="O35" s="2744"/>
      <c r="P35" s="2743"/>
      <c r="Q35" s="2743"/>
      <c r="R35" s="2743"/>
      <c r="S35" s="2743"/>
      <c r="T35" s="2743"/>
      <c r="U35" s="2743"/>
    </row>
    <row r="36" spans="1:28">
      <c r="A36" s="3280"/>
      <c r="B36" s="3289" t="s">
        <v>1845</v>
      </c>
      <c r="C36" s="3290"/>
      <c r="D36" s="1568" t="s">
        <v>3126</v>
      </c>
      <c r="E36" s="3291"/>
      <c r="F36" s="3291"/>
      <c r="G36" s="1477" t="str">
        <f>IF(B35="场地未平整","估价结果处理","")</f>
        <v/>
      </c>
      <c r="H36" s="3292"/>
      <c r="I36" s="3292"/>
      <c r="J36" s="2761"/>
      <c r="K36" s="2750"/>
      <c r="L36" s="2742"/>
      <c r="M36" s="2742"/>
      <c r="N36" s="2743"/>
      <c r="O36" s="2744"/>
      <c r="P36" s="2743"/>
      <c r="Q36" s="2743"/>
      <c r="R36" s="2743"/>
      <c r="S36" s="2743"/>
      <c r="T36" s="2743"/>
      <c r="U36" s="2743"/>
    </row>
    <row r="37" spans="1:28" ht="28.5">
      <c r="A37" s="3280"/>
      <c r="B37" s="3269" t="s">
        <v>827</v>
      </c>
      <c r="C37" s="1509" t="s">
        <v>828</v>
      </c>
      <c r="D37" s="1510"/>
      <c r="E37" s="1511"/>
      <c r="F37" s="2761"/>
      <c r="G37" s="2761"/>
      <c r="H37" s="2761"/>
      <c r="I37" s="2762"/>
      <c r="J37" s="2761"/>
      <c r="K37" s="2750"/>
      <c r="L37" s="2743"/>
      <c r="M37" s="2743"/>
      <c r="N37" s="2743"/>
      <c r="O37" s="2743"/>
      <c r="P37" s="2743"/>
      <c r="Q37" s="2743"/>
      <c r="R37" s="2743"/>
      <c r="S37" s="2743"/>
      <c r="T37" s="2743"/>
      <c r="U37" s="2743"/>
    </row>
    <row r="38" spans="1:28">
      <c r="A38" s="3280"/>
      <c r="B38" s="3270"/>
      <c r="C38" s="1462" t="s">
        <v>829</v>
      </c>
      <c r="D38" s="1567">
        <f>ROUNDDOWN(MIN(('数据-取费表'!$B$2-D37)/365,D34),1)</f>
        <v>123</v>
      </c>
      <c r="E38" s="1512" t="s">
        <v>830</v>
      </c>
      <c r="F38" s="2761"/>
      <c r="G38" s="2761"/>
      <c r="H38" s="2761"/>
      <c r="I38" s="2762"/>
      <c r="J38" s="2761"/>
      <c r="K38" s="2750"/>
      <c r="L38" s="2743"/>
      <c r="M38" s="2743"/>
      <c r="N38" s="2743"/>
      <c r="O38" s="2743"/>
      <c r="P38" s="2743"/>
      <c r="Q38" s="2743"/>
      <c r="R38" s="2743"/>
      <c r="S38" s="2743"/>
      <c r="T38" s="2743"/>
      <c r="U38" s="2743"/>
    </row>
    <row r="39" spans="1:28">
      <c r="A39" s="3281"/>
      <c r="B39" s="3271"/>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1768</v>
      </c>
      <c r="B40" s="1478" t="s">
        <v>3127</v>
      </c>
      <c r="C40" s="1478" t="s">
        <v>3128</v>
      </c>
      <c r="D40" s="1478" t="s">
        <v>3129</v>
      </c>
      <c r="E40" s="1478" t="s">
        <v>3130</v>
      </c>
      <c r="F40" s="1478" t="s">
        <v>3131</v>
      </c>
      <c r="G40" s="1478" t="s">
        <v>3132</v>
      </c>
      <c r="H40" s="1478" t="s">
        <v>3133</v>
      </c>
      <c r="I40" s="2762"/>
      <c r="J40" s="2761"/>
      <c r="K40" s="1515">
        <f>COUNTIF(B40:H40,"——")</f>
        <v>0</v>
      </c>
      <c r="L40" s="1485" t="s">
        <v>1769</v>
      </c>
      <c r="M40" s="1482" t="s">
        <v>1770</v>
      </c>
      <c r="N40" s="1482" t="s">
        <v>1771</v>
      </c>
      <c r="O40" s="1482" t="s">
        <v>1772</v>
      </c>
      <c r="P40" s="1482" t="s">
        <v>1773</v>
      </c>
      <c r="Q40" s="1482" t="s">
        <v>1774</v>
      </c>
      <c r="R40" s="1482" t="s">
        <v>1775</v>
      </c>
      <c r="S40" s="3252" t="s">
        <v>1776</v>
      </c>
      <c r="T40" s="1516" t="str">
        <f>NUMBERSTRING(7-K40,1)&amp;"通"</f>
        <v>七通</v>
      </c>
      <c r="U40" s="2743"/>
    </row>
    <row r="41" spans="1:28">
      <c r="A41" s="1456"/>
      <c r="B41" s="3285" t="s">
        <v>1520</v>
      </c>
      <c r="C41" s="3285"/>
      <c r="D41" s="3285"/>
      <c r="E41" s="3285"/>
      <c r="F41" s="1517" t="str">
        <f>C10</f>
        <v>河南省</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通路、通电、通讯、通上水、通下水、通热</v>
      </c>
      <c r="R41" s="1519" t="str">
        <f>B40&amp;"、"&amp;C40&amp;"、"&amp;D40&amp;"、"&amp;E40&amp;"、"&amp;F40&amp;"、"&amp;G40&amp;"、"&amp;H40</f>
        <v>通路、通电、通讯、通上水、通下水、通热、燃气</v>
      </c>
      <c r="S41" s="3252"/>
      <c r="T41" s="1518" t="str">
        <f>IF(T40="一通",L41,IF(T40="二通",M41,IF(T40="三通",N41,IF(T40="四通",O41,IF(T40="五通",P41,IF(T40="六通",Q41,R41))))))</f>
        <v>通路、通电、通讯、通上水、通下水、通热、燃气</v>
      </c>
      <c r="U41" s="2743"/>
    </row>
    <row r="42" spans="1:28">
      <c r="A42" s="1520"/>
      <c r="B42" s="1547" t="s">
        <v>1692</v>
      </c>
      <c r="C42" s="1547" t="s">
        <v>1693</v>
      </c>
      <c r="D42" s="1547" t="s">
        <v>1694</v>
      </c>
      <c r="E42" s="1485" t="s">
        <v>1695</v>
      </c>
      <c r="F42" s="1521"/>
      <c r="G42" s="2761"/>
      <c r="H42" s="2761"/>
      <c r="I42" s="2762"/>
      <c r="J42" s="2761"/>
      <c r="K42" s="2746"/>
      <c r="L42" s="2742"/>
      <c r="M42" s="2742"/>
      <c r="N42" s="2743"/>
      <c r="O42" s="2744"/>
      <c r="P42" s="2743"/>
      <c r="Q42" s="2743"/>
      <c r="R42" s="2743"/>
      <c r="S42" s="2743"/>
      <c r="T42" s="2743"/>
      <c r="U42" s="2743"/>
    </row>
    <row r="43" spans="1:28">
      <c r="A43" s="2718" t="s">
        <v>1505</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1506</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2603</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1797</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1798</v>
      </c>
      <c r="B48" s="1476" t="s">
        <v>1799</v>
      </c>
      <c r="C48" s="1476" t="s">
        <v>1800</v>
      </c>
      <c r="D48" s="1476" t="s">
        <v>1801</v>
      </c>
      <c r="E48" s="1476" t="s">
        <v>1802</v>
      </c>
      <c r="F48" s="1476" t="s">
        <v>1803</v>
      </c>
      <c r="G48" s="1476" t="s">
        <v>1804</v>
      </c>
      <c r="H48" s="1476" t="s">
        <v>1805</v>
      </c>
      <c r="I48" s="1476" t="s">
        <v>1806</v>
      </c>
      <c r="J48" s="1552" t="s">
        <v>1807</v>
      </c>
      <c r="K48" s="2756" t="s">
        <v>1808</v>
      </c>
      <c r="L48" s="2756" t="s">
        <v>1809</v>
      </c>
      <c r="M48" s="2756" t="s">
        <v>1810</v>
      </c>
      <c r="N48" s="2757" t="s">
        <v>1811</v>
      </c>
      <c r="O48" s="2757" t="s">
        <v>1812</v>
      </c>
      <c r="P48" s="2757" t="s">
        <v>1813</v>
      </c>
      <c r="Q48" s="2748" t="s">
        <v>1814</v>
      </c>
      <c r="R48" s="2748" t="s">
        <v>1815</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2122</v>
      </c>
      <c r="BA2" s="2041" t="s">
        <v>2121</v>
      </c>
      <c r="BB2" s="40"/>
      <c r="BC2" s="40"/>
      <c r="BD2" s="40"/>
      <c r="BE2" s="40"/>
      <c r="BF2" s="40"/>
      <c r="BG2" s="40"/>
      <c r="BH2" s="40"/>
      <c r="BI2" s="40"/>
      <c r="BJ2" s="40"/>
      <c r="BK2" s="40"/>
      <c r="BL2" s="40"/>
      <c r="BM2" s="40"/>
      <c r="BN2" s="40"/>
      <c r="BO2" s="40"/>
      <c r="BP2" s="40"/>
      <c r="BQ2" s="40"/>
      <c r="BR2" s="40"/>
      <c r="BS2" s="40"/>
      <c r="BT2" s="40"/>
    </row>
    <row r="3" spans="1:72" s="17" customFormat="1" ht="12.75">
      <c r="A3" s="20">
        <v>53757.04</v>
      </c>
      <c r="B3" s="21">
        <f>IF(C3="否",G5-AT5,G5)</f>
        <v>139768.29999999999</v>
      </c>
      <c r="C3" s="22" t="s">
        <v>3124</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139768.29999999999</v>
      </c>
      <c r="H5" s="25">
        <f t="shared" ref="H5:AT5" si="0">SUM(H13:H641)</f>
        <v>139768.29999999999</v>
      </c>
      <c r="I5" s="25">
        <f t="shared" si="0"/>
        <v>139768.29999999999</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139768.29999999999</v>
      </c>
      <c r="BA5" s="27">
        <f t="shared" si="1"/>
        <v>139768.29999999999</v>
      </c>
      <c r="BB5" s="27">
        <f t="shared" si="1"/>
        <v>139768.29999999999</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53757.04</v>
      </c>
      <c r="F6" s="25" t="s">
        <v>1</v>
      </c>
      <c r="G6" s="25" t="s">
        <v>2</v>
      </c>
      <c r="H6" s="31">
        <f>SUMIF(I$12:AB$12,"总值",I6:AB6)</f>
        <v>53757.04</v>
      </c>
      <c r="I6" s="25">
        <f t="shared" ref="I6:AB6" si="2">ROUND($A$3*I5/$B$3,2)</f>
        <v>53757.04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53757.04</v>
      </c>
      <c r="AZ6" s="25" t="s">
        <v>3</v>
      </c>
      <c r="BA6" s="25">
        <f>ROUND($AY$6*BA5/$AZ$5,2)</f>
        <v>53757.04</v>
      </c>
      <c r="BB6" s="25">
        <f>ROUND($AY$6*BB5/$AZ$5,2)</f>
        <v>53757.04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834</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3135</v>
      </c>
      <c r="J9" s="49"/>
      <c r="K9" s="2459" t="s">
        <v>3135</v>
      </c>
      <c r="L9" s="49"/>
      <c r="M9" s="2459" t="s">
        <v>3146</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901</v>
      </c>
      <c r="J10" s="49"/>
      <c r="K10" s="2461" t="s">
        <v>3121</v>
      </c>
      <c r="L10" s="49"/>
      <c r="M10" s="2461" t="s">
        <v>3147</v>
      </c>
      <c r="N10" s="49"/>
      <c r="O10" s="64"/>
      <c r="P10" s="49"/>
      <c r="Q10" s="64"/>
      <c r="R10" s="49"/>
      <c r="S10" s="64"/>
      <c r="T10" s="49"/>
      <c r="U10" s="64"/>
      <c r="V10" s="49"/>
      <c r="W10" s="64"/>
      <c r="X10" s="49"/>
      <c r="Y10" s="64"/>
      <c r="Z10" s="49"/>
      <c r="AA10" s="64"/>
      <c r="AB10" s="49"/>
      <c r="AC10" s="53"/>
      <c r="AD10" s="2015" t="s">
        <v>2106</v>
      </c>
      <c r="AE10" s="2037"/>
      <c r="AF10" s="2015" t="s">
        <v>2106</v>
      </c>
      <c r="AG10" s="2037"/>
      <c r="AH10" s="2015" t="s">
        <v>2107</v>
      </c>
      <c r="AI10" s="2037"/>
      <c r="AJ10" s="24" t="s">
        <v>2120</v>
      </c>
      <c r="AK10" s="2034"/>
      <c r="AL10" s="2015" t="s">
        <v>2108</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3136</v>
      </c>
      <c r="J11" s="69"/>
      <c r="K11" s="2460"/>
      <c r="L11" s="69"/>
      <c r="M11" s="68"/>
      <c r="N11" s="69"/>
      <c r="O11" s="68"/>
      <c r="P11" s="69"/>
      <c r="Q11" s="68"/>
      <c r="R11" s="69"/>
      <c r="S11" s="68"/>
      <c r="T11" s="69"/>
      <c r="U11" s="68"/>
      <c r="V11" s="69"/>
      <c r="W11" s="68"/>
      <c r="X11" s="69"/>
      <c r="Y11" s="68"/>
      <c r="Z11" s="69"/>
      <c r="AA11" s="68"/>
      <c r="AB11" s="69"/>
      <c r="AC11" s="53"/>
      <c r="AD11" s="2035" t="s">
        <v>2119</v>
      </c>
      <c r="AE11" s="922"/>
      <c r="AF11" s="2035" t="s">
        <v>2119</v>
      </c>
      <c r="AG11" s="922"/>
      <c r="AH11" s="2035" t="s">
        <v>2118</v>
      </c>
      <c r="AI11" s="2036"/>
      <c r="AJ11" s="2035" t="s">
        <v>2118</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商业</v>
      </c>
      <c r="BD11" s="48" t="str">
        <f>M10</f>
        <v>车库</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1477</v>
      </c>
      <c r="E13" s="25">
        <f t="shared" ref="E13:E20" si="6">IF($C$3="是",ROUND($A$3*G13/$B$3,2),ROUND($A$3*(G13-AT13)/$B$3,2))</f>
        <v>53757.04</v>
      </c>
      <c r="F13" s="79"/>
      <c r="G13" s="80">
        <f t="shared" ref="G13:G20" si="7">H13+AC13+AT13</f>
        <v>139768.29999999999</v>
      </c>
      <c r="H13" s="31">
        <f t="shared" ref="H13:H20" si="8">SUMIF(I$12:AB$12,"总值",I13:AB13)</f>
        <v>139768.29999999999</v>
      </c>
      <c r="I13" s="2458">
        <f>ROUND(A3*2.6,2)</f>
        <v>139768.29999999999</v>
      </c>
      <c r="J13" s="2458"/>
      <c r="K13" s="2458"/>
      <c r="L13" s="2458"/>
      <c r="M13" s="2458"/>
      <c r="N13" s="81"/>
      <c r="O13" s="81"/>
      <c r="P13" s="81"/>
      <c r="Q13" s="81"/>
      <c r="R13" s="81"/>
      <c r="S13" s="81"/>
      <c r="T13" s="81"/>
      <c r="U13" s="81"/>
      <c r="V13" s="81"/>
      <c r="W13" s="81"/>
      <c r="X13" s="81"/>
      <c r="Y13" s="81"/>
      <c r="Z13" s="81"/>
      <c r="AA13" s="81"/>
      <c r="AB13" s="81"/>
      <c r="AC13" s="25">
        <f t="shared" ref="AC13:AC20" si="9">SUMIF(AD$12:AS$12,"总值",AD13:AS13)</f>
        <v>0</v>
      </c>
      <c r="AD13" s="2462"/>
      <c r="AE13" s="2462"/>
      <c r="AF13" s="2462"/>
      <c r="AG13" s="2462"/>
      <c r="AH13" s="2462"/>
      <c r="AI13" s="2462"/>
      <c r="AJ13" s="2462"/>
      <c r="AK13" s="2462"/>
      <c r="AL13" s="2462"/>
      <c r="AM13" s="2462"/>
      <c r="AN13" s="2462"/>
      <c r="AO13" s="2462"/>
      <c r="AP13" s="2462"/>
      <c r="AQ13" s="2462"/>
      <c r="AR13" s="2462"/>
      <c r="AS13" s="2462"/>
      <c r="AT13" s="2463"/>
      <c r="AU13" s="2464"/>
      <c r="AV13" s="16">
        <f t="shared" ref="AV13:AX20" si="10">A13</f>
        <v>0</v>
      </c>
      <c r="AW13" s="16">
        <f t="shared" si="10"/>
        <v>0</v>
      </c>
      <c r="AX13" s="16">
        <f t="shared" si="10"/>
        <v>0</v>
      </c>
      <c r="AY13" s="916">
        <f t="shared" ref="AY13:AY20" si="11">ROUND($AY$6*AZ13/$AZ$5,2)</f>
        <v>53757.04</v>
      </c>
      <c r="AZ13" s="25">
        <f t="shared" ref="AZ13:AZ20" si="12">BA13+BL13</f>
        <v>139768.29999999999</v>
      </c>
      <c r="BA13" s="25">
        <f t="shared" ref="BA13:BA20" si="13">SUM(BB13:BK13)</f>
        <v>139768.29999999999</v>
      </c>
      <c r="BB13" s="25">
        <f t="shared" ref="BB13:BB20" si="14">IF($D13="是",I13-J13,0)</f>
        <v>139768.29999999999</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3211"/>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28.5">
      <c r="A3" s="3293"/>
      <c r="B3" s="3293"/>
      <c r="C3" s="3293"/>
      <c r="D3" s="3294"/>
      <c r="E3" s="32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
  <sheetViews>
    <sheetView workbookViewId="0">
      <selection activeCell="D4" sqref="D4"/>
    </sheetView>
  </sheetViews>
  <sheetFormatPr defaultColWidth="9" defaultRowHeight="13.5"/>
  <cols>
    <col min="1" max="1" width="5.625" style="1571" customWidth="1"/>
    <col min="2" max="2" width="23.125" style="1571" customWidth="1"/>
    <col min="3" max="3" width="11.125" style="1571" customWidth="1"/>
    <col min="4" max="4" width="14" style="1571" customWidth="1"/>
    <col min="5" max="5" width="11.625" style="1571" customWidth="1"/>
    <col min="6" max="7" width="14.125" style="1571" customWidth="1"/>
    <col min="8" max="9" width="9.5" style="1571" bestFit="1" customWidth="1"/>
    <col min="10" max="10" width="11.125" style="1571" customWidth="1"/>
    <col min="11" max="11" width="14" style="1571" customWidth="1"/>
    <col min="12" max="12" width="9" style="1571"/>
    <col min="13" max="13" width="13.5" style="1571" customWidth="1"/>
    <col min="14" max="16384" width="9" style="1571"/>
  </cols>
  <sheetData>
    <row r="3" spans="2:13">
      <c r="D3" s="3189" t="s">
        <v>2648</v>
      </c>
      <c r="E3" s="3189" t="s">
        <v>3134</v>
      </c>
      <c r="F3" s="3295" t="s">
        <v>3145</v>
      </c>
      <c r="G3" s="3295"/>
      <c r="H3" s="3295" t="s">
        <v>3141</v>
      </c>
      <c r="I3" s="3295"/>
      <c r="J3" s="3295"/>
      <c r="K3" s="3189" t="s">
        <v>3140</v>
      </c>
      <c r="M3" s="3189" t="s">
        <v>3142</v>
      </c>
    </row>
    <row r="4" spans="2:13">
      <c r="B4" s="3189" t="s">
        <v>3143</v>
      </c>
      <c r="C4" s="3189" t="s">
        <v>3778</v>
      </c>
      <c r="D4" s="1571">
        <v>53757.04</v>
      </c>
      <c r="E4" s="1571">
        <v>189493566</v>
      </c>
      <c r="F4" s="1571">
        <v>680961.4</v>
      </c>
      <c r="G4" s="1571">
        <v>6442781.2400000002</v>
      </c>
      <c r="H4" s="1571">
        <v>56746783</v>
      </c>
      <c r="I4" s="1571">
        <v>38000000</v>
      </c>
      <c r="J4" s="1571">
        <v>94746783</v>
      </c>
      <c r="K4" s="1571">
        <f>H4+I4+J4</f>
        <v>189493566</v>
      </c>
      <c r="L4" s="1571">
        <f>K4-E4</f>
        <v>0</v>
      </c>
      <c r="M4" s="1571">
        <f>E4*0.04</f>
        <v>7579742.6400000006</v>
      </c>
    </row>
    <row r="5" spans="2:13">
      <c r="B5" s="3189" t="s">
        <v>3138</v>
      </c>
      <c r="C5" s="3190" t="s">
        <v>3780</v>
      </c>
      <c r="D5" s="1571">
        <v>12458.7</v>
      </c>
      <c r="E5" s="1571">
        <v>43916918</v>
      </c>
      <c r="F5" s="1571">
        <v>155501.51</v>
      </c>
      <c r="G5" s="1571">
        <v>1493175.21</v>
      </c>
      <c r="H5" s="1571">
        <v>9000000</v>
      </c>
      <c r="I5" s="1571">
        <v>12958459</v>
      </c>
      <c r="J5" s="1571">
        <v>21958459</v>
      </c>
      <c r="K5" s="1571">
        <f>H5+I5+J5</f>
        <v>43916918</v>
      </c>
      <c r="L5" s="1571">
        <f>K5-E5</f>
        <v>0</v>
      </c>
      <c r="M5" s="1571">
        <f>E5*0.04</f>
        <v>1756676.72</v>
      </c>
    </row>
  </sheetData>
  <mergeCells count="2">
    <mergeCell ref="F3:G3"/>
    <mergeCell ref="H3:J3"/>
  </mergeCells>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 sqref="E3"/>
    </sheetView>
  </sheetViews>
  <sheetFormatPr defaultColWidth="9.125" defaultRowHeight="14.25"/>
  <cols>
    <col min="1" max="1" width="8.125" style="1746" customWidth="1"/>
    <col min="2" max="2" width="10.1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1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305" t="s">
        <v>203</v>
      </c>
      <c r="B2" s="3305"/>
      <c r="C2" s="3305"/>
      <c r="D2" s="1743" t="s">
        <v>204</v>
      </c>
      <c r="E2" s="101" t="s">
        <v>205</v>
      </c>
      <c r="F2" s="2768"/>
      <c r="G2" s="1088"/>
      <c r="H2" s="1089"/>
      <c r="I2" s="1090" t="s">
        <v>836</v>
      </c>
      <c r="J2" s="2768"/>
      <c r="K2" s="2768"/>
      <c r="L2" s="2768"/>
      <c r="M2" s="2768"/>
      <c r="N2" s="2768"/>
      <c r="O2" s="2768"/>
      <c r="P2" s="2768"/>
    </row>
    <row r="3" spans="1:16" ht="15.75" thickBot="1">
      <c r="A3" s="3306" t="s">
        <v>206</v>
      </c>
      <c r="B3" s="3306"/>
      <c r="C3" s="3306"/>
      <c r="D3" s="102">
        <f>'数据-基础表'!AY6</f>
        <v>53757.04</v>
      </c>
      <c r="E3" s="102">
        <f>'数据-基础表'!AZ5</f>
        <v>139768.29999999999</v>
      </c>
      <c r="F3" s="2768"/>
      <c r="G3" s="110" t="s">
        <v>837</v>
      </c>
      <c r="H3" s="106" t="s">
        <v>838</v>
      </c>
      <c r="I3" s="1042">
        <f>ROUND('数据-基础表'!B3/'数据-基础表'!A3,2)</f>
        <v>2.6</v>
      </c>
      <c r="J3" s="2768"/>
      <c r="K3" s="2768"/>
      <c r="L3" s="2768"/>
      <c r="M3" s="2768"/>
      <c r="N3" s="2768"/>
      <c r="O3" s="2768"/>
      <c r="P3" s="2768"/>
    </row>
    <row r="4" spans="1:16" ht="15">
      <c r="A4" s="3307"/>
      <c r="B4" s="3308"/>
      <c r="C4" s="3309"/>
      <c r="D4" s="103" t="s">
        <v>204</v>
      </c>
      <c r="E4" s="104" t="s">
        <v>205</v>
      </c>
      <c r="F4" s="2768"/>
      <c r="G4" s="123"/>
      <c r="H4" s="106" t="s">
        <v>839</v>
      </c>
      <c r="I4" s="1042">
        <f>ROUND(SUMIF('数据-基础表'!I9:AS9,"地上",'数据-基础表'!I5:AS5)/'数据-基础表'!A3,2)</f>
        <v>2.6</v>
      </c>
      <c r="J4" s="2768"/>
      <c r="K4" s="2768"/>
      <c r="L4" s="2768"/>
      <c r="M4" s="2768"/>
      <c r="N4" s="2768"/>
      <c r="O4" s="2768"/>
      <c r="P4" s="2768"/>
    </row>
    <row r="5" spans="1:16">
      <c r="A5" s="105" t="s">
        <v>207</v>
      </c>
      <c r="B5" s="3310" t="s">
        <v>230</v>
      </c>
      <c r="C5" s="3310"/>
      <c r="D5" s="106">
        <f>ROUND($D$3*E5/$E$3,2)</f>
        <v>53757.04</v>
      </c>
      <c r="E5" s="107">
        <f>SUMIF('数据-基础表'!$11:$11,"住宅",'数据-基础表'!$5:$5)</f>
        <v>139768.29999999999</v>
      </c>
      <c r="F5" s="2768"/>
      <c r="G5" s="110" t="s">
        <v>840</v>
      </c>
      <c r="H5" s="106" t="s">
        <v>838</v>
      </c>
      <c r="I5" s="1042">
        <f>ROUND(E31/D31,2)</f>
        <v>2.6</v>
      </c>
      <c r="J5" s="2768"/>
      <c r="K5" s="2768"/>
      <c r="L5" s="2768"/>
      <c r="M5" s="2768"/>
      <c r="N5" s="2768"/>
      <c r="O5" s="2768"/>
      <c r="P5" s="2768"/>
    </row>
    <row r="6" spans="1:16" ht="15" thickBot="1">
      <c r="A6" s="108"/>
      <c r="B6" s="3310" t="s">
        <v>208</v>
      </c>
      <c r="C6" s="3310"/>
      <c r="D6" s="106">
        <f>ROUND($D$3*E6/$E$3,2)</f>
        <v>0</v>
      </c>
      <c r="E6" s="107">
        <f>E3-E5</f>
        <v>0</v>
      </c>
      <c r="F6" s="2768"/>
      <c r="G6" s="123"/>
      <c r="H6" s="106" t="s">
        <v>839</v>
      </c>
      <c r="I6" s="1042">
        <f>ROUND(F31/D31,2)</f>
        <v>2.6</v>
      </c>
      <c r="J6" s="2768"/>
      <c r="K6" s="2768"/>
      <c r="L6" s="2768"/>
      <c r="M6" s="2768"/>
      <c r="N6" s="2768"/>
      <c r="O6" s="2768"/>
      <c r="P6" s="2768"/>
    </row>
    <row r="7" spans="1:16" ht="15">
      <c r="A7" s="3302"/>
      <c r="B7" s="3303"/>
      <c r="C7" s="3304"/>
      <c r="D7" s="103" t="s">
        <v>204</v>
      </c>
      <c r="E7" s="109" t="s">
        <v>231</v>
      </c>
      <c r="F7" s="2768"/>
      <c r="G7" s="1047" t="s">
        <v>1444</v>
      </c>
      <c r="H7" s="1048"/>
      <c r="I7" s="132">
        <v>2.6</v>
      </c>
      <c r="J7" s="2768"/>
      <c r="K7" s="2768"/>
      <c r="L7" s="2768"/>
      <c r="M7" s="2768"/>
      <c r="N7" s="2768"/>
      <c r="O7" s="2768"/>
      <c r="P7" s="2768"/>
    </row>
    <row r="8" spans="1:16">
      <c r="A8" s="105" t="s">
        <v>209</v>
      </c>
      <c r="B8" s="110" t="s">
        <v>210</v>
      </c>
      <c r="C8" s="106" t="s">
        <v>211</v>
      </c>
      <c r="D8" s="106">
        <f t="shared" ref="D8:D15" si="0">ROUND($D$3*E8/$E$3,2)</f>
        <v>53757.04</v>
      </c>
      <c r="E8" s="111">
        <f>SUMIF('数据-基础表'!BB10:BK10,"地上",'数据-基础表'!BB5:BK5)</f>
        <v>139768.29999999999</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2116</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2123</v>
      </c>
      <c r="D13" s="106">
        <f t="shared" si="0"/>
        <v>0</v>
      </c>
      <c r="E13" s="111">
        <f>SUMPRODUCT(('数据-基础表'!BB10:BK10="地下")*('数据-基础表'!BB11:BK11="车库")*('数据-基础表'!BB5:BK5))</f>
        <v>0</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53757.04</v>
      </c>
      <c r="E16" s="115">
        <f>SUM(E8:E15)</f>
        <v>139768.29999999999</v>
      </c>
      <c r="F16" s="2768"/>
      <c r="G16" s="2768"/>
      <c r="H16" s="889" t="s">
        <v>219</v>
      </c>
      <c r="I16" s="890"/>
      <c r="J16" s="1745"/>
      <c r="K16" s="3296" t="s">
        <v>2283</v>
      </c>
      <c r="L16" s="3297"/>
      <c r="M16" s="3297"/>
      <c r="N16" s="3297"/>
      <c r="O16" s="3297"/>
      <c r="P16" s="3298"/>
    </row>
    <row r="17" spans="1:19" ht="15">
      <c r="A17" s="116" t="s">
        <v>216</v>
      </c>
      <c r="B17" s="117" t="s">
        <v>217</v>
      </c>
      <c r="C17" s="2000" t="s">
        <v>2102</v>
      </c>
      <c r="D17" s="103" t="s">
        <v>204</v>
      </c>
      <c r="E17" s="119" t="s">
        <v>205</v>
      </c>
      <c r="F17" s="120"/>
      <c r="G17" s="1206"/>
      <c r="H17" s="891" t="s">
        <v>218</v>
      </c>
      <c r="I17" s="892" t="s">
        <v>2101</v>
      </c>
      <c r="J17" s="1745"/>
      <c r="K17" s="3299" t="s">
        <v>2284</v>
      </c>
      <c r="L17" s="3300"/>
      <c r="M17" s="3301"/>
      <c r="N17" s="3299" t="s">
        <v>2285</v>
      </c>
      <c r="O17" s="3300"/>
      <c r="P17" s="3301"/>
      <c r="R17" s="2001" t="s">
        <v>2100</v>
      </c>
      <c r="S17" s="129"/>
    </row>
    <row r="18" spans="1:19" ht="15">
      <c r="A18" s="112"/>
      <c r="B18" s="123"/>
      <c r="C18" s="100"/>
      <c r="D18" s="1743"/>
      <c r="E18" s="124" t="s">
        <v>220</v>
      </c>
      <c r="F18" s="125" t="s">
        <v>221</v>
      </c>
      <c r="G18" s="1207" t="s">
        <v>222</v>
      </c>
      <c r="H18" s="893" t="s">
        <v>223</v>
      </c>
      <c r="I18" s="894" t="s">
        <v>224</v>
      </c>
      <c r="J18" s="1745"/>
      <c r="K18" s="2216" t="s">
        <v>2286</v>
      </c>
      <c r="L18" s="2217" t="s">
        <v>2287</v>
      </c>
      <c r="M18" s="2218" t="s">
        <v>2288</v>
      </c>
      <c r="N18" s="2216" t="s">
        <v>2286</v>
      </c>
      <c r="O18" s="2217" t="s">
        <v>2287</v>
      </c>
      <c r="P18" s="2218" t="s">
        <v>2288</v>
      </c>
      <c r="R18" s="2002" t="s">
        <v>2098</v>
      </c>
      <c r="S18" s="2002" t="s">
        <v>2099</v>
      </c>
    </row>
    <row r="19" spans="1:19">
      <c r="A19" s="127"/>
      <c r="B19" s="110" t="s">
        <v>225</v>
      </c>
      <c r="C19" s="2465" t="s">
        <v>3149</v>
      </c>
      <c r="D19" s="106">
        <f t="shared" ref="D19:D26" si="1">ROUND($D$3*E19/$E$3,2)</f>
        <v>53757.04</v>
      </c>
      <c r="E19" s="128">
        <f t="shared" ref="E19:E26" si="2">SUM(F19:G19)</f>
        <v>139768.29999999999</v>
      </c>
      <c r="F19" s="2769">
        <f>'数据-基础表'!I13</f>
        <v>139768.29999999999</v>
      </c>
      <c r="G19" s="2770"/>
      <c r="H19" s="895">
        <f>ROUND($D$3*I19/$E$3,2)</f>
        <v>0</v>
      </c>
      <c r="I19" s="111">
        <f>IF($I$17="自定义",P19,M19)</f>
        <v>0</v>
      </c>
      <c r="J19" s="1745"/>
      <c r="K19" s="895">
        <f t="shared" ref="K19:K26" si="3">ROUND(E$28*E19/E$27,2)</f>
        <v>0</v>
      </c>
      <c r="L19" s="106">
        <f t="shared" ref="L19:L26" si="4">ROUND(IF(COUNTIF(C19,"*住宅*")&gt;0,E$29*E19/E$32,0),2)</f>
        <v>0</v>
      </c>
      <c r="M19" s="111">
        <f>K19+L19</f>
        <v>0</v>
      </c>
      <c r="N19" s="2219"/>
      <c r="O19" s="2220"/>
      <c r="P19" s="2221">
        <f>N19+O19</f>
        <v>0</v>
      </c>
      <c r="R19" s="106">
        <f t="shared" ref="R19:S26" si="5">D19+H19</f>
        <v>53757.04</v>
      </c>
      <c r="S19" s="128">
        <f t="shared" si="5"/>
        <v>139768.29999999999</v>
      </c>
    </row>
    <row r="20" spans="1:19">
      <c r="A20" s="127"/>
      <c r="B20" s="110" t="s">
        <v>226</v>
      </c>
      <c r="C20" s="2465"/>
      <c r="D20" s="106">
        <f t="shared" si="1"/>
        <v>0</v>
      </c>
      <c r="E20" s="128">
        <f t="shared" si="2"/>
        <v>0</v>
      </c>
      <c r="F20" s="2769"/>
      <c r="G20" s="2770"/>
      <c r="H20" s="895">
        <f t="shared" ref="H20:H26" si="6">ROUND($D$3*I20/$E$3,2)</f>
        <v>0</v>
      </c>
      <c r="I20" s="111">
        <f t="shared" ref="I20:I26" si="7">IF($I$17="自定义",P20,M20)</f>
        <v>0</v>
      </c>
      <c r="J20" s="1745"/>
      <c r="K20" s="895">
        <f t="shared" si="3"/>
        <v>0</v>
      </c>
      <c r="L20" s="106">
        <f t="shared" si="4"/>
        <v>0</v>
      </c>
      <c r="M20" s="111">
        <f t="shared" ref="M20:M26" si="8">K20+L20</f>
        <v>0</v>
      </c>
      <c r="N20" s="2219"/>
      <c r="O20" s="2220"/>
      <c r="P20" s="2221">
        <f t="shared" ref="P20:P26" si="9">N20+O20</f>
        <v>0</v>
      </c>
      <c r="R20" s="106">
        <f t="shared" si="5"/>
        <v>0</v>
      </c>
      <c r="S20" s="128">
        <f t="shared" si="5"/>
        <v>0</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53757.04</v>
      </c>
      <c r="E27" s="134">
        <f>IF(SUM(E19:E26)='数据-基础表'!BA5,SUM(E19:E26),IF(F27="地上面积有误","面积有误","地下面积有误"))</f>
        <v>139768.29999999999</v>
      </c>
      <c r="F27" s="128">
        <f>IF(SUM(F19:F26)=E8,SUM(F19:F26),"地上面积有误")</f>
        <v>139768.29999999999</v>
      </c>
      <c r="G27" s="107">
        <f>SUM(G19:G26)</f>
        <v>0</v>
      </c>
      <c r="H27" s="896">
        <f>SUM(H19:H26)</f>
        <v>0</v>
      </c>
      <c r="I27" s="897">
        <f>SUM(I19:I26)</f>
        <v>0</v>
      </c>
      <c r="J27" s="1745"/>
      <c r="K27" s="2225">
        <f>SUM(K19:K26)</f>
        <v>0</v>
      </c>
      <c r="L27" s="2226">
        <f>SUM(L19:L26)</f>
        <v>0</v>
      </c>
      <c r="M27" s="2227">
        <f>SUM(M19:M26)</f>
        <v>0</v>
      </c>
      <c r="N27" s="2225">
        <f t="shared" ref="N27:O27" si="10">SUM(N19:N26)</f>
        <v>0</v>
      </c>
      <c r="O27" s="2226">
        <f t="shared" si="10"/>
        <v>0</v>
      </c>
      <c r="P27" s="199">
        <f>SUM(P19:P26)</f>
        <v>0</v>
      </c>
      <c r="R27" s="2006">
        <f>IF(SUM(R19:R26)=$D$3,SUM(R19:R26),SUM(R19:R26)&amp;"误差"&amp;ROUND(SUM(R19:R26)-$D$3,2))</f>
        <v>53757.04</v>
      </c>
      <c r="S27" s="106">
        <f>IF(SUM(S19:S26)=$E$3,SUM(S19:S26),SUM(S19:S26)&amp;"误差"&amp;ROUND(SUM(S19:S26)-E3,2))</f>
        <v>139768.29999999999</v>
      </c>
    </row>
    <row r="28" spans="1:19">
      <c r="A28" s="127"/>
      <c r="B28" s="110" t="s">
        <v>227</v>
      </c>
      <c r="C28" s="129" t="s">
        <v>228</v>
      </c>
      <c r="D28" s="106">
        <f>ROUND($D$3*E28/$E$3,2)</f>
        <v>0</v>
      </c>
      <c r="E28" s="128">
        <f>SUM(F28:G28)</f>
        <v>0</v>
      </c>
      <c r="F28" s="129">
        <f>'数据-基础表'!BQ5+'数据-基础表'!BS5</f>
        <v>0</v>
      </c>
      <c r="G28" s="135">
        <f>'数据-基础表'!BR5+'数据-基础表'!BT5</f>
        <v>0</v>
      </c>
      <c r="H28" s="2768"/>
      <c r="I28" s="2768"/>
      <c r="J28" s="2768"/>
      <c r="K28" s="2768"/>
      <c r="L28" s="2768"/>
      <c r="M28" s="2768"/>
      <c r="N28" s="2768"/>
      <c r="O28" s="2768"/>
      <c r="P28" s="2768"/>
    </row>
    <row r="29" spans="1:19">
      <c r="A29" s="127"/>
      <c r="B29" s="110" t="s">
        <v>227</v>
      </c>
      <c r="C29" s="2014" t="s">
        <v>2109</v>
      </c>
      <c r="D29" s="106">
        <f>ROUND($D$3*E29/$E$3,2)</f>
        <v>0</v>
      </c>
      <c r="E29" s="128">
        <f>SUM(F29:G29)</f>
        <v>0</v>
      </c>
      <c r="F29" s="129">
        <f>'数据-基础表'!BM5+'数据-基础表'!BO5</f>
        <v>0</v>
      </c>
      <c r="G29" s="115">
        <f>'数据-基础表'!BN5+'数据-基础表'!BP5</f>
        <v>0</v>
      </c>
      <c r="H29" s="2768"/>
      <c r="I29" s="2768"/>
      <c r="J29" s="2768"/>
      <c r="K29" s="2768"/>
      <c r="L29" s="2768"/>
      <c r="M29" s="2768"/>
      <c r="N29" s="2768"/>
      <c r="O29" s="2768"/>
      <c r="P29" s="2768"/>
    </row>
    <row r="30" spans="1:19">
      <c r="A30" s="127"/>
      <c r="B30" s="106"/>
      <c r="C30" s="136" t="s">
        <v>215</v>
      </c>
      <c r="D30" s="128">
        <f>SUM(D28:D29)</f>
        <v>0</v>
      </c>
      <c r="E30" s="128">
        <f>SUM(E28:E29)</f>
        <v>0</v>
      </c>
      <c r="F30" s="128">
        <f>SUM(F28:F29)</f>
        <v>0</v>
      </c>
      <c r="G30" s="107">
        <f>SUM(G28:G29)</f>
        <v>0</v>
      </c>
      <c r="H30" s="2768"/>
      <c r="I30" s="2768"/>
      <c r="J30" s="2768"/>
      <c r="K30" s="2768"/>
      <c r="L30" s="2768"/>
      <c r="M30" s="2768"/>
      <c r="N30" s="2768"/>
      <c r="O30" s="2768"/>
      <c r="P30" s="2768"/>
    </row>
    <row r="31" spans="1:19" ht="32.25" customHeight="1" thickBot="1">
      <c r="A31" s="1208"/>
      <c r="B31" s="1209" t="s">
        <v>229</v>
      </c>
      <c r="C31" s="2031" t="s">
        <v>2111</v>
      </c>
      <c r="D31" s="1210">
        <f>D27+D30</f>
        <v>53757.04</v>
      </c>
      <c r="E31" s="1210">
        <f>E27+E30</f>
        <v>139768.29999999999</v>
      </c>
      <c r="F31" s="1211">
        <f>F27+F30</f>
        <v>139768.29999999999</v>
      </c>
      <c r="G31" s="1212">
        <f>G27+G30</f>
        <v>0</v>
      </c>
      <c r="H31" s="2768"/>
      <c r="I31" s="2768"/>
      <c r="J31" s="2768"/>
      <c r="K31" s="2768"/>
      <c r="L31" s="2768"/>
      <c r="M31" s="2768"/>
      <c r="N31" s="2768"/>
      <c r="O31" s="2768"/>
      <c r="P31" s="2768"/>
    </row>
    <row r="32" spans="1:19">
      <c r="A32" s="1745"/>
      <c r="B32" s="2043" t="s">
        <v>2110</v>
      </c>
      <c r="C32" s="2240"/>
      <c r="D32" s="123"/>
      <c r="E32" s="123">
        <f>SUMIF(C19:C26,"*住宅*",E19:E26)</f>
        <v>139768.29999999999</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625" defaultRowHeight="12.75"/>
  <cols>
    <col min="1" max="1" width="20.875" style="1102" customWidth="1"/>
    <col min="2" max="3" width="12" style="1091" customWidth="1"/>
    <col min="4" max="4" width="9.125" style="1103" customWidth="1"/>
    <col min="5" max="5" width="16.625" style="1091" customWidth="1"/>
    <col min="6" max="10" width="8.875" style="1091" customWidth="1"/>
    <col min="11" max="12" width="12.375" style="1104" customWidth="1"/>
    <col min="13" max="13" width="8.625" style="1091" customWidth="1"/>
    <col min="14"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625" style="1091" customWidth="1"/>
    <col min="25" max="25" width="8.125" style="1091" customWidth="1"/>
    <col min="26" max="30" width="6.625" style="1091" customWidth="1"/>
    <col min="31" max="31" width="6.5" style="1091" customWidth="1"/>
    <col min="32" max="34" width="7.125" style="1091" customWidth="1"/>
    <col min="35" max="39" width="8" style="1091" customWidth="1"/>
    <col min="40" max="41" width="13.625" style="242"/>
    <col min="42" max="42" width="13.625" style="242" customWidth="1"/>
    <col min="43" max="83" width="13.625" style="242"/>
    <col min="84" max="16384" width="13.62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44895</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843</v>
      </c>
      <c r="B4" s="141"/>
      <c r="C4" s="142"/>
      <c r="D4" s="1095"/>
      <c r="E4" s="1096" t="s">
        <v>844</v>
      </c>
      <c r="F4" s="142"/>
      <c r="G4" s="142"/>
      <c r="H4" s="142"/>
      <c r="I4" s="142"/>
      <c r="J4" s="143"/>
      <c r="K4" s="1097"/>
      <c r="L4" s="1098"/>
      <c r="M4" s="142"/>
      <c r="N4" s="1096" t="s">
        <v>845</v>
      </c>
      <c r="O4" s="142"/>
      <c r="P4" s="142"/>
      <c r="Q4" s="142"/>
      <c r="R4" s="142"/>
      <c r="S4" s="143"/>
      <c r="T4" s="898" t="str">
        <f>'数据-汇总表'!I17</f>
        <v>按面积比例</v>
      </c>
      <c r="U4" s="141" t="s">
        <v>846</v>
      </c>
      <c r="V4" s="142"/>
      <c r="W4" s="142"/>
      <c r="X4" s="142"/>
      <c r="Y4" s="143"/>
      <c r="Z4" s="118" t="s">
        <v>847</v>
      </c>
      <c r="AA4" s="118"/>
      <c r="AB4" s="118"/>
      <c r="AC4" s="118"/>
      <c r="AD4" s="118"/>
      <c r="AE4" s="116" t="s">
        <v>848</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54">
      <c r="A5" s="2005" t="s">
        <v>2113</v>
      </c>
      <c r="B5" s="145" t="s">
        <v>236</v>
      </c>
      <c r="C5" s="146" t="s">
        <v>237</v>
      </c>
      <c r="D5" s="147" t="s">
        <v>238</v>
      </c>
      <c r="E5" s="148" t="s">
        <v>239</v>
      </c>
      <c r="F5" s="149" t="s">
        <v>240</v>
      </c>
      <c r="G5" s="148" t="s">
        <v>241</v>
      </c>
      <c r="H5" s="148" t="s">
        <v>841</v>
      </c>
      <c r="I5" s="148" t="s">
        <v>842</v>
      </c>
      <c r="J5" s="150" t="s">
        <v>242</v>
      </c>
      <c r="K5" s="151" t="s">
        <v>243</v>
      </c>
      <c r="L5" s="152" t="s">
        <v>244</v>
      </c>
      <c r="M5" s="153" t="s">
        <v>245</v>
      </c>
      <c r="N5" s="1105" t="s">
        <v>3152</v>
      </c>
      <c r="O5" s="152" t="s">
        <v>246</v>
      </c>
      <c r="P5" s="154" t="s">
        <v>247</v>
      </c>
      <c r="Q5" s="155" t="s">
        <v>248</v>
      </c>
      <c r="R5" s="156" t="s">
        <v>249</v>
      </c>
      <c r="S5" s="2228" t="s">
        <v>2289</v>
      </c>
      <c r="T5" s="157" t="s">
        <v>250</v>
      </c>
      <c r="U5" s="158" t="s">
        <v>251</v>
      </c>
      <c r="V5" s="148" t="s">
        <v>252</v>
      </c>
      <c r="W5" s="148" t="s">
        <v>253</v>
      </c>
      <c r="X5" s="1592"/>
      <c r="Y5" s="159" t="s">
        <v>254</v>
      </c>
      <c r="Z5" s="160" t="s">
        <v>255</v>
      </c>
      <c r="AA5" s="148" t="s">
        <v>252</v>
      </c>
      <c r="AB5" s="148" t="s">
        <v>253</v>
      </c>
      <c r="AC5" s="1593"/>
      <c r="AD5" s="161" t="s">
        <v>254</v>
      </c>
      <c r="AE5" s="1" t="s">
        <v>849</v>
      </c>
      <c r="AF5" s="148" t="s">
        <v>256</v>
      </c>
      <c r="AG5" s="159" t="s">
        <v>257</v>
      </c>
      <c r="AH5" s="1593" t="s">
        <v>2112</v>
      </c>
      <c r="AI5" s="160" t="s">
        <v>2081</v>
      </c>
      <c r="AJ5" s="160" t="s">
        <v>258</v>
      </c>
      <c r="AK5" s="148" t="s">
        <v>259</v>
      </c>
      <c r="AL5" s="148" t="s">
        <v>260</v>
      </c>
      <c r="AM5" s="161" t="s">
        <v>261</v>
      </c>
      <c r="AN5" s="2065" t="s">
        <v>2159</v>
      </c>
      <c r="AO5" s="2786"/>
      <c r="AP5" s="2773" t="s">
        <v>2701</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901</v>
      </c>
      <c r="D6" s="2009">
        <f>SUMIF(项目基本情况!D$15:I$15,C6,项目基本情况!D$18:I$18)</f>
        <v>70</v>
      </c>
      <c r="E6" s="2010">
        <f>IF(B6="","",SUMIF(项目基本情况!D$15:I$15,C6,项目基本情况!D$17:I$17))</f>
        <v>69334</v>
      </c>
      <c r="F6" s="163">
        <f>SUMIF(项目基本情况!D$15:I$15,C6,项目基本情况!D$19:I$19)</f>
        <v>66.95</v>
      </c>
      <c r="G6" s="164">
        <f>IF(ISERROR(ROUND(POWER(1+H6,D6-F6)*(POWER(1+H6,F6)-1)/(POWER(1+H6,D6)-1),3)),0,ROUND(POWER(1+H6,D6-F6)*(POWER(1+H6,F6)-1)/(POWER(1+H6,D6)-1),3))</f>
        <v>0.99299999999999999</v>
      </c>
      <c r="H6" s="2466">
        <v>4.4999999999999998E-2</v>
      </c>
      <c r="I6" s="2466">
        <v>0.05</v>
      </c>
      <c r="J6" s="165">
        <v>7.4999999999999997E-2</v>
      </c>
      <c r="K6" s="168">
        <f>SUMIF('数据-汇总表'!C$19:C$33,'数据-取费表'!A6,'数据-汇总表'!E$19:E$33)</f>
        <v>139768.29999999999</v>
      </c>
      <c r="L6" s="3217">
        <v>2000</v>
      </c>
      <c r="M6" s="166">
        <f t="shared" ref="M6:M14" si="0">ROUND(K6*L6/10000,0)</f>
        <v>27954</v>
      </c>
      <c r="N6" s="2468">
        <v>0</v>
      </c>
      <c r="O6" s="166">
        <f>IF($N$5="成新度","——",ROUND(M6*N6,0))</f>
        <v>0</v>
      </c>
      <c r="P6" s="167">
        <f>IF($N$5="成新度","——",M6-O6)</f>
        <v>27954</v>
      </c>
      <c r="Q6" s="3221">
        <v>0.12</v>
      </c>
      <c r="R6" s="168">
        <f>SUMIF('数据-汇总表'!C$19:C$33,A6,'数据-汇总表'!R$19:R$33)</f>
        <v>53757.04</v>
      </c>
      <c r="S6" s="126">
        <f>IF('数据-汇总表'!$I$17="按面积比例",SUMIF('数据-汇总表'!C$19:C$33,A6,'数据-汇总表'!K$19:K$33),SUMIF('数据-汇总表'!C$19:C$33,A6,'数据-汇总表'!N$19:N$33))</f>
        <v>0</v>
      </c>
      <c r="T6" s="1941" t="str">
        <f>IF($T$4="按面积比例",IF(ISERROR(ROUND($M$14*S6/S$16,0)),"0",ROUND($M$14*S6/S$16,0)),"需自行计算录入")</f>
        <v>0</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0.94699999999999995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f>'数据-汇总表'!C20</f>
        <v>0</v>
      </c>
      <c r="B7" s="2038" t="str">
        <f t="shared" ref="B7:B13" si="1">IF(A7=0,"","经营性")</f>
        <v/>
      </c>
      <c r="C7" s="162" t="s">
        <v>3121</v>
      </c>
      <c r="D7" s="2009">
        <f>SUMIF(项目基本情况!D$15:I$15,C7,项目基本情况!D$18:I$18)</f>
        <v>40</v>
      </c>
      <c r="E7" s="2010" t="str">
        <f>IF(B7="","",SUMIF(项目基本情况!D$15:I$15,C7,项目基本情况!D$17:I$17))</f>
        <v/>
      </c>
      <c r="F7" s="163">
        <f>SUMIF(项目基本情况!D$15:I$15,C7,项目基本情况!D$19:I$19)</f>
        <v>36.93</v>
      </c>
      <c r="G7" s="164">
        <f t="shared" ref="G7:G11" si="2">IF(ISERROR(ROUND(POWER(1+H7,D7-F7)*(POWER(1+H7,F7)-1)/(POWER(1+H7,D7)-1),3)),0,ROUND(POWER(1+H7,D7-F7)*(POWER(1+H7,F7)-1)/(POWER(1+H7,D7)-1),3))</f>
        <v>0.97299999999999998</v>
      </c>
      <c r="H7" s="2466">
        <v>0.05</v>
      </c>
      <c r="I7" s="2466">
        <v>5.5E-2</v>
      </c>
      <c r="J7" s="165">
        <v>7.4999999999999997E-2</v>
      </c>
      <c r="K7" s="168">
        <f>SUMIF('数据-汇总表'!C$19:C$33,'数据-取费表'!A7,'数据-汇总表'!E$19:E$33)</f>
        <v>0</v>
      </c>
      <c r="L7" s="2467">
        <f>L6</f>
        <v>2000</v>
      </c>
      <c r="M7" s="166">
        <f t="shared" si="0"/>
        <v>0</v>
      </c>
      <c r="N7" s="2468">
        <v>0</v>
      </c>
      <c r="O7" s="166">
        <f t="shared" ref="O7:O14" si="3">IF($N$5="成新度","——",ROUND(M7*N7,0))</f>
        <v>0</v>
      </c>
      <c r="P7" s="167">
        <f t="shared" ref="P7:P14" si="4">IF($N$5="成新度","——",M7-O7)</f>
        <v>0</v>
      </c>
      <c r="Q7" s="3221">
        <v>0.2</v>
      </c>
      <c r="R7" s="168">
        <f>SUMIF('数据-汇总表'!C$19:C$33,A7,'数据-汇总表'!R$19:R$33)</f>
        <v>0</v>
      </c>
      <c r="S7" s="126">
        <f>IF('数据-汇总表'!$I$17="按面积比例",SUMIF('数据-汇总表'!C$19:C$33,A7,'数据-汇总表'!K$19:K$33),SUMIF('数据-汇总表'!C$19:C$33,A7,'数据-汇总表'!N$19:N$33))</f>
        <v>0</v>
      </c>
      <c r="T7" s="1941" t="str">
        <f t="shared" ref="T7:T13" si="5">IF($T$4="按面积比例",IF(ISERROR(ROUND($M$14*S7/S$16,0)),"0",ROUND($M$14*S7/S$16,0)),"需自行计算录入")</f>
        <v>0</v>
      </c>
      <c r="U7" s="169">
        <v>2</v>
      </c>
      <c r="V7" s="170">
        <v>2.5000000000000001E-2</v>
      </c>
      <c r="W7" s="170">
        <v>0.15</v>
      </c>
      <c r="X7" s="2022"/>
      <c r="Y7" s="171">
        <v>1</v>
      </c>
      <c r="Z7" s="172"/>
      <c r="AA7" s="165"/>
      <c r="AB7" s="165"/>
      <c r="AC7" s="2025"/>
      <c r="AD7" s="173"/>
      <c r="AE7" s="893" t="e">
        <f t="shared" ref="AE7:AE13" ca="1" si="6">IF(AN7="",0,SUMIF(INDIRECT("'"&amp;AN7&amp;"'"&amp;"!E:E"),$AE$5,INDIRECT("'"&amp;AN7&amp;"'"&amp;"!F:F")))</f>
        <v>#N/A</v>
      </c>
      <c r="AF7" s="132"/>
      <c r="AG7" s="1100">
        <f t="shared" ref="AG7:AG13" si="7">IF(AF7="",0,AE7-AF7)</f>
        <v>0</v>
      </c>
      <c r="AH7" s="132"/>
      <c r="AI7" s="176">
        <v>365</v>
      </c>
      <c r="AJ7" s="132"/>
      <c r="AK7" s="3215">
        <v>0.01</v>
      </c>
      <c r="AL7" s="178">
        <v>1.5E-3</v>
      </c>
      <c r="AM7" s="1591">
        <v>0.01</v>
      </c>
      <c r="AN7" s="1171" t="s">
        <v>3159</v>
      </c>
      <c r="AO7" s="2768"/>
      <c r="AP7" s="100">
        <f t="shared" ref="AP7:AP13" si="8">ROUND(1-1/(1+H7)^F7,3)</f>
        <v>0.83499999999999996</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t="s">
        <v>3147</v>
      </c>
      <c r="D8" s="2009">
        <f>SUMIF(项目基本情况!D$15:I$15,C8,项目基本情况!D$18:I$18)</f>
        <v>50</v>
      </c>
      <c r="E8" s="2010" t="str">
        <f>IF(B8="","",SUMIF(项目基本情况!D$15:I$15,C8,项目基本情况!D$17:I$17))</f>
        <v/>
      </c>
      <c r="F8" s="163">
        <f>SUMIF(项目基本情况!D$15:I$15,C8,项目基本情况!D$19:I$19)</f>
        <v>46.94</v>
      </c>
      <c r="G8" s="164">
        <f t="shared" si="2"/>
        <v>0.98199999999999998</v>
      </c>
      <c r="H8" s="2466">
        <v>4.4999999999999998E-2</v>
      </c>
      <c r="I8" s="2466">
        <v>0.05</v>
      </c>
      <c r="J8" s="165">
        <v>7.4999999999999997E-2</v>
      </c>
      <c r="K8" s="168">
        <f>SUMIF('数据-汇总表'!C$19:C$33,'数据-取费表'!A8,'数据-汇总表'!E$19:E$33)</f>
        <v>0</v>
      </c>
      <c r="L8" s="2467">
        <f>L6</f>
        <v>2000</v>
      </c>
      <c r="M8" s="166">
        <f>ROUND(K8*L8/10000,0)</f>
        <v>0</v>
      </c>
      <c r="N8" s="2468">
        <v>0</v>
      </c>
      <c r="O8" s="166">
        <f t="shared" si="3"/>
        <v>0</v>
      </c>
      <c r="P8" s="167">
        <f t="shared" si="4"/>
        <v>0</v>
      </c>
      <c r="Q8" s="2469">
        <v>0.05</v>
      </c>
      <c r="R8" s="168">
        <f>SUMIF('数据-汇总表'!C$19:C$33,A8,'数据-汇总表'!R$19:R$33)</f>
        <v>0</v>
      </c>
      <c r="S8" s="126">
        <f>IF('数据-汇总表'!$I$17="按面积比例",SUMIF('数据-汇总表'!C$19:C$33,A8,'数据-汇总表'!K$19:K$33),SUMIF('数据-汇总表'!C$19:C$33,A8,'数据-汇总表'!N$19:N$33))</f>
        <v>0</v>
      </c>
      <c r="T8" s="1941" t="str">
        <f t="shared" si="5"/>
        <v>0</v>
      </c>
      <c r="U8" s="169">
        <v>0.3</v>
      </c>
      <c r="V8" s="3220">
        <v>0.02</v>
      </c>
      <c r="W8" s="3220">
        <v>0.2</v>
      </c>
      <c r="X8" s="2022"/>
      <c r="Y8" s="171">
        <v>1</v>
      </c>
      <c r="Z8" s="172"/>
      <c r="AA8" s="165"/>
      <c r="AB8" s="165"/>
      <c r="AC8" s="2025"/>
      <c r="AD8" s="173"/>
      <c r="AE8" s="893" t="e">
        <f t="shared" ca="1" si="6"/>
        <v>#N/A</v>
      </c>
      <c r="AF8" s="132"/>
      <c r="AG8" s="1100">
        <f t="shared" si="7"/>
        <v>0</v>
      </c>
      <c r="AH8" s="132"/>
      <c r="AI8" s="176">
        <v>365</v>
      </c>
      <c r="AJ8" s="132"/>
      <c r="AK8" s="3215">
        <v>0.01</v>
      </c>
      <c r="AL8" s="178">
        <v>1.5E-3</v>
      </c>
      <c r="AM8" s="1591">
        <v>0.01</v>
      </c>
      <c r="AN8" s="1171" t="s">
        <v>3748</v>
      </c>
      <c r="AO8" s="2768"/>
      <c r="AP8" s="100">
        <f t="shared" si="8"/>
        <v>0.873</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hidden="1">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t="str">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t="str">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t="str">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t="str">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t="str">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2103</v>
      </c>
      <c r="B14" s="2007" t="s">
        <v>1478</v>
      </c>
      <c r="C14" s="2008" t="s">
        <v>2103</v>
      </c>
      <c r="D14" s="2009"/>
      <c r="E14" s="2010"/>
      <c r="F14" s="163"/>
      <c r="G14" s="164"/>
      <c r="H14" s="2011"/>
      <c r="I14" s="2011"/>
      <c r="J14" s="2011"/>
      <c r="K14" s="168">
        <f>SUMIF('数据-汇总表'!C$19:C$33,'数据-取费表'!A14,'数据-汇总表'!E$19:E$33)</f>
        <v>0</v>
      </c>
      <c r="L14" s="181">
        <f>L6</f>
        <v>2000</v>
      </c>
      <c r="M14" s="166">
        <f t="shared" si="0"/>
        <v>0</v>
      </c>
      <c r="N14" s="182">
        <v>0</v>
      </c>
      <c r="O14" s="166">
        <f t="shared" si="3"/>
        <v>0</v>
      </c>
      <c r="P14" s="167">
        <f t="shared" si="4"/>
        <v>0</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2105</v>
      </c>
      <c r="B15" s="2007" t="s">
        <v>1478</v>
      </c>
      <c r="C15" s="2008" t="s">
        <v>2104</v>
      </c>
      <c r="D15" s="2009"/>
      <c r="E15" s="2010"/>
      <c r="F15" s="163"/>
      <c r="G15" s="164"/>
      <c r="H15" s="2011"/>
      <c r="I15" s="2011"/>
      <c r="J15" s="2011"/>
      <c r="K15" s="168">
        <f>SUMIF('数据-汇总表'!C$19:C$33,'数据-取费表'!A15,'数据-汇总表'!E$19:E$33)</f>
        <v>0</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0.99299999999999999</v>
      </c>
      <c r="H16" s="189">
        <f>ROUND(SUMPRODUCT(H6:H13,K6:K13)/SUMPRODUCT((H6:H13&gt;0)*(K6:K13)),3)</f>
        <v>4.4999999999999998E-2</v>
      </c>
      <c r="I16" s="190"/>
      <c r="J16" s="190"/>
      <c r="K16" s="191">
        <f>SUM(K6:K15)</f>
        <v>139768.29999999999</v>
      </c>
      <c r="L16" s="192">
        <f>ROUND(M16*10000/SUM(K6:K14),0)</f>
        <v>2000</v>
      </c>
      <c r="M16" s="192">
        <f>SUM(M6:M14)</f>
        <v>27954</v>
      </c>
      <c r="N16" s="193">
        <f>ROUND(SUMPRODUCT(M6:M14,N6:N14)/M16,3)</f>
        <v>0</v>
      </c>
      <c r="O16" s="192">
        <f>SUM(O6:O14)</f>
        <v>0</v>
      </c>
      <c r="P16" s="192">
        <f>SUM(P6:P14)</f>
        <v>27954</v>
      </c>
      <c r="Q16" s="194">
        <f>ROUND(SUMPRODUCT(Q6:Q13,K6:K13)/SUMPRODUCT((Q6:Q13&gt;0)*(K6:K13)),2)</f>
        <v>0.12</v>
      </c>
      <c r="R16" s="2012">
        <f>SUM(R6:R13)</f>
        <v>53757.04</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0.94699999999999995</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f>Q16/B20</f>
        <v>0.06</v>
      </c>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2776"/>
      <c r="L18" s="2776"/>
      <c r="M18" s="2774"/>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2713</v>
      </c>
      <c r="D19" s="2777"/>
      <c r="E19" s="2768"/>
      <c r="F19" s="2768"/>
      <c r="G19" s="2768"/>
      <c r="H19" s="2768"/>
      <c r="I19" s="2768"/>
      <c r="J19" s="2768"/>
      <c r="K19" s="2768"/>
      <c r="L19" s="3218" t="s">
        <v>2050</v>
      </c>
      <c r="M19" s="3218" t="s">
        <v>3781</v>
      </c>
      <c r="N19" s="3219" t="s">
        <v>2051</v>
      </c>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2124</v>
      </c>
      <c r="D20" s="2777"/>
      <c r="E20" s="2768"/>
      <c r="F20" s="2768"/>
      <c r="G20" s="2768"/>
      <c r="H20" s="2768"/>
      <c r="I20" s="2768"/>
      <c r="J20" s="2768"/>
      <c r="K20" s="3191" t="s">
        <v>3782</v>
      </c>
      <c r="L20" s="2776">
        <v>1524</v>
      </c>
      <c r="M20" s="2776">
        <v>1841</v>
      </c>
      <c r="N20" s="2774">
        <v>1951</v>
      </c>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2126</v>
      </c>
      <c r="B27" s="213">
        <v>120</v>
      </c>
      <c r="C27" s="2788" t="s">
        <v>2714</v>
      </c>
      <c r="D27" s="2780"/>
      <c r="E27" s="2781"/>
      <c r="F27" s="2781"/>
      <c r="G27" s="2768"/>
      <c r="H27" s="3191" t="s">
        <v>3153</v>
      </c>
      <c r="I27" s="2768"/>
      <c r="J27" s="2768"/>
      <c r="K27" s="2776"/>
      <c r="L27" s="2776" t="s">
        <v>3154</v>
      </c>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2127</v>
      </c>
      <c r="B28" s="215">
        <v>120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2125</v>
      </c>
      <c r="B29" s="218"/>
      <c r="C29" s="2789" t="s">
        <v>2128</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v>0</v>
      </c>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2702</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3216">
        <v>0.06</v>
      </c>
      <c r="C34" s="2790" t="s">
        <v>2703</v>
      </c>
      <c r="D34" s="2791" t="s">
        <v>2710</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2704</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2705</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0.02</v>
      </c>
      <c r="C37" s="2790" t="s">
        <v>2706</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0.02</v>
      </c>
      <c r="C38" s="2790" t="s">
        <v>2706</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2235</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3222" t="s">
        <v>3783</v>
      </c>
      <c r="B40" s="2144">
        <f ca="1">IF(A40="利息：取LPR",存贷款利率!E2,存贷款利率!E2+C40)</f>
        <v>4.1499999999999995E-2</v>
      </c>
      <c r="C40" s="2937">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5.6000000000000001E-2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6.000000000000001E-3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7.0000000000000007E-2</v>
      </c>
      <c r="C44" s="2790" t="s">
        <v>2711</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2707</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2708</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c r="C47" s="2788" t="s">
        <v>2715</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0.04</v>
      </c>
      <c r="C48" s="2793" t="s">
        <v>2707</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2709</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0</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c r="C53" s="2784" t="s">
        <v>2604</v>
      </c>
      <c r="D53" s="2794" t="s">
        <v>2712</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2605</v>
      </c>
      <c r="B54" s="175">
        <v>13</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2606</v>
      </c>
      <c r="B55" s="175">
        <v>9</v>
      </c>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2607</v>
      </c>
      <c r="B56" s="175">
        <v>6</v>
      </c>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2608</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2609</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2610</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2611</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2612</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2613</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2614</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1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625" style="2824" customWidth="1"/>
    <col min="10" max="10" width="2.625" style="2824" customWidth="1"/>
    <col min="11" max="11" width="11.875" style="2824" customWidth="1"/>
    <col min="12" max="12" width="16.625" style="2824" customWidth="1"/>
    <col min="13" max="13" width="2.625" style="2824" customWidth="1"/>
    <col min="14" max="14" width="11.875" style="2824" customWidth="1"/>
    <col min="15" max="15" width="16.625" style="2824" customWidth="1"/>
    <col min="16" max="16" width="2.625" style="2824" customWidth="1"/>
    <col min="17" max="17" width="11.875" style="2824" customWidth="1"/>
    <col min="18" max="18" width="16.625" style="2803" customWidth="1"/>
    <col min="19" max="16384" width="9" style="2803"/>
  </cols>
  <sheetData>
    <row r="1" spans="1:18" s="2797" customFormat="1" ht="19.5" thickBot="1">
      <c r="A1" s="3311" t="s">
        <v>1462</v>
      </c>
      <c r="B1" s="3312"/>
      <c r="C1" s="3312"/>
      <c r="D1" s="3312"/>
      <c r="E1" s="3312"/>
      <c r="F1" s="3312"/>
      <c r="G1" s="3312"/>
      <c r="H1" s="2795"/>
      <c r="I1" s="2795"/>
      <c r="J1" s="2795"/>
      <c r="K1" s="2795"/>
      <c r="L1" s="2795"/>
      <c r="M1" s="2795"/>
      <c r="N1" s="2795"/>
      <c r="O1" s="2795"/>
      <c r="P1" s="2795"/>
      <c r="Q1" s="2796"/>
    </row>
    <row r="2" spans="1:18" ht="14.25" thickBot="1">
      <c r="A2" s="2798"/>
      <c r="B2" s="2799"/>
      <c r="C2" s="2800" t="s">
        <v>1463</v>
      </c>
      <c r="D2" s="2801"/>
      <c r="E2" s="2798"/>
      <c r="F2" s="2802"/>
      <c r="G2" s="2800" t="s">
        <v>1464</v>
      </c>
      <c r="H2" s="2803"/>
      <c r="I2" s="2803"/>
      <c r="J2" s="2803"/>
      <c r="K2" s="2803"/>
      <c r="L2" s="2803"/>
      <c r="M2" s="2803"/>
      <c r="N2" s="2803"/>
      <c r="O2" s="2803"/>
      <c r="P2" s="2803"/>
      <c r="Q2" s="2803"/>
    </row>
    <row r="3" spans="1:18" ht="40.5">
      <c r="A3" s="2804" t="s">
        <v>1465</v>
      </c>
      <c r="B3" s="2805" t="s">
        <v>1452</v>
      </c>
      <c r="C3" s="2806" t="s">
        <v>2621</v>
      </c>
      <c r="D3" s="2807"/>
      <c r="E3" s="2808" t="s">
        <v>1465</v>
      </c>
      <c r="F3" s="2809" t="s">
        <v>1453</v>
      </c>
      <c r="G3" s="2810" t="s">
        <v>2620</v>
      </c>
      <c r="H3" s="2803"/>
      <c r="I3" s="2803"/>
      <c r="J3" s="2803"/>
      <c r="K3" s="2803"/>
      <c r="L3" s="2803"/>
      <c r="M3" s="2803"/>
      <c r="N3" s="2803"/>
      <c r="O3" s="2803"/>
      <c r="P3" s="2803"/>
      <c r="Q3" s="2803"/>
    </row>
    <row r="4" spans="1:18" ht="40.5">
      <c r="A4" s="2808"/>
      <c r="B4" s="2811" t="s">
        <v>1466</v>
      </c>
      <c r="C4" s="2812" t="s">
        <v>2622</v>
      </c>
      <c r="D4" s="2807"/>
      <c r="E4" s="2813"/>
      <c r="F4" s="2814" t="s">
        <v>1467</v>
      </c>
      <c r="G4" s="2815" t="s">
        <v>2617</v>
      </c>
      <c r="H4" s="2803"/>
      <c r="I4" s="2803"/>
      <c r="J4" s="2803"/>
      <c r="K4" s="2803"/>
      <c r="L4" s="2803"/>
      <c r="M4" s="2803"/>
      <c r="N4" s="2803"/>
      <c r="O4" s="2803"/>
      <c r="P4" s="2803"/>
      <c r="Q4" s="2803"/>
    </row>
    <row r="5" spans="1:18" ht="41.25">
      <c r="A5" s="2808"/>
      <c r="B5" s="2811" t="s">
        <v>1468</v>
      </c>
      <c r="C5" s="2812" t="s">
        <v>2623</v>
      </c>
      <c r="D5" s="2807"/>
      <c r="E5" s="2813"/>
      <c r="F5" s="2811" t="s">
        <v>2263</v>
      </c>
      <c r="G5" s="2815" t="s">
        <v>2618</v>
      </c>
      <c r="H5" s="2803"/>
      <c r="I5" s="2803"/>
      <c r="J5" s="2803"/>
      <c r="K5" s="2803"/>
      <c r="L5" s="2803"/>
      <c r="M5" s="2803"/>
      <c r="N5" s="2803"/>
      <c r="O5" s="2803"/>
      <c r="P5" s="2803"/>
      <c r="Q5" s="2803"/>
    </row>
    <row r="6" spans="1:18" ht="40.5">
      <c r="A6" s="2808"/>
      <c r="B6" s="2811" t="s">
        <v>1454</v>
      </c>
      <c r="C6" s="2815" t="s">
        <v>2617</v>
      </c>
      <c r="D6" s="2807"/>
      <c r="E6" s="2813"/>
      <c r="F6" s="2811" t="s">
        <v>2264</v>
      </c>
      <c r="G6" s="2815" t="s">
        <v>2615</v>
      </c>
      <c r="H6" s="2803"/>
      <c r="I6" s="2803"/>
      <c r="J6" s="2803"/>
      <c r="K6" s="2803"/>
      <c r="L6" s="2803"/>
      <c r="M6" s="2803"/>
      <c r="N6" s="2803"/>
      <c r="O6" s="2803"/>
      <c r="P6" s="2803"/>
      <c r="Q6" s="2803"/>
    </row>
    <row r="7" spans="1:18" ht="27.75" thickBot="1">
      <c r="A7" s="2808"/>
      <c r="B7" s="2811" t="s">
        <v>2263</v>
      </c>
      <c r="C7" s="2815" t="s">
        <v>2618</v>
      </c>
      <c r="D7" s="2816"/>
      <c r="E7" s="2817"/>
      <c r="F7" s="2818" t="s">
        <v>1469</v>
      </c>
      <c r="G7" s="2819" t="s">
        <v>2619</v>
      </c>
      <c r="H7" s="2803"/>
      <c r="I7" s="2803"/>
      <c r="J7" s="2803"/>
      <c r="K7" s="2803"/>
      <c r="L7" s="2803"/>
      <c r="M7" s="2803"/>
      <c r="N7" s="2803"/>
      <c r="O7" s="2803"/>
      <c r="P7" s="2803"/>
      <c r="Q7" s="2803"/>
    </row>
    <row r="8" spans="1:18">
      <c r="A8" s="2808"/>
      <c r="B8" s="2811" t="s">
        <v>2264</v>
      </c>
      <c r="C8" s="2815" t="s">
        <v>2615</v>
      </c>
      <c r="D8" s="2816"/>
      <c r="E8" s="2816"/>
      <c r="F8" s="2820"/>
      <c r="G8" s="2820"/>
      <c r="H8" s="2803"/>
      <c r="I8" s="2803"/>
      <c r="J8" s="2803"/>
      <c r="K8" s="2803"/>
      <c r="L8" s="2803"/>
      <c r="M8" s="2803"/>
      <c r="N8" s="2803"/>
      <c r="O8" s="2803"/>
      <c r="P8" s="2803"/>
      <c r="Q8" s="2803"/>
    </row>
    <row r="9" spans="1:18" ht="27">
      <c r="A9" s="2808"/>
      <c r="B9" s="2811" t="s">
        <v>1455</v>
      </c>
      <c r="C9" s="2812" t="s">
        <v>2616</v>
      </c>
      <c r="D9" s="2807"/>
      <c r="E9" s="2816"/>
      <c r="F9" s="2820"/>
      <c r="G9" s="2820"/>
      <c r="H9" s="2803"/>
      <c r="I9" s="2803"/>
      <c r="J9" s="2803"/>
      <c r="K9" s="2803"/>
      <c r="L9" s="2803"/>
      <c r="M9" s="2803"/>
      <c r="N9" s="2803"/>
      <c r="O9" s="2803"/>
      <c r="P9" s="2803"/>
      <c r="Q9" s="2803"/>
    </row>
    <row r="10" spans="1:18" ht="15" thickBot="1">
      <c r="A10" s="2821"/>
      <c r="B10" s="2822" t="s">
        <v>1470</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1471</v>
      </c>
      <c r="B13" s="2827"/>
      <c r="C13" s="2827"/>
      <c r="D13" s="2801"/>
      <c r="E13" s="2827"/>
      <c r="F13" s="2827"/>
      <c r="G13" s="2827"/>
    </row>
    <row r="14" spans="1:18" ht="14.25" thickBot="1">
      <c r="A14" s="2832"/>
      <c r="B14" s="2832"/>
      <c r="C14" s="2833" t="s">
        <v>1463</v>
      </c>
      <c r="D14" s="2807"/>
      <c r="E14" s="2834"/>
      <c r="F14" s="2834"/>
      <c r="G14" s="2800" t="s">
        <v>1464</v>
      </c>
    </row>
    <row r="15" spans="1:18" ht="40.5">
      <c r="A15" s="2835" t="s">
        <v>1456</v>
      </c>
      <c r="B15" s="2836" t="s">
        <v>1452</v>
      </c>
      <c r="C15" s="2837" t="str">
        <f>C3</f>
        <v>估价对象周边居住用地比例、居住小区规模和社区发展完善程度，综合评价居住社区成熟度一般</v>
      </c>
      <c r="D15" s="2807"/>
      <c r="E15" s="2838" t="s">
        <v>1457</v>
      </c>
      <c r="F15" s="2836" t="s">
        <v>1472</v>
      </c>
      <c r="G15" s="2839" t="str">
        <f>G3</f>
        <v>估价对象位于XX开发区，园区建设成熟度XX，产业集聚程度XX</v>
      </c>
    </row>
    <row r="16" spans="1:18" ht="40.5">
      <c r="A16" s="2840"/>
      <c r="B16" s="2841" t="s">
        <v>1466</v>
      </c>
      <c r="C16" s="2842" t="str">
        <f>C4</f>
        <v>估价对象位于XX商圈，周边商业氛围成熟，人流量大，商业繁华度好</v>
      </c>
      <c r="D16" s="2807"/>
      <c r="E16" s="2843"/>
      <c r="F16" s="2844" t="s">
        <v>1467</v>
      </c>
      <c r="G16" s="2845" t="str">
        <f>G4</f>
        <v>估价对象周边道路状况、公共交通通达情况、停车便捷程度，综合评价交通便捷度较好</v>
      </c>
    </row>
    <row r="17" spans="1:7" ht="40.5">
      <c r="A17" s="2840"/>
      <c r="B17" s="2841" t="s">
        <v>1468</v>
      </c>
      <c r="C17" s="2842" t="str">
        <f>C5</f>
        <v>估价对象位于XX商圈，周边办公楼项目较多，入驻率高，办公集聚程度较好</v>
      </c>
      <c r="D17" s="2816"/>
      <c r="E17" s="2843"/>
      <c r="F17" s="2844" t="s">
        <v>1473</v>
      </c>
      <c r="G17" s="2846"/>
    </row>
    <row r="18" spans="1:7" ht="40.5">
      <c r="A18" s="2840"/>
      <c r="B18" s="2844" t="s">
        <v>1454</v>
      </c>
      <c r="C18" s="2845" t="str">
        <f>C6</f>
        <v>估价对象周边道路状况、公共交通通达情况、停车便捷程度，综合评价交通便捷度较好</v>
      </c>
      <c r="D18" s="2816"/>
      <c r="E18" s="2843"/>
      <c r="F18" s="2844" t="s">
        <v>1469</v>
      </c>
      <c r="G18" s="2845" t="str">
        <f>G7</f>
        <v>该园区内是否有污染型企业，绿化情况，卫生条件，整体环境状况判断</v>
      </c>
    </row>
    <row r="19" spans="1:7" ht="27">
      <c r="A19" s="2840"/>
      <c r="B19" s="2844" t="s">
        <v>1458</v>
      </c>
      <c r="C19" s="2846"/>
      <c r="D19" s="2807"/>
      <c r="E19" s="2843"/>
      <c r="F19" s="2811" t="s">
        <v>2263</v>
      </c>
      <c r="G19" s="2845" t="str">
        <f>G5</f>
        <v>估价对象所在区域公共配套设施齐备情况</v>
      </c>
    </row>
    <row r="20" spans="1:7" ht="27">
      <c r="A20" s="2840"/>
      <c r="B20" s="2844" t="s">
        <v>1459</v>
      </c>
      <c r="C20" s="2842" t="str">
        <f>C9</f>
        <v>区域自然环境：；人文环境；综合评价环境状况一般</v>
      </c>
      <c r="D20" s="2816"/>
      <c r="E20" s="2843"/>
      <c r="F20" s="2811" t="s">
        <v>2264</v>
      </c>
      <c r="G20" s="2845" t="str">
        <f>G6</f>
        <v>估价对象所在区域基础设施水平</v>
      </c>
    </row>
    <row r="21" spans="1:7" ht="27">
      <c r="A21" s="2840"/>
      <c r="B21" s="2811" t="s">
        <v>2263</v>
      </c>
      <c r="C21" s="2845" t="str">
        <f>C7</f>
        <v>估价对象所在区域公共配套设施齐备情况</v>
      </c>
      <c r="D21" s="2807"/>
      <c r="E21" s="2843"/>
      <c r="F21" s="2844" t="s">
        <v>1460</v>
      </c>
      <c r="G21" s="2847"/>
    </row>
    <row r="22" spans="1:7" ht="14.25">
      <c r="A22" s="2840"/>
      <c r="B22" s="2811" t="s">
        <v>2264</v>
      </c>
      <c r="C22" s="2845" t="str">
        <f>C8</f>
        <v>估价对象所在区域基础设施水平</v>
      </c>
      <c r="D22" s="2807"/>
      <c r="E22" s="2843"/>
      <c r="F22" s="2844" t="s">
        <v>1470</v>
      </c>
      <c r="G22" s="2846"/>
    </row>
    <row r="23" spans="1:7" ht="15" thickBot="1">
      <c r="A23" s="2840"/>
      <c r="B23" s="2844" t="s">
        <v>1460</v>
      </c>
      <c r="C23" s="2847"/>
      <c r="E23" s="2848"/>
      <c r="F23" s="2849" t="s">
        <v>1474</v>
      </c>
      <c r="G23" s="2850"/>
    </row>
    <row r="24" spans="1:7" ht="14.25" thickBot="1">
      <c r="A24" s="2851"/>
      <c r="B24" s="2849" t="s">
        <v>1461</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G14" sqref="G14"/>
    </sheetView>
  </sheetViews>
  <sheetFormatPr defaultColWidth="14.625" defaultRowHeight="13.5"/>
  <cols>
    <col min="1" max="1" width="24.375" style="2854" customWidth="1"/>
    <col min="2" max="16384" width="14.625" style="2854"/>
  </cols>
  <sheetData>
    <row r="1" spans="1:10" ht="16.5">
      <c r="A1" s="2853" t="s">
        <v>2555</v>
      </c>
      <c r="B1" s="2853">
        <f>SUM(B14:B23)</f>
        <v>139768.29999999999</v>
      </c>
      <c r="C1" s="2861"/>
      <c r="D1" s="2861"/>
      <c r="E1" s="2861"/>
      <c r="F1" s="2861"/>
      <c r="G1" s="2862"/>
      <c r="H1" s="2862"/>
      <c r="I1" s="2862"/>
      <c r="J1" s="2862"/>
    </row>
    <row r="2" spans="1:10" ht="16.5">
      <c r="A2" s="2853" t="s">
        <v>2556</v>
      </c>
      <c r="B2" s="2853">
        <f>SUM(C14:C23)</f>
        <v>53757.04</v>
      </c>
      <c r="C2" s="2861"/>
      <c r="D2" s="2861"/>
      <c r="E2" s="2861"/>
      <c r="F2" s="2861"/>
      <c r="G2" s="2862"/>
      <c r="H2" s="2862"/>
      <c r="I2" s="2862"/>
      <c r="J2" s="2862"/>
    </row>
    <row r="3" spans="1:10" ht="16.5">
      <c r="A3" s="2853" t="s">
        <v>2557</v>
      </c>
      <c r="B3" s="2855">
        <f>项目基本情况!D3</f>
        <v>44895</v>
      </c>
      <c r="C3" s="2861"/>
      <c r="D3" s="2861"/>
      <c r="E3" s="2861"/>
      <c r="F3" s="2861"/>
      <c r="G3" s="2862"/>
      <c r="H3" s="2862"/>
      <c r="I3" s="2862"/>
      <c r="J3" s="2862"/>
    </row>
    <row r="4" spans="1:10" ht="33">
      <c r="A4" s="2853" t="s">
        <v>2558</v>
      </c>
      <c r="B4" s="2853" t="s">
        <v>2559</v>
      </c>
      <c r="C4" s="2853" t="s">
        <v>2560</v>
      </c>
      <c r="D4" s="2853" t="s">
        <v>2561</v>
      </c>
      <c r="E4" s="2861"/>
      <c r="F4" s="2861"/>
      <c r="G4" s="2862"/>
      <c r="H4" s="2862"/>
      <c r="I4" s="2862"/>
      <c r="J4" s="2862"/>
    </row>
    <row r="5" spans="1:10" ht="16.5">
      <c r="A5" s="2853" t="s">
        <v>2562</v>
      </c>
      <c r="B5" s="2853">
        <f ca="1">SUM(D14:D23)</f>
        <v>32481</v>
      </c>
      <c r="C5" s="2853">
        <f ca="1">ROUND(B5*10000/$B$1,0)</f>
        <v>2324</v>
      </c>
      <c r="D5" s="2853">
        <f ca="1">ROUND(B5*10000/$B$2,0)</f>
        <v>6042</v>
      </c>
      <c r="E5" s="2861"/>
      <c r="F5" s="2861"/>
      <c r="G5" s="2862"/>
      <c r="H5" s="2862"/>
      <c r="I5" s="2862"/>
      <c r="J5" s="2862"/>
    </row>
    <row r="6" spans="1:10" ht="16.5">
      <c r="A6" s="2853" t="s">
        <v>2563</v>
      </c>
      <c r="B6" s="2853">
        <f ca="1">SUM(G14:G23)</f>
        <v>32481</v>
      </c>
      <c r="C6" s="2853">
        <f t="shared" ref="C6:C8" ca="1" si="0">ROUND(B6*10000/$B$1,0)</f>
        <v>2324</v>
      </c>
      <c r="D6" s="2853">
        <f t="shared" ref="D6:D8" ca="1" si="1">ROUND(B6*10000/$B$2,0)</f>
        <v>6042</v>
      </c>
      <c r="E6" s="2861"/>
      <c r="F6" s="2861"/>
      <c r="G6" s="2862"/>
      <c r="H6" s="2862"/>
      <c r="I6" s="2862"/>
      <c r="J6" s="2862"/>
    </row>
    <row r="7" spans="1:10" ht="16.5">
      <c r="A7" s="2853" t="s">
        <v>2564</v>
      </c>
      <c r="B7" s="2853">
        <f>SUM(H14:H23)</f>
        <v>0</v>
      </c>
      <c r="C7" s="2853">
        <f t="shared" si="0"/>
        <v>0</v>
      </c>
      <c r="D7" s="2853">
        <f t="shared" si="1"/>
        <v>0</v>
      </c>
      <c r="E7" s="2861"/>
      <c r="F7" s="2861"/>
      <c r="G7" s="2862"/>
      <c r="H7" s="2862"/>
      <c r="I7" s="2862"/>
      <c r="J7" s="2862"/>
    </row>
    <row r="8" spans="1:10" ht="16.5">
      <c r="A8" s="2853" t="s">
        <v>2565</v>
      </c>
      <c r="B8" s="2853">
        <f>SUM(I14:I23)</f>
        <v>0</v>
      </c>
      <c r="C8" s="2853">
        <f t="shared" si="0"/>
        <v>0</v>
      </c>
      <c r="D8" s="2853">
        <f t="shared" si="1"/>
        <v>0</v>
      </c>
      <c r="E8" s="2861"/>
      <c r="F8" s="2861"/>
      <c r="G8" s="2862"/>
      <c r="H8" s="2862"/>
      <c r="I8" s="2862"/>
      <c r="J8" s="2862"/>
    </row>
    <row r="9" spans="1:10" ht="16.5">
      <c r="A9" s="2853" t="s">
        <v>2566</v>
      </c>
      <c r="B9" s="2481"/>
      <c r="C9" s="2861"/>
      <c r="D9" s="2861"/>
      <c r="E9" s="2861"/>
      <c r="F9" s="2861"/>
      <c r="G9" s="2862"/>
      <c r="H9" s="2862"/>
      <c r="I9" s="2862"/>
      <c r="J9" s="2862"/>
    </row>
    <row r="10" spans="1:10" ht="16.5">
      <c r="A10" s="2853" t="s">
        <v>2567</v>
      </c>
      <c r="B10" s="2481"/>
      <c r="C10" s="2861"/>
      <c r="D10" s="2861"/>
      <c r="E10" s="2861"/>
      <c r="F10" s="2861"/>
      <c r="G10" s="2862"/>
      <c r="H10" s="2862"/>
      <c r="I10" s="2862"/>
      <c r="J10" s="2862"/>
    </row>
    <row r="11" spans="1:10" ht="16.5">
      <c r="A11" s="2853" t="s">
        <v>2584</v>
      </c>
      <c r="B11" s="2481"/>
      <c r="C11" s="2861"/>
      <c r="D11" s="2861"/>
      <c r="E11" s="2861"/>
      <c r="F11" s="2861"/>
      <c r="G11" s="2862"/>
      <c r="H11" s="2862"/>
      <c r="I11" s="2862"/>
      <c r="J11" s="2862"/>
    </row>
    <row r="12" spans="1:10" ht="16.5">
      <c r="A12" s="2861"/>
      <c r="B12" s="2861"/>
      <c r="C12" s="2861"/>
      <c r="D12" s="2861"/>
      <c r="E12" s="2861"/>
      <c r="F12" s="2861"/>
      <c r="G12" s="2862"/>
      <c r="H12" s="2862"/>
      <c r="I12" s="2862"/>
      <c r="J12" s="2862"/>
    </row>
    <row r="13" spans="1:10" ht="33">
      <c r="A13" s="2856" t="s">
        <v>2583</v>
      </c>
      <c r="B13" s="2857" t="s">
        <v>2555</v>
      </c>
      <c r="C13" s="2857" t="s">
        <v>2556</v>
      </c>
      <c r="D13" s="2857" t="s">
        <v>2568</v>
      </c>
      <c r="E13" s="2853" t="s">
        <v>2582</v>
      </c>
      <c r="F13" s="2853" t="s">
        <v>2561</v>
      </c>
      <c r="G13" s="2857" t="s">
        <v>2569</v>
      </c>
      <c r="H13" s="2857" t="s">
        <v>2570</v>
      </c>
      <c r="I13" s="2857" t="s">
        <v>2571</v>
      </c>
      <c r="J13" s="2862"/>
    </row>
    <row r="14" spans="1:10" ht="16.5">
      <c r="A14" s="2858" t="s">
        <v>2581</v>
      </c>
      <c r="B14" s="2859">
        <f>结果表!L38</f>
        <v>139768.29999999999</v>
      </c>
      <c r="C14" s="2859">
        <f>结果表!K38</f>
        <v>53757.04</v>
      </c>
      <c r="D14" s="2859">
        <f ca="1">结果表!C42</f>
        <v>32481</v>
      </c>
      <c r="E14" s="2859">
        <f ca="1">ROUND(D14*10000/B14,0)</f>
        <v>2324</v>
      </c>
      <c r="F14" s="2859">
        <f ca="1">ROUND(D14*10000/C14,0)</f>
        <v>6042</v>
      </c>
      <c r="G14" s="2859">
        <f ca="1">结果表!C44</f>
        <v>32481</v>
      </c>
      <c r="H14" s="2859" t="str">
        <f>结果表!C45</f>
        <v>——</v>
      </c>
      <c r="I14" s="2859" t="str">
        <f>结果表!C46</f>
        <v>——</v>
      </c>
      <c r="J14" s="2862"/>
    </row>
    <row r="15" spans="1:10" ht="16.5">
      <c r="A15" s="2858" t="s">
        <v>2572</v>
      </c>
      <c r="B15" s="2860"/>
      <c r="C15" s="2860"/>
      <c r="D15" s="2860"/>
      <c r="E15" s="2859" t="e">
        <f t="shared" ref="E15:E23" si="2">ROUND(D15*10000/B15,0)</f>
        <v>#DIV/0!</v>
      </c>
      <c r="F15" s="2859" t="e">
        <f t="shared" ref="F15:F23" si="3">ROUND(D15*10000/C15,0)</f>
        <v>#DIV/0!</v>
      </c>
      <c r="G15" s="2481"/>
      <c r="H15" s="2481"/>
      <c r="I15" s="2860"/>
      <c r="J15" s="2862"/>
    </row>
    <row r="16" spans="1:10" ht="16.5">
      <c r="A16" s="2858" t="s">
        <v>2573</v>
      </c>
      <c r="B16" s="2860"/>
      <c r="C16" s="2860"/>
      <c r="D16" s="2860"/>
      <c r="E16" s="2859" t="e">
        <f t="shared" si="2"/>
        <v>#DIV/0!</v>
      </c>
      <c r="F16" s="2859" t="e">
        <f t="shared" si="3"/>
        <v>#DIV/0!</v>
      </c>
      <c r="G16" s="2481"/>
      <c r="H16" s="2481"/>
      <c r="I16" s="2860"/>
      <c r="J16" s="2862"/>
    </row>
    <row r="17" spans="1:10" ht="16.5">
      <c r="A17" s="2858" t="s">
        <v>2574</v>
      </c>
      <c r="B17" s="2860"/>
      <c r="C17" s="2860"/>
      <c r="D17" s="2860"/>
      <c r="E17" s="2859" t="e">
        <f t="shared" si="2"/>
        <v>#DIV/0!</v>
      </c>
      <c r="F17" s="2859" t="e">
        <f t="shared" si="3"/>
        <v>#DIV/0!</v>
      </c>
      <c r="G17" s="2481"/>
      <c r="H17" s="2481"/>
      <c r="I17" s="2860"/>
      <c r="J17" s="2862"/>
    </row>
    <row r="18" spans="1:10" ht="16.5">
      <c r="A18" s="2858" t="s">
        <v>2575</v>
      </c>
      <c r="B18" s="2860"/>
      <c r="C18" s="2860"/>
      <c r="D18" s="2860"/>
      <c r="E18" s="2859" t="e">
        <f t="shared" si="2"/>
        <v>#DIV/0!</v>
      </c>
      <c r="F18" s="2859" t="e">
        <f t="shared" si="3"/>
        <v>#DIV/0!</v>
      </c>
      <c r="G18" s="2860"/>
      <c r="H18" s="2860"/>
      <c r="I18" s="2860"/>
      <c r="J18" s="2862"/>
    </row>
    <row r="19" spans="1:10" ht="16.5">
      <c r="A19" s="2858" t="s">
        <v>2576</v>
      </c>
      <c r="B19" s="2860"/>
      <c r="C19" s="2860"/>
      <c r="D19" s="2860"/>
      <c r="E19" s="2859" t="e">
        <f t="shared" si="2"/>
        <v>#DIV/0!</v>
      </c>
      <c r="F19" s="2859" t="e">
        <f t="shared" si="3"/>
        <v>#DIV/0!</v>
      </c>
      <c r="G19" s="2860"/>
      <c r="H19" s="2860"/>
      <c r="I19" s="2860"/>
      <c r="J19" s="2862"/>
    </row>
    <row r="20" spans="1:10" ht="16.5">
      <c r="A20" s="2858" t="s">
        <v>2577</v>
      </c>
      <c r="B20" s="2860"/>
      <c r="C20" s="2860"/>
      <c r="D20" s="2860"/>
      <c r="E20" s="2859" t="e">
        <f t="shared" si="2"/>
        <v>#DIV/0!</v>
      </c>
      <c r="F20" s="2859" t="e">
        <f t="shared" si="3"/>
        <v>#DIV/0!</v>
      </c>
      <c r="G20" s="2860"/>
      <c r="H20" s="2860"/>
      <c r="I20" s="2860"/>
      <c r="J20" s="2862"/>
    </row>
    <row r="21" spans="1:10" ht="16.5">
      <c r="A21" s="2858" t="s">
        <v>2578</v>
      </c>
      <c r="B21" s="2860"/>
      <c r="C21" s="2860"/>
      <c r="D21" s="2860"/>
      <c r="E21" s="2859" t="e">
        <f t="shared" si="2"/>
        <v>#DIV/0!</v>
      </c>
      <c r="F21" s="2859" t="e">
        <f t="shared" si="3"/>
        <v>#DIV/0!</v>
      </c>
      <c r="G21" s="2860"/>
      <c r="H21" s="2860"/>
      <c r="I21" s="2860"/>
      <c r="J21" s="2862"/>
    </row>
    <row r="22" spans="1:10" ht="16.5">
      <c r="A22" s="2858" t="s">
        <v>2579</v>
      </c>
      <c r="B22" s="2860"/>
      <c r="C22" s="2860"/>
      <c r="D22" s="2860"/>
      <c r="E22" s="2859" t="e">
        <f t="shared" si="2"/>
        <v>#DIV/0!</v>
      </c>
      <c r="F22" s="2859" t="e">
        <f t="shared" si="3"/>
        <v>#DIV/0!</v>
      </c>
      <c r="G22" s="2860"/>
      <c r="H22" s="2860"/>
      <c r="I22" s="2860"/>
      <c r="J22" s="2862"/>
    </row>
    <row r="23" spans="1:10" ht="16.5">
      <c r="A23" s="2858" t="s">
        <v>2580</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091" bestFit="1" customWidth="1"/>
    <col min="3" max="4" width="12.625" style="1091" customWidth="1"/>
    <col min="5" max="9" width="12.625" style="1091" bestFit="1" customWidth="1"/>
    <col min="10" max="10" width="2.125" style="242" customWidth="1"/>
    <col min="11" max="12" width="12.625" style="242" customWidth="1"/>
    <col min="13" max="13" width="12.625" style="242"/>
    <col min="14" max="14" width="15.625" style="242" bestFit="1" customWidth="1"/>
    <col min="15" max="19" width="12.625" style="242" bestFit="1" customWidth="1"/>
    <col min="20" max="26" width="12.625" style="242"/>
    <col min="27" max="16384" width="12.625" style="1091"/>
  </cols>
  <sheetData>
    <row r="1" spans="1:22" ht="21.75" customHeight="1" thickBot="1">
      <c r="A1" s="1554" t="s">
        <v>1846</v>
      </c>
      <c r="B1" s="1555"/>
      <c r="C1" s="1580" t="s">
        <v>1847</v>
      </c>
      <c r="D1" s="1581"/>
      <c r="E1" s="1580" t="s">
        <v>1848</v>
      </c>
      <c r="F1" s="1582" t="s">
        <v>3587</v>
      </c>
      <c r="G1" s="292"/>
      <c r="H1" s="292"/>
      <c r="I1" s="292"/>
      <c r="J1" s="1748"/>
      <c r="K1" s="1748"/>
      <c r="L1" s="1748"/>
      <c r="M1" s="1748"/>
      <c r="N1" s="1748"/>
      <c r="O1" s="1748"/>
      <c r="P1" s="1748"/>
      <c r="Q1" s="1748"/>
      <c r="R1" s="1748"/>
      <c r="S1" s="1748"/>
      <c r="T1" s="1748"/>
      <c r="U1" s="1748"/>
      <c r="V1" s="1748"/>
    </row>
    <row r="2" spans="1:22" ht="21.75" customHeight="1" thickBot="1">
      <c r="A2" s="3357" t="str">
        <f>项目基本情况!K2</f>
        <v>河南省开封市龙亭区二十二大街东侧、规划四路北侧YLXB03-03（2号）地块一宗商服用地、城镇住宅用地出让国有建设用地使用权</v>
      </c>
      <c r="B2" s="3358"/>
      <c r="C2" s="3359"/>
      <c r="D2" s="3359"/>
      <c r="E2" s="3359"/>
      <c r="F2" s="3359"/>
      <c r="G2" s="3358"/>
      <c r="H2" s="3358"/>
      <c r="I2" s="3360"/>
      <c r="J2" s="1755"/>
      <c r="K2" s="1748"/>
      <c r="L2" s="1748"/>
      <c r="M2" s="1748"/>
      <c r="N2" s="1748"/>
      <c r="O2" s="1748"/>
      <c r="P2" s="1748"/>
      <c r="Q2" s="1748"/>
      <c r="R2" s="1748"/>
      <c r="S2" s="1748"/>
      <c r="T2" s="1748"/>
      <c r="U2" s="1748"/>
      <c r="V2" s="1748"/>
    </row>
    <row r="3" spans="1:22" ht="14.25">
      <c r="A3" s="3368" t="s">
        <v>298</v>
      </c>
      <c r="B3" s="3369"/>
      <c r="C3" s="3369"/>
      <c r="D3" s="3369"/>
      <c r="E3" s="3369"/>
      <c r="F3" s="3369"/>
      <c r="G3" s="3369"/>
      <c r="H3" s="3369"/>
      <c r="I3" s="3369"/>
      <c r="J3" s="1755"/>
      <c r="K3" s="1748"/>
      <c r="L3" s="1748"/>
      <c r="M3" s="1748"/>
      <c r="N3" s="1748"/>
      <c r="O3" s="1748"/>
      <c r="P3" s="1748"/>
      <c r="Q3" s="1748"/>
      <c r="R3" s="1748"/>
      <c r="S3" s="1748"/>
      <c r="T3" s="1748"/>
      <c r="U3" s="1748"/>
      <c r="V3" s="1748"/>
    </row>
    <row r="4" spans="1:22" ht="14.25">
      <c r="A4" s="243" t="s">
        <v>299</v>
      </c>
      <c r="B4" s="244" t="s">
        <v>300</v>
      </c>
      <c r="C4" s="245" t="s">
        <v>3588</v>
      </c>
      <c r="D4" s="245" t="s">
        <v>3589</v>
      </c>
      <c r="E4" s="3332" t="s">
        <v>301</v>
      </c>
      <c r="F4" s="3374"/>
      <c r="G4" s="3374"/>
      <c r="H4" s="3374"/>
      <c r="I4" s="3333"/>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61" t="s">
        <v>302</v>
      </c>
      <c r="B5" s="3362">
        <v>25</v>
      </c>
      <c r="C5" s="3370"/>
      <c r="D5" s="3373"/>
      <c r="E5" s="246" t="s">
        <v>303</v>
      </c>
      <c r="F5" s="247"/>
      <c r="G5" s="247"/>
      <c r="H5" s="247"/>
      <c r="I5" s="248"/>
      <c r="J5" s="1755"/>
      <c r="K5" s="1748"/>
      <c r="L5" s="1748"/>
      <c r="M5" s="1748"/>
      <c r="N5" s="1748"/>
      <c r="O5" s="1748"/>
      <c r="P5" s="1748"/>
      <c r="Q5" s="1748"/>
      <c r="R5" s="1748"/>
      <c r="S5" s="1748"/>
      <c r="T5" s="1748"/>
      <c r="U5" s="1748"/>
      <c r="V5" s="1748"/>
    </row>
    <row r="6" spans="1:22" ht="14.25">
      <c r="A6" s="3361"/>
      <c r="B6" s="3362"/>
      <c r="C6" s="3371"/>
      <c r="D6" s="3373"/>
      <c r="E6" s="246" t="s">
        <v>304</v>
      </c>
      <c r="F6" s="247"/>
      <c r="G6" s="247"/>
      <c r="H6" s="247"/>
      <c r="I6" s="248"/>
      <c r="J6" s="1755"/>
      <c r="K6" s="1748"/>
      <c r="L6" s="1748"/>
      <c r="M6" s="1748"/>
      <c r="N6" s="1748"/>
      <c r="O6" s="1748"/>
      <c r="P6" s="1748"/>
      <c r="Q6" s="1748"/>
      <c r="R6" s="1748"/>
      <c r="S6" s="1748"/>
      <c r="T6" s="1748"/>
      <c r="U6" s="1748"/>
      <c r="V6" s="1748"/>
    </row>
    <row r="7" spans="1:22" ht="14.25">
      <c r="A7" s="3361"/>
      <c r="B7" s="3362"/>
      <c r="C7" s="3372"/>
      <c r="D7" s="3373"/>
      <c r="E7" s="246" t="s">
        <v>305</v>
      </c>
      <c r="F7" s="247"/>
      <c r="G7" s="247"/>
      <c r="H7" s="247"/>
      <c r="I7" s="248"/>
      <c r="J7" s="1755"/>
      <c r="K7" s="1748"/>
      <c r="L7" s="1748"/>
      <c r="M7" s="1748"/>
      <c r="N7" s="1748"/>
      <c r="O7" s="1748"/>
      <c r="P7" s="1748"/>
      <c r="Q7" s="1748"/>
      <c r="R7" s="1748"/>
      <c r="S7" s="1748"/>
      <c r="T7" s="1748"/>
      <c r="U7" s="1748"/>
      <c r="V7" s="1748"/>
    </row>
    <row r="8" spans="1:22" ht="14.25">
      <c r="A8" s="3361" t="s">
        <v>306</v>
      </c>
      <c r="B8" s="3362">
        <v>15</v>
      </c>
      <c r="C8" s="3370"/>
      <c r="D8" s="3373"/>
      <c r="E8" s="246" t="s">
        <v>307</v>
      </c>
      <c r="F8" s="247"/>
      <c r="G8" s="247"/>
      <c r="H8" s="247"/>
      <c r="I8" s="248"/>
      <c r="J8" s="1755"/>
      <c r="K8" s="1748"/>
      <c r="L8" s="1748"/>
      <c r="M8" s="1748"/>
      <c r="N8" s="1748"/>
      <c r="O8" s="1748"/>
      <c r="P8" s="1748"/>
      <c r="Q8" s="1748"/>
      <c r="R8" s="1748"/>
      <c r="S8" s="1748"/>
      <c r="T8" s="1748"/>
      <c r="U8" s="1748"/>
      <c r="V8" s="1748"/>
    </row>
    <row r="9" spans="1:22" ht="14.25">
      <c r="A9" s="3361"/>
      <c r="B9" s="3362"/>
      <c r="C9" s="3372"/>
      <c r="D9" s="3373"/>
      <c r="E9" s="246" t="s">
        <v>308</v>
      </c>
      <c r="F9" s="247"/>
      <c r="G9" s="247"/>
      <c r="H9" s="247"/>
      <c r="I9" s="248"/>
      <c r="J9" s="1755"/>
      <c r="K9" s="1748"/>
      <c r="L9" s="1748"/>
      <c r="M9" s="1748"/>
      <c r="N9" s="1748"/>
      <c r="O9" s="1748"/>
      <c r="P9" s="1748"/>
      <c r="Q9" s="1748"/>
      <c r="R9" s="1748"/>
      <c r="S9" s="1748"/>
      <c r="T9" s="1748"/>
      <c r="U9" s="1748"/>
      <c r="V9" s="1748"/>
    </row>
    <row r="10" spans="1:22" ht="14.25">
      <c r="A10" s="3361" t="s">
        <v>309</v>
      </c>
      <c r="B10" s="3362">
        <v>15</v>
      </c>
      <c r="C10" s="3370"/>
      <c r="D10" s="3373"/>
      <c r="E10" s="246" t="s">
        <v>310</v>
      </c>
      <c r="F10" s="247"/>
      <c r="G10" s="247"/>
      <c r="H10" s="247"/>
      <c r="I10" s="248"/>
      <c r="J10" s="1755"/>
      <c r="K10" s="1748"/>
      <c r="L10" s="1748"/>
      <c r="M10" s="1748"/>
      <c r="N10" s="1748"/>
      <c r="O10" s="1748"/>
      <c r="P10" s="1748"/>
      <c r="Q10" s="1748"/>
      <c r="R10" s="1748"/>
      <c r="S10" s="1748"/>
      <c r="T10" s="1748"/>
      <c r="U10" s="1748"/>
      <c r="V10" s="1748"/>
    </row>
    <row r="11" spans="1:22" ht="14.25">
      <c r="A11" s="3361"/>
      <c r="B11" s="3362"/>
      <c r="C11" s="3372"/>
      <c r="D11" s="3373"/>
      <c r="E11" s="246" t="s">
        <v>311</v>
      </c>
      <c r="F11" s="247"/>
      <c r="G11" s="247"/>
      <c r="H11" s="247"/>
      <c r="I11" s="248"/>
      <c r="J11" s="1755"/>
      <c r="K11" s="1748"/>
      <c r="L11" s="1748"/>
      <c r="M11" s="1748"/>
      <c r="N11" s="1748"/>
      <c r="O11" s="1748"/>
      <c r="P11" s="1748"/>
      <c r="Q11" s="1748"/>
      <c r="R11" s="1748"/>
      <c r="S11" s="1748"/>
      <c r="T11" s="1748"/>
      <c r="U11" s="1748"/>
      <c r="V11" s="1748"/>
    </row>
    <row r="12" spans="1:22" ht="14.25">
      <c r="A12" s="3361" t="s">
        <v>312</v>
      </c>
      <c r="B12" s="3362">
        <v>15</v>
      </c>
      <c r="C12" s="3370"/>
      <c r="D12" s="3373"/>
      <c r="E12" s="246" t="s">
        <v>313</v>
      </c>
      <c r="F12" s="247"/>
      <c r="G12" s="247"/>
      <c r="H12" s="247"/>
      <c r="I12" s="248"/>
      <c r="J12" s="1755"/>
      <c r="K12" s="1748"/>
      <c r="L12" s="1748"/>
      <c r="M12" s="1748"/>
      <c r="N12" s="1748"/>
      <c r="O12" s="1748"/>
      <c r="P12" s="1748"/>
      <c r="Q12" s="1748"/>
      <c r="R12" s="1748"/>
      <c r="S12" s="1748"/>
      <c r="T12" s="1748"/>
      <c r="U12" s="1748"/>
      <c r="V12" s="1748"/>
    </row>
    <row r="13" spans="1:22" ht="14.25">
      <c r="A13" s="3361"/>
      <c r="B13" s="3362"/>
      <c r="C13" s="3372"/>
      <c r="D13" s="3373"/>
      <c r="E13" s="246" t="s">
        <v>314</v>
      </c>
      <c r="F13" s="247"/>
      <c r="G13" s="247"/>
      <c r="H13" s="247"/>
      <c r="I13" s="248"/>
      <c r="J13" s="1755"/>
      <c r="K13" s="1748"/>
      <c r="L13" s="1748"/>
      <c r="M13" s="1748"/>
      <c r="N13" s="1748"/>
      <c r="O13" s="1748"/>
      <c r="P13" s="1748"/>
      <c r="Q13" s="1748"/>
      <c r="R13" s="1748"/>
      <c r="S13" s="1748"/>
      <c r="T13" s="1748"/>
      <c r="U13" s="1748"/>
      <c r="V13" s="1748"/>
    </row>
    <row r="14" spans="1:22" ht="14.25">
      <c r="A14" s="3361" t="s">
        <v>315</v>
      </c>
      <c r="B14" s="3362">
        <v>30</v>
      </c>
      <c r="C14" s="3375">
        <v>5</v>
      </c>
      <c r="D14" s="3378">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61"/>
      <c r="B15" s="3362"/>
      <c r="C15" s="3376"/>
      <c r="D15" s="3378"/>
      <c r="E15" s="246" t="s">
        <v>317</v>
      </c>
      <c r="F15" s="247"/>
      <c r="G15" s="247"/>
      <c r="H15" s="247"/>
      <c r="I15" s="248"/>
      <c r="J15" s="1755"/>
      <c r="K15" s="1748"/>
      <c r="L15" s="1748"/>
      <c r="M15" s="1748"/>
      <c r="N15" s="1748"/>
      <c r="O15" s="1748"/>
      <c r="P15" s="1748"/>
      <c r="Q15" s="1748"/>
      <c r="R15" s="1748"/>
      <c r="S15" s="1748"/>
      <c r="T15" s="1748"/>
      <c r="U15" s="1748"/>
      <c r="V15" s="1748"/>
    </row>
    <row r="16" spans="1:22" ht="14.25">
      <c r="A16" s="3361"/>
      <c r="B16" s="3362"/>
      <c r="C16" s="3377"/>
      <c r="D16" s="3378"/>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79" t="s">
        <v>2691</v>
      </c>
      <c r="F18" s="3380"/>
      <c r="G18" s="3380"/>
      <c r="H18" s="3380"/>
      <c r="I18" s="3380"/>
      <c r="J18" s="1748"/>
      <c r="K18" s="1748"/>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34509</v>
      </c>
      <c r="D19" s="256">
        <f ca="1">SUMIF(INDIRECT("'"&amp;D4&amp;"'"&amp;"!A:A"),结果表!B19,INDIRECT("'"&amp;D4&amp;"'"&amp;"!B:B"))</f>
        <v>30452</v>
      </c>
      <c r="E19" s="253" t="s">
        <v>323</v>
      </c>
      <c r="F19" s="254" t="s">
        <v>322</v>
      </c>
      <c r="G19" s="257">
        <f ca="1">ROUND(C19*$C$18+D19*$D$18,0)</f>
        <v>32481</v>
      </c>
      <c r="H19" s="258" t="s">
        <v>324</v>
      </c>
      <c r="I19" s="292"/>
      <c r="J19" s="1748"/>
      <c r="K19" s="1748"/>
      <c r="L19" s="1748"/>
      <c r="M19" s="1748"/>
      <c r="N19" s="1748"/>
      <c r="O19" s="1748"/>
      <c r="P19" s="1748"/>
      <c r="Q19" s="1748"/>
      <c r="R19" s="1748"/>
      <c r="S19" s="1748"/>
      <c r="T19" s="1748"/>
      <c r="U19" s="1748"/>
      <c r="V19" s="1748"/>
    </row>
    <row r="20" spans="1:22" ht="15">
      <c r="A20" s="259"/>
      <c r="B20" s="106" t="s">
        <v>325</v>
      </c>
      <c r="C20" s="260">
        <f ca="1">SUMIF(INDIRECT("'"&amp;C4&amp;"'"&amp;"!A:A"),结果表!B20,INDIRECT("'"&amp;C4&amp;"'"&amp;"!B:B"))</f>
        <v>2469</v>
      </c>
      <c r="D20" s="261">
        <f ca="1">SUMIF(INDIRECT("'"&amp;D4&amp;"'"&amp;"!A:A"),结果表!B20,INDIRECT("'"&amp;D4&amp;"'"&amp;"!B:B"))</f>
        <v>2179</v>
      </c>
      <c r="E20" s="259"/>
      <c r="F20" s="106" t="s">
        <v>325</v>
      </c>
      <c r="G20" s="262">
        <f ca="1">ROUND(C20*$C$18+D20*$D$18,0)</f>
        <v>2324</v>
      </c>
      <c r="H20" s="263" t="s">
        <v>326</v>
      </c>
      <c r="I20" s="292"/>
      <c r="J20" s="1748"/>
      <c r="K20" s="1748"/>
      <c r="L20" s="1748"/>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6419</v>
      </c>
      <c r="D21" s="140">
        <f ca="1">SUMIF(INDIRECT("'"&amp;D4&amp;"'"&amp;"!A:A"),结果表!B21,INDIRECT("'"&amp;D4&amp;"'"&amp;"!B:B"))</f>
        <v>5665</v>
      </c>
      <c r="E21" s="259"/>
      <c r="F21" s="110" t="s">
        <v>327</v>
      </c>
      <c r="G21" s="265">
        <f ca="1">ROUND(C21*$C$18+D21*$D$18,0)</f>
        <v>6042</v>
      </c>
      <c r="H21" s="263" t="s">
        <v>326</v>
      </c>
      <c r="I21" s="292"/>
      <c r="J21" s="1748"/>
      <c r="K21" s="1748"/>
      <c r="L21" s="1748"/>
      <c r="M21" s="1748"/>
      <c r="N21" s="1748"/>
      <c r="O21" s="1748"/>
      <c r="P21" s="1748"/>
      <c r="Q21" s="1748"/>
      <c r="R21" s="1748"/>
      <c r="S21" s="1748"/>
      <c r="T21" s="1748"/>
      <c r="U21" s="1748"/>
      <c r="V21" s="1748"/>
    </row>
    <row r="22" spans="1:22" ht="15.75" thickBot="1">
      <c r="A22" s="121" t="s">
        <v>328</v>
      </c>
      <c r="B22" s="1107"/>
      <c r="C22" s="246"/>
      <c r="D22" s="266">
        <f ca="1">IF(C19&lt;D19,D19/C19-1,C19/D19-1)</f>
        <v>0.13322606068566922</v>
      </c>
      <c r="E22" s="267"/>
      <c r="F22" s="268"/>
      <c r="G22" s="269">
        <f ca="1">ROUND(G19/('数据-汇总表'!D3/666.67),0)</f>
        <v>403</v>
      </c>
      <c r="H22" s="270" t="s">
        <v>329</v>
      </c>
      <c r="I22" s="292"/>
      <c r="J22" s="1748"/>
      <c r="K22" s="1748"/>
      <c r="L22" s="1748"/>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34"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85"/>
      <c r="B25" s="1171" t="s">
        <v>331</v>
      </c>
      <c r="C25" s="273">
        <f>IF(B30=0,0,C30)</f>
        <v>0</v>
      </c>
      <c r="D25" s="274"/>
      <c r="E25" s="292"/>
      <c r="F25" s="292"/>
      <c r="G25" s="292"/>
      <c r="H25" s="292"/>
      <c r="I25" s="292"/>
      <c r="J25" s="1748"/>
      <c r="K25" s="1108" t="str">
        <f ca="1">项目基本情况!B16&amp;"国有建设用地使用权价格："&amp;O38&amp;"万元"</f>
        <v>出让国有建设用地使用权价格：32481万元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大写金额：人民币叁亿贰仟肆佰捌拾壹万元整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单位面积地价：6042元/平方米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楼面地价：2324元/平方米</v>
      </c>
      <c r="L28" s="1107"/>
      <c r="M28" s="1107"/>
      <c r="N28" s="1107"/>
      <c r="O28" s="263"/>
      <c r="P28" s="1748"/>
      <c r="V28" s="1748"/>
    </row>
    <row r="29" spans="1:22" ht="18">
      <c r="A29" s="275"/>
      <c r="B29" s="276"/>
      <c r="C29" s="276"/>
      <c r="D29" s="277"/>
      <c r="E29" s="292"/>
      <c r="F29" s="292"/>
      <c r="G29" s="292"/>
      <c r="H29" s="292"/>
      <c r="I29" s="292"/>
      <c r="J29" s="1748"/>
      <c r="K29" s="1111" t="str">
        <f ca="1">IF(OR(项目基本情况!E8="抵押价格",项目基本情况!E8="已注销及未注销"),"抵押价格："&amp;O39&amp;"万元","——")</f>
        <v>抵押价格：32481万元</v>
      </c>
      <c r="L29" s="1107"/>
      <c r="M29" s="1107"/>
      <c r="N29" s="1107"/>
      <c r="O29" s="263"/>
      <c r="P29" s="1748"/>
      <c r="V29" s="1748"/>
    </row>
    <row r="30" spans="1:22" ht="18.75" thickBot="1">
      <c r="A30" s="2522" t="s">
        <v>336</v>
      </c>
      <c r="B30" s="290"/>
      <c r="C30" s="290"/>
      <c r="D30" s="291"/>
      <c r="E30" s="2698" t="s">
        <v>2692</v>
      </c>
      <c r="F30" s="292"/>
      <c r="G30" s="292"/>
      <c r="H30" s="292"/>
      <c r="I30" s="292"/>
      <c r="J30" s="1748"/>
      <c r="K30" s="1111" t="str">
        <f ca="1">IF(K29="——","——","大写金额：人民币"&amp;NUMBERSTRING(INT(O39*10000),2)&amp;"元整")</f>
        <v>大写金额：人民币叁亿贰仟肆佰捌拾壹万元整</v>
      </c>
      <c r="L30" s="1107"/>
      <c r="M30" s="1107"/>
      <c r="N30" s="1107"/>
      <c r="O30" s="263"/>
      <c r="P30" s="1748"/>
      <c r="V30" s="1748"/>
    </row>
    <row r="31" spans="1:22" ht="24" customHeight="1" thickBot="1">
      <c r="A31" s="3381" t="s">
        <v>2693</v>
      </c>
      <c r="B31" s="3381"/>
      <c r="C31" s="3381"/>
      <c r="D31" s="3381"/>
      <c r="E31" s="3381"/>
      <c r="F31" s="3381"/>
      <c r="G31" s="3381"/>
      <c r="H31" s="3381"/>
      <c r="I31" s="3381"/>
      <c r="J31" s="1748"/>
      <c r="K31" s="2133" t="str">
        <f>IF(项目基本情况!E8="抵押价格","——","抵押担保权已注销时的抵押价格："&amp;O40&amp;"万元")</f>
        <v>——</v>
      </c>
      <c r="L31" s="2130"/>
      <c r="M31" s="2130"/>
      <c r="N31" s="2130"/>
      <c r="O31" s="2131"/>
      <c r="P31" s="1748"/>
      <c r="V31" s="1748"/>
    </row>
    <row r="32" spans="1:22" ht="19.5" thickTop="1" thickBot="1">
      <c r="A32" s="259" t="s">
        <v>337</v>
      </c>
      <c r="B32" s="2699" t="s">
        <v>1487</v>
      </c>
      <c r="C32" s="251">
        <f ca="1">G19-C24</f>
        <v>32481</v>
      </c>
      <c r="D32" s="2700" t="s">
        <v>1488</v>
      </c>
      <c r="E32" s="292"/>
      <c r="F32" s="292"/>
      <c r="G32" s="292"/>
      <c r="H32" s="292"/>
      <c r="I32" s="292"/>
      <c r="J32" s="1748"/>
      <c r="K32" s="2129" t="str">
        <f>IF(K31="——","——","大写金额：人民币"&amp;NUMBERSTRING(INT(O40*10000),2)&amp;"元整")</f>
        <v>——</v>
      </c>
      <c r="L32" s="1748"/>
      <c r="M32" s="1748"/>
      <c r="N32" s="1748"/>
      <c r="O32" s="2132"/>
      <c r="P32" s="1748"/>
      <c r="V32" s="1748"/>
    </row>
    <row r="33" spans="1:22" ht="18.75" thickBot="1">
      <c r="A33" s="280" t="s">
        <v>340</v>
      </c>
      <c r="B33" s="1220" t="s">
        <v>1489</v>
      </c>
      <c r="C33" s="249">
        <f ca="1">ROUND(C32*10000/'数据-汇总表'!E3,0)</f>
        <v>2324</v>
      </c>
      <c r="D33" s="1221" t="s">
        <v>1490</v>
      </c>
      <c r="E33" s="3334"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1491</v>
      </c>
      <c r="C34" s="249">
        <f ca="1">ROUND(C32*10000/'数据-汇总表'!D3,0)</f>
        <v>6042</v>
      </c>
      <c r="D34" s="1221" t="s">
        <v>1490</v>
      </c>
      <c r="E34" s="3335"/>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403</v>
      </c>
      <c r="D35" s="1224" t="s">
        <v>1492</v>
      </c>
      <c r="E35" s="3336"/>
      <c r="F35" s="283" t="s">
        <v>342</v>
      </c>
      <c r="G35" s="903"/>
      <c r="H35" s="902" t="s">
        <v>343</v>
      </c>
      <c r="I35" s="292"/>
      <c r="J35" s="1748"/>
      <c r="K35" s="3340" t="s">
        <v>350</v>
      </c>
      <c r="L35" s="3340" t="s">
        <v>351</v>
      </c>
      <c r="M35" s="1117" t="s">
        <v>352</v>
      </c>
      <c r="N35" s="3340" t="s">
        <v>353</v>
      </c>
      <c r="O35" s="3340" t="s">
        <v>354</v>
      </c>
      <c r="P35" s="1748"/>
      <c r="V35" s="1748"/>
    </row>
    <row r="36" spans="1:22" ht="16.5" customHeight="1">
      <c r="A36" s="285" t="s">
        <v>344</v>
      </c>
      <c r="B36" s="286" t="s">
        <v>333</v>
      </c>
      <c r="C36" s="287" t="s">
        <v>345</v>
      </c>
      <c r="D36" s="287" t="s">
        <v>346</v>
      </c>
      <c r="E36" s="288" t="s">
        <v>347</v>
      </c>
      <c r="F36" s="292"/>
      <c r="G36" s="292"/>
      <c r="H36" s="292"/>
      <c r="I36" s="292"/>
      <c r="J36" s="1756"/>
      <c r="K36" s="3341"/>
      <c r="L36" s="3341"/>
      <c r="M36" s="1119" t="s">
        <v>355</v>
      </c>
      <c r="N36" s="3341"/>
      <c r="O36" s="3341"/>
      <c r="P36" s="1748"/>
      <c r="V36" s="1748"/>
    </row>
    <row r="37" spans="1:22" ht="16.5" customHeight="1" thickBot="1">
      <c r="A37" s="1113" t="s">
        <v>348</v>
      </c>
      <c r="B37" s="275"/>
      <c r="C37" s="276"/>
      <c r="D37" s="276"/>
      <c r="E37" s="277"/>
      <c r="F37" s="292"/>
      <c r="G37" s="292"/>
      <c r="H37" s="292"/>
      <c r="I37" s="292"/>
      <c r="J37" s="1756"/>
      <c r="K37" s="3342"/>
      <c r="L37" s="3342"/>
      <c r="M37" s="1120"/>
      <c r="N37" s="3342"/>
      <c r="O37" s="3342"/>
      <c r="P37" s="1748"/>
      <c r="V37" s="1748"/>
    </row>
    <row r="38" spans="1:22" ht="16.5" customHeight="1" thickBot="1">
      <c r="A38" s="1113" t="s">
        <v>349</v>
      </c>
      <c r="B38" s="275"/>
      <c r="C38" s="276"/>
      <c r="D38" s="276"/>
      <c r="E38" s="277"/>
      <c r="F38" s="292"/>
      <c r="G38" s="292"/>
      <c r="H38" s="292"/>
      <c r="I38" s="292"/>
      <c r="J38" s="1756"/>
      <c r="K38" s="1121">
        <f>'数据-汇总表'!D3</f>
        <v>53757.04</v>
      </c>
      <c r="L38" s="1122">
        <f>'数据-汇总表'!E3</f>
        <v>139768.29999999999</v>
      </c>
      <c r="M38" s="1122">
        <f ca="1">C34</f>
        <v>6042</v>
      </c>
      <c r="N38" s="1122">
        <f ca="1">C33</f>
        <v>2324</v>
      </c>
      <c r="O38" s="1123">
        <f ca="1">C32</f>
        <v>32481</v>
      </c>
      <c r="P38" s="1748"/>
      <c r="V38" s="1748"/>
    </row>
    <row r="39" spans="1:22" ht="16.5" customHeight="1" thickBot="1">
      <c r="A39" s="1118"/>
      <c r="B39" s="289"/>
      <c r="C39" s="290"/>
      <c r="D39" s="290"/>
      <c r="E39" s="291"/>
      <c r="F39" s="292"/>
      <c r="G39" s="292"/>
      <c r="H39" s="292"/>
      <c r="I39" s="292"/>
      <c r="J39" s="1756"/>
      <c r="K39" s="3353" t="str">
        <f>MID(A44,3,LEN(A44)-2)</f>
        <v>抵押价格</v>
      </c>
      <c r="L39" s="3354"/>
      <c r="M39" s="3354"/>
      <c r="N39" s="3355"/>
      <c r="O39" s="1226">
        <f ca="1">C44</f>
        <v>32481</v>
      </c>
      <c r="P39" s="1748"/>
      <c r="V39" s="1748"/>
    </row>
    <row r="40" spans="1:22" ht="19.5" thickBot="1">
      <c r="A40" s="99" t="s">
        <v>851</v>
      </c>
      <c r="B40" s="292"/>
      <c r="C40" s="292"/>
      <c r="D40" s="292"/>
      <c r="E40" s="292"/>
      <c r="F40" s="292"/>
      <c r="G40" s="292"/>
      <c r="H40" s="292"/>
      <c r="I40" s="292"/>
      <c r="J40" s="1756"/>
      <c r="K40" s="3353" t="str">
        <f t="shared" ref="K40:K41" si="0">MID(A45,3,LEN(A45)-2)</f>
        <v/>
      </c>
      <c r="L40" s="3354"/>
      <c r="M40" s="3354"/>
      <c r="N40" s="3355"/>
      <c r="O40" s="1226" t="str">
        <f>C45</f>
        <v>——</v>
      </c>
      <c r="P40" s="1748"/>
      <c r="V40" s="1748"/>
    </row>
    <row r="41" spans="1:22" ht="16.5" thickBot="1">
      <c r="A41" s="293" t="s">
        <v>356</v>
      </c>
      <c r="B41" s="294"/>
      <c r="C41" s="295" t="s">
        <v>357</v>
      </c>
      <c r="D41" s="296" t="s">
        <v>358</v>
      </c>
      <c r="E41" s="296" t="s">
        <v>359</v>
      </c>
      <c r="F41" s="297" t="s">
        <v>360</v>
      </c>
      <c r="G41" s="292"/>
      <c r="H41" s="292"/>
      <c r="I41" s="292"/>
      <c r="J41" s="1756"/>
      <c r="K41" s="3353" t="str">
        <f t="shared" si="0"/>
        <v/>
      </c>
      <c r="L41" s="3354"/>
      <c r="M41" s="3354"/>
      <c r="N41" s="3355"/>
      <c r="O41" s="1226" t="str">
        <f>C46</f>
        <v>——</v>
      </c>
      <c r="P41" s="1748"/>
      <c r="V41" s="1748"/>
    </row>
    <row r="42" spans="1:22" ht="29.25">
      <c r="A42" s="3386" t="s">
        <v>1858</v>
      </c>
      <c r="B42" s="3387"/>
      <c r="C42" s="249">
        <f ca="1">C32</f>
        <v>32481</v>
      </c>
      <c r="D42" s="298">
        <f ca="1">C33</f>
        <v>2324</v>
      </c>
      <c r="E42" s="298">
        <f ca="1">C34</f>
        <v>6042</v>
      </c>
      <c r="F42" s="299">
        <f ca="1">C35</f>
        <v>403</v>
      </c>
      <c r="G42" s="292"/>
      <c r="H42" s="292"/>
      <c r="I42" s="300"/>
      <c r="J42" s="1756"/>
      <c r="K42" s="1124" t="s">
        <v>361</v>
      </c>
      <c r="L42" s="1772" t="s">
        <v>362</v>
      </c>
      <c r="M42" s="1125" t="s">
        <v>363</v>
      </c>
      <c r="N42" s="1773" t="s">
        <v>364</v>
      </c>
      <c r="O42" s="1774" t="s">
        <v>365</v>
      </c>
      <c r="P42" s="1748"/>
      <c r="V42" s="1748"/>
    </row>
    <row r="43" spans="1:22" ht="30">
      <c r="A43" s="3396" t="s">
        <v>2445</v>
      </c>
      <c r="B43" s="3397"/>
      <c r="C43" s="249">
        <f>IF(H33="正常操作",G33+G34+G35,G34+G35)</f>
        <v>0</v>
      </c>
      <c r="D43" s="298" t="s">
        <v>43</v>
      </c>
      <c r="E43" s="298" t="s">
        <v>44</v>
      </c>
      <c r="F43" s="299" t="s">
        <v>44</v>
      </c>
      <c r="G43" s="2324" t="s">
        <v>930</v>
      </c>
      <c r="H43" s="292"/>
      <c r="I43" s="300"/>
      <c r="J43" s="1756"/>
      <c r="K43" s="1126" t="str">
        <f>C4</f>
        <v>比较法-住宅、综合</v>
      </c>
      <c r="L43" s="1127">
        <f ca="1">IF(L42="估价结果/万元",C19,C20)</f>
        <v>34509</v>
      </c>
      <c r="M43" s="1128">
        <f>C18</f>
        <v>0.5</v>
      </c>
      <c r="N43" s="1129">
        <f ca="1">IF(N42="测算结果/万元",G19,G20)</f>
        <v>32481</v>
      </c>
      <c r="O43" s="1130">
        <f ca="1">IF(O42="最终结果/万元",C32,C33)</f>
        <v>32481</v>
      </c>
      <c r="P43" s="1748"/>
      <c r="V43" s="1748"/>
    </row>
    <row r="44" spans="1:22" ht="30.75" thickBot="1">
      <c r="A44" s="3386" t="str">
        <f>IF(OR(项目基本情况!E8="抵押价格",项目基本情况!E8="已注销及未注销"),"3.抵押价格","——")</f>
        <v>3.抵押价格</v>
      </c>
      <c r="B44" s="3387"/>
      <c r="C44" s="249">
        <f ca="1">IF(A44="——","——",C42-C43)</f>
        <v>32481</v>
      </c>
      <c r="D44" s="298">
        <f ca="1">ROUND(C44*10000/'数据-汇总表'!E3,0)</f>
        <v>2324</v>
      </c>
      <c r="E44" s="298">
        <f ca="1">ROUND(C44*10000/'数据-汇总表'!D3,0)</f>
        <v>6042</v>
      </c>
      <c r="F44" s="299">
        <f ca="1">ROUND(C44/('数据-汇总表'!D3/666.67),0)</f>
        <v>403</v>
      </c>
      <c r="G44" s="292"/>
      <c r="H44" s="292"/>
      <c r="I44" s="300"/>
      <c r="J44" s="1756"/>
      <c r="K44" s="1131" t="str">
        <f>D4</f>
        <v>剩余法-待开发</v>
      </c>
      <c r="L44" s="1132">
        <f ca="1">IF(L42="估价结果/万元",D19,D20)</f>
        <v>30452</v>
      </c>
      <c r="M44" s="1133">
        <f>D18</f>
        <v>0.5</v>
      </c>
      <c r="N44" s="1134"/>
      <c r="O44" s="1135"/>
      <c r="P44" s="1748"/>
      <c r="V44" s="1748"/>
    </row>
    <row r="45" spans="1:22" ht="15">
      <c r="A45" s="3391" t="str">
        <f>IF(项目基本情况!E8="已注销及未注销","4.抵押担保权已注销时的抵押价格",IF(项目基本情况!E8="已注销","3.抵押担保权已注销时的抵押价格","——"))</f>
        <v>——</v>
      </c>
      <c r="B45" s="3392"/>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88" t="str">
        <f>IF(项目基本情况!E9="抵押净值",IF(A45="——","4.抵押净值","5.抵押净值"),"——")</f>
        <v>——</v>
      </c>
      <c r="B46" s="3389"/>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45" t="s">
        <v>374</v>
      </c>
      <c r="B63" s="3346"/>
      <c r="C63" s="3347"/>
      <c r="D63" s="320">
        <f ca="1">ROUND(C42*F63,0)</f>
        <v>32481</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93" t="s">
        <v>378</v>
      </c>
      <c r="B64" s="3394"/>
      <c r="C64" s="3394"/>
      <c r="D64" s="3394"/>
      <c r="E64" s="3394"/>
      <c r="F64" s="3394"/>
      <c r="G64" s="3395"/>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90" t="s">
        <v>386</v>
      </c>
      <c r="B66" s="3352"/>
      <c r="C66" s="3352"/>
      <c r="D66" s="246">
        <f ca="1">IF(H66="情况1",0,IF(H66="情况2",D70,IF(H66="情况3",D71,IF(H66="情况4",D72))))</f>
        <v>1732</v>
      </c>
      <c r="E66" s="913" t="str">
        <f>IF(H66="情况4","(销售额-原购置价)×税（费）率","销售额×税（费）率")</f>
        <v>销售额×税（费）率</v>
      </c>
      <c r="F66" s="329">
        <f>IF(H66="情况1","免征",'数据-取费表'!B41)</f>
        <v>5.6000000000000001E-2</v>
      </c>
      <c r="G66" s="330" t="s">
        <v>387</v>
      </c>
      <c r="H66" s="179" t="s">
        <v>3755</v>
      </c>
      <c r="I66" s="1140"/>
      <c r="J66" s="1760"/>
      <c r="K66" s="1143">
        <v>1</v>
      </c>
      <c r="L66" s="3313" t="s">
        <v>385</v>
      </c>
      <c r="M66" s="3314"/>
      <c r="N66" s="2124"/>
      <c r="O66" s="2125"/>
      <c r="P66" s="2126"/>
      <c r="Q66" s="1748"/>
      <c r="R66" s="1748"/>
      <c r="S66" s="1748"/>
      <c r="T66" s="1748"/>
      <c r="U66" s="1748"/>
      <c r="V66" s="1748"/>
    </row>
    <row r="67" spans="1:22" ht="25.5" customHeight="1">
      <c r="A67" s="331" t="s">
        <v>389</v>
      </c>
      <c r="B67" s="3364" t="s">
        <v>390</v>
      </c>
      <c r="C67" s="3364"/>
      <c r="D67" s="332">
        <v>0</v>
      </c>
      <c r="E67" s="39" t="s">
        <v>391</v>
      </c>
      <c r="F67" s="60" t="s">
        <v>21</v>
      </c>
      <c r="G67" s="3348"/>
      <c r="H67" s="2701" t="s">
        <v>2694</v>
      </c>
      <c r="I67" s="2703"/>
      <c r="J67" s="1761"/>
      <c r="K67" s="1744">
        <v>2</v>
      </c>
      <c r="L67" s="3318" t="s">
        <v>388</v>
      </c>
      <c r="M67" s="3318"/>
      <c r="N67" s="1175">
        <f>'数据-取费表'!B2</f>
        <v>44895</v>
      </c>
      <c r="O67" s="1175"/>
      <c r="P67" s="1175"/>
      <c r="Q67" s="1748"/>
      <c r="R67" s="1748"/>
      <c r="S67" s="1748"/>
      <c r="T67" s="1748"/>
      <c r="U67" s="1748"/>
      <c r="V67" s="1748"/>
    </row>
    <row r="68" spans="1:22" ht="25.5" customHeight="1">
      <c r="A68" s="333"/>
      <c r="B68" s="3364" t="s">
        <v>393</v>
      </c>
      <c r="C68" s="3364"/>
      <c r="D68" s="334"/>
      <c r="E68" s="75"/>
      <c r="F68" s="335"/>
      <c r="G68" s="3349"/>
      <c r="H68" s="2702" t="s">
        <v>2695</v>
      </c>
      <c r="I68" s="2703"/>
      <c r="J68" s="1761"/>
      <c r="K68" s="1744">
        <v>3</v>
      </c>
      <c r="L68" s="3318" t="s">
        <v>392</v>
      </c>
      <c r="M68" s="3318"/>
      <c r="N68" s="1145">
        <f ca="1">C42</f>
        <v>32481</v>
      </c>
      <c r="O68" s="1145"/>
      <c r="P68" s="1145"/>
      <c r="Q68" s="1748"/>
      <c r="R68" s="1748"/>
      <c r="S68" s="1748"/>
      <c r="T68" s="1748"/>
      <c r="U68" s="1748"/>
      <c r="V68" s="1748"/>
    </row>
    <row r="69" spans="1:22" ht="23.45" customHeight="1">
      <c r="A69" s="336"/>
      <c r="B69" s="3364" t="s">
        <v>394</v>
      </c>
      <c r="C69" s="3364"/>
      <c r="D69" s="337"/>
      <c r="E69" s="71"/>
      <c r="F69" s="335"/>
      <c r="G69" s="3350"/>
      <c r="H69" s="2702" t="s">
        <v>2696</v>
      </c>
      <c r="I69" s="2703"/>
      <c r="J69" s="1761"/>
      <c r="K69" s="1146">
        <v>4</v>
      </c>
      <c r="L69" s="3319" t="s">
        <v>2594</v>
      </c>
      <c r="M69" s="3320"/>
      <c r="N69" s="1147">
        <f ca="1">C44</f>
        <v>32481</v>
      </c>
      <c r="O69" s="1147"/>
      <c r="P69" s="1147"/>
      <c r="Q69" s="1748"/>
      <c r="R69" s="1748"/>
      <c r="S69" s="1748"/>
      <c r="T69" s="1748"/>
      <c r="U69" s="1748"/>
      <c r="V69" s="1748"/>
    </row>
    <row r="70" spans="1:22" ht="24" customHeight="1">
      <c r="A70" s="338" t="s">
        <v>395</v>
      </c>
      <c r="B70" s="3364" t="s">
        <v>396</v>
      </c>
      <c r="C70" s="3364"/>
      <c r="D70" s="337">
        <f ca="1">ROUND(D63*'数据-取费表'!B41/(1+'数据-取费表'!C42),0)</f>
        <v>1732</v>
      </c>
      <c r="E70" s="16" t="s">
        <v>397</v>
      </c>
      <c r="F70" s="339">
        <f>'数据-取费表'!B41</f>
        <v>5.6000000000000001E-2</v>
      </c>
      <c r="G70" s="340"/>
      <c r="H70" s="292"/>
      <c r="I70" s="1144"/>
      <c r="J70" s="1761"/>
      <c r="K70" s="2488"/>
      <c r="L70" s="2489"/>
      <c r="M70" s="2489"/>
      <c r="N70" s="2490" t="s">
        <v>2598</v>
      </c>
      <c r="O70" s="2489"/>
      <c r="P70" s="2491"/>
      <c r="Q70" s="1748"/>
      <c r="R70" s="1748"/>
      <c r="S70" s="1748"/>
      <c r="T70" s="1748"/>
      <c r="U70" s="1748"/>
      <c r="V70" s="1748"/>
    </row>
    <row r="71" spans="1:22" ht="12" customHeight="1">
      <c r="A71" s="338" t="s">
        <v>403</v>
      </c>
      <c r="B71" s="3363" t="s">
        <v>2724</v>
      </c>
      <c r="C71" s="3384"/>
      <c r="D71" s="337">
        <f ca="1">ROUND(D63*'数据-取费表'!B41/(1+'数据-取费表'!C42),0)</f>
        <v>1732</v>
      </c>
      <c r="E71" s="16" t="s">
        <v>397</v>
      </c>
      <c r="F71" s="339">
        <f>'数据-取费表'!B41</f>
        <v>5.6000000000000001E-2</v>
      </c>
      <c r="G71" s="340"/>
      <c r="H71" s="292"/>
      <c r="I71" s="1144"/>
      <c r="J71" s="1761"/>
      <c r="K71" s="2487" t="s">
        <v>398</v>
      </c>
      <c r="L71" s="3321" t="s">
        <v>399</v>
      </c>
      <c r="M71" s="3321"/>
      <c r="N71" s="2487" t="s">
        <v>400</v>
      </c>
      <c r="O71" s="2487" t="s">
        <v>401</v>
      </c>
      <c r="P71" s="2487" t="s">
        <v>402</v>
      </c>
      <c r="Q71" s="1748"/>
      <c r="R71" s="1748"/>
      <c r="S71" s="1748"/>
      <c r="T71" s="1748"/>
      <c r="U71" s="1748"/>
      <c r="V71" s="1748"/>
    </row>
    <row r="72" spans="1:22" ht="12" customHeight="1">
      <c r="A72" s="338" t="s">
        <v>405</v>
      </c>
      <c r="B72" s="3363" t="s">
        <v>2725</v>
      </c>
      <c r="C72" s="3384"/>
      <c r="D72" s="337">
        <f ca="1">C86</f>
        <v>1732</v>
      </c>
      <c r="E72" s="71" t="s">
        <v>406</v>
      </c>
      <c r="F72" s="339">
        <f>'数据-取费表'!B41</f>
        <v>5.6000000000000001E-2</v>
      </c>
      <c r="G72" s="340"/>
      <c r="H72" s="1150"/>
      <c r="I72" s="1144"/>
      <c r="J72" s="1761"/>
      <c r="K72" s="1744">
        <v>1</v>
      </c>
      <c r="L72" s="3317" t="s">
        <v>404</v>
      </c>
      <c r="M72" s="3317"/>
      <c r="N72" s="1148">
        <f ca="1">D66</f>
        <v>1732</v>
      </c>
      <c r="O72" s="1630" t="str">
        <f>E66</f>
        <v>销售额×税（费）率</v>
      </c>
      <c r="P72" s="1149">
        <f>F66</f>
        <v>5.6000000000000001E-2</v>
      </c>
      <c r="Q72" s="1748"/>
      <c r="R72" s="1748"/>
      <c r="S72" s="1748"/>
      <c r="T72" s="1748"/>
      <c r="U72" s="1748"/>
      <c r="V72" s="1748"/>
    </row>
    <row r="73" spans="1:22" ht="24" customHeight="1">
      <c r="A73" s="3351" t="s">
        <v>408</v>
      </c>
      <c r="B73" s="3352"/>
      <c r="C73" s="3352"/>
      <c r="D73" s="341">
        <f ca="1">IF(H73="个人住宅",0,ROUND(D63*I73,0))</f>
        <v>16</v>
      </c>
      <c r="E73" s="16" t="s">
        <v>409</v>
      </c>
      <c r="F73" s="339">
        <f>IF(H73="正常",I73,"免征")</f>
        <v>5.0000000000000001E-4</v>
      </c>
      <c r="G73" s="340"/>
      <c r="H73" s="179" t="s">
        <v>3756</v>
      </c>
      <c r="I73" s="339">
        <f>'数据-取费表'!B49</f>
        <v>5.0000000000000001E-4</v>
      </c>
      <c r="J73" s="1761"/>
      <c r="K73" s="1744">
        <v>2</v>
      </c>
      <c r="L73" s="3317" t="s">
        <v>407</v>
      </c>
      <c r="M73" s="3317"/>
      <c r="N73" s="1148">
        <f t="shared" ref="N73:P74" ca="1" si="1">D73</f>
        <v>16</v>
      </c>
      <c r="O73" s="1630" t="str">
        <f t="shared" si="1"/>
        <v>销售额×税（费）率</v>
      </c>
      <c r="P73" s="1149">
        <f t="shared" si="1"/>
        <v>5.0000000000000001E-4</v>
      </c>
      <c r="Q73" s="1748"/>
      <c r="R73" s="1748"/>
      <c r="S73" s="1748"/>
      <c r="T73" s="1748"/>
      <c r="U73" s="1748"/>
      <c r="V73" s="1748"/>
    </row>
    <row r="74" spans="1:22" ht="24.75">
      <c r="A74" s="3351" t="s">
        <v>411</v>
      </c>
      <c r="B74" s="3352"/>
      <c r="C74" s="3352"/>
      <c r="D74" s="341">
        <f ca="1">IF(H74="个人住宅",D75,D76)</f>
        <v>3418</v>
      </c>
      <c r="E74" s="16" t="s">
        <v>412</v>
      </c>
      <c r="F74" s="339" t="str">
        <f>IF(H74="正常",F76,"免征")</f>
        <v>——</v>
      </c>
      <c r="G74" s="904" t="s">
        <v>413</v>
      </c>
      <c r="H74" s="342" t="s">
        <v>3756</v>
      </c>
      <c r="I74" s="40"/>
      <c r="J74" s="1761"/>
      <c r="K74" s="1744">
        <v>3</v>
      </c>
      <c r="L74" s="3317" t="s">
        <v>410</v>
      </c>
      <c r="M74" s="3317"/>
      <c r="N74" s="1148">
        <f t="shared" ca="1" si="1"/>
        <v>3418</v>
      </c>
      <c r="O74" s="1630" t="str">
        <f t="shared" si="1"/>
        <v>增值额×税（费）率</v>
      </c>
      <c r="P74" s="1151" t="str">
        <f t="shared" si="1"/>
        <v>——</v>
      </c>
      <c r="Q74" s="1748"/>
      <c r="R74" s="1748"/>
      <c r="S74" s="1748"/>
      <c r="T74" s="1748"/>
      <c r="U74" s="1748"/>
      <c r="V74" s="1748"/>
    </row>
    <row r="75" spans="1:22" ht="12.75">
      <c r="A75" s="338" t="s">
        <v>414</v>
      </c>
      <c r="B75" s="3332" t="s">
        <v>415</v>
      </c>
      <c r="C75" s="3333"/>
      <c r="D75" s="343">
        <v>0</v>
      </c>
      <c r="E75" s="39" t="s">
        <v>416</v>
      </c>
      <c r="F75" s="344"/>
      <c r="G75" s="340"/>
      <c r="H75" s="40"/>
      <c r="I75" s="40"/>
      <c r="J75" s="1761"/>
      <c r="K75" s="1744" t="str">
        <f>IF(H77="非个人房产","",4)</f>
        <v/>
      </c>
      <c r="L75" s="3317" t="str">
        <f>IF(H77="非个人房产","——","个人所得税")</f>
        <v>——</v>
      </c>
      <c r="M75" s="3317"/>
      <c r="N75" s="1152" t="str">
        <f>D77</f>
        <v>——</v>
      </c>
      <c r="O75" s="1643" t="str">
        <f>E77</f>
        <v>——</v>
      </c>
      <c r="P75" s="1153" t="str">
        <f>F77</f>
        <v>——</v>
      </c>
      <c r="Q75" s="1748"/>
      <c r="R75" s="1748"/>
      <c r="S75" s="1748"/>
      <c r="T75" s="1748"/>
      <c r="U75" s="1748"/>
      <c r="V75" s="1748"/>
    </row>
    <row r="76" spans="1:22" ht="24.75">
      <c r="A76" s="338" t="s">
        <v>395</v>
      </c>
      <c r="B76" s="3332" t="s">
        <v>418</v>
      </c>
      <c r="C76" s="3374"/>
      <c r="D76" s="341">
        <f ca="1">IF(H76="转让取得",C99,C115)</f>
        <v>3418</v>
      </c>
      <c r="E76" s="16" t="s">
        <v>419</v>
      </c>
      <c r="F76" s="51" t="s">
        <v>21</v>
      </c>
      <c r="G76" s="340"/>
      <c r="H76" s="342" t="s">
        <v>3757</v>
      </c>
      <c r="I76" s="40"/>
      <c r="J76" s="1761"/>
      <c r="K76" s="1744" t="str">
        <f>IF(项目基本情况!K6="上海银行",IF(K75="",4,K75+1),"")</f>
        <v/>
      </c>
      <c r="L76" s="3328" t="str">
        <f>IF(项目基本情况!K6="上海银行","其他处置费用","")</f>
        <v/>
      </c>
      <c r="M76" s="3329"/>
      <c r="N76" s="1148" t="str">
        <f>IF(项目基本情况!K6="上海银行",N89,"")</f>
        <v/>
      </c>
      <c r="O76" s="3330" t="str">
        <f>IF(项目基本情况!K6="上海银行","包含处置中涉及的律师、诉讼、拍卖、评估等费用","")</f>
        <v/>
      </c>
      <c r="P76" s="3331"/>
      <c r="Q76" s="1748"/>
      <c r="R76" s="1748"/>
      <c r="S76" s="1748"/>
      <c r="T76" s="1748"/>
      <c r="U76" s="1748"/>
      <c r="V76" s="1748"/>
    </row>
    <row r="77" spans="1:22" ht="24.75" thickBot="1">
      <c r="A77" s="3343" t="s">
        <v>421</v>
      </c>
      <c r="B77" s="3344"/>
      <c r="C77" s="3344"/>
      <c r="D77" s="2706" t="str">
        <f>IF(H77="非个人房产","——",IF(H77="个人住宅（满五唯一有凭证）",0,IF(H77="个人其他（无凭证）",ROUND(D63*F77,0),ROUND(C84*F77,0))))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905" t="s">
        <v>413</v>
      </c>
      <c r="H77" s="2705" t="s">
        <v>3758</v>
      </c>
      <c r="I77" s="2704" t="s">
        <v>2697</v>
      </c>
      <c r="J77" s="1761"/>
      <c r="K77" s="3339">
        <f>IF(AND(K75="",K76=""),4,IF(项目基本情况!K6="上海银行",K76+1,K75+1))</f>
        <v>4</v>
      </c>
      <c r="L77" s="3317" t="s">
        <v>2595</v>
      </c>
      <c r="M77" s="2486" t="s">
        <v>417</v>
      </c>
      <c r="N77" s="1154"/>
      <c r="O77" s="1155">
        <f ca="1">SUMIF(N72:N76,"&lt;9e307")</f>
        <v>5166</v>
      </c>
      <c r="P77" s="1156"/>
      <c r="Q77" s="2484">
        <f ca="1">O77/N69</f>
        <v>0.15904682737600442</v>
      </c>
      <c r="R77" s="1748"/>
      <c r="S77" s="1748"/>
      <c r="T77" s="1748"/>
      <c r="U77" s="1748"/>
      <c r="V77" s="1748"/>
    </row>
    <row r="78" spans="1:22" ht="12" customHeight="1">
      <c r="A78" s="1157"/>
      <c r="B78" s="292"/>
      <c r="C78" s="292"/>
      <c r="D78" s="292"/>
      <c r="E78" s="40"/>
      <c r="F78" s="40"/>
      <c r="G78" s="40"/>
      <c r="H78" s="873"/>
      <c r="I78" s="292"/>
      <c r="J78" s="1761"/>
      <c r="K78" s="3339"/>
      <c r="L78" s="3317"/>
      <c r="M78" s="2486" t="s">
        <v>420</v>
      </c>
      <c r="N78" s="1154"/>
      <c r="O78" s="1155" t="str">
        <f ca="1">NUMBERSTRING(INT(O77*10000),2)&amp;"元整"</f>
        <v>伍仟壹佰陆拾陆万元整</v>
      </c>
      <c r="P78" s="1156"/>
      <c r="Q78" s="1748"/>
      <c r="R78" s="1748"/>
      <c r="S78" s="1748"/>
      <c r="T78" s="1748"/>
      <c r="U78" s="1748"/>
      <c r="V78" s="1748"/>
    </row>
    <row r="79" spans="1:22" ht="13.5" thickBot="1">
      <c r="A79" s="3398" t="s">
        <v>422</v>
      </c>
      <c r="B79" s="3398"/>
      <c r="C79" s="3398"/>
      <c r="D79" s="3398"/>
      <c r="E79" s="3398"/>
      <c r="F79" s="40"/>
      <c r="G79" s="40"/>
      <c r="H79" s="873"/>
      <c r="I79" s="292"/>
      <c r="J79" s="1761"/>
      <c r="K79" s="3315">
        <f>K77+1</f>
        <v>5</v>
      </c>
      <c r="L79" s="3317" t="s">
        <v>2596</v>
      </c>
      <c r="M79" s="2486" t="s">
        <v>417</v>
      </c>
      <c r="N79" s="1154"/>
      <c r="O79" s="1155">
        <f ca="1">N69-O77</f>
        <v>27315</v>
      </c>
      <c r="P79" s="1156"/>
      <c r="Q79" s="1748"/>
      <c r="R79" s="1748"/>
      <c r="S79" s="1748"/>
      <c r="T79" s="1748"/>
      <c r="U79" s="1748"/>
      <c r="V79" s="1748"/>
    </row>
    <row r="80" spans="1:22" ht="25.5">
      <c r="A80" s="3325" t="s">
        <v>423</v>
      </c>
      <c r="B80" s="3326"/>
      <c r="C80" s="914"/>
      <c r="D80" s="914" t="s">
        <v>424</v>
      </c>
      <c r="E80" s="345" t="s">
        <v>425</v>
      </c>
      <c r="F80" s="40"/>
      <c r="G80" s="40"/>
      <c r="H80" s="873"/>
      <c r="I80" s="292"/>
      <c r="J80" s="1748"/>
      <c r="K80" s="3316"/>
      <c r="L80" s="3317"/>
      <c r="M80" s="2486" t="s">
        <v>420</v>
      </c>
      <c r="N80" s="1154"/>
      <c r="O80" s="1155" t="str">
        <f ca="1">NUMBERSTRING(INT(O79*10000),2)&amp;"元整"</f>
        <v>贰亿柒仟叁佰壹拾伍万元整</v>
      </c>
      <c r="P80" s="1156"/>
      <c r="Q80" s="1748"/>
      <c r="R80" s="1748"/>
      <c r="S80" s="1748"/>
      <c r="T80" s="1748"/>
      <c r="U80" s="1748"/>
      <c r="V80" s="1748"/>
    </row>
    <row r="81" spans="1:26" ht="13.5" thickBot="1">
      <c r="A81" s="356" t="s">
        <v>1622</v>
      </c>
      <c r="B81" s="346" t="s">
        <v>426</v>
      </c>
      <c r="C81" s="347">
        <f ca="1">ROUND((C82+C83)/(1+'数据-取费表'!C42),0)</f>
        <v>30934</v>
      </c>
      <c r="D81" s="348"/>
      <c r="E81" s="349"/>
      <c r="F81" s="40"/>
      <c r="G81" s="40"/>
      <c r="H81" s="873"/>
      <c r="I81" s="292"/>
      <c r="J81" s="1748"/>
      <c r="K81" s="1744">
        <f>K79+1</f>
        <v>6</v>
      </c>
      <c r="L81" s="3337" t="s">
        <v>2597</v>
      </c>
      <c r="M81" s="3338"/>
      <c r="N81" s="1158"/>
      <c r="O81" s="1159">
        <f ca="1">ROUND(O79*10000/'数据-汇总表'!E3,0)</f>
        <v>1954</v>
      </c>
      <c r="P81" s="1160"/>
      <c r="Q81" s="1748"/>
      <c r="R81" s="1748"/>
      <c r="S81" s="1748"/>
      <c r="T81" s="1748"/>
      <c r="U81" s="1748"/>
      <c r="V81" s="1748"/>
    </row>
    <row r="82" spans="1:26" ht="13.5" thickTop="1">
      <c r="A82" s="350" t="s">
        <v>1623</v>
      </c>
      <c r="B82" s="351" t="s">
        <v>427</v>
      </c>
      <c r="C82" s="352">
        <f ca="1">D63</f>
        <v>32481</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1624</v>
      </c>
      <c r="B83" s="351" t="s">
        <v>428</v>
      </c>
      <c r="C83" s="355"/>
      <c r="D83" s="353"/>
      <c r="E83" s="354"/>
      <c r="F83" s="40"/>
      <c r="G83" s="40"/>
      <c r="H83" s="873"/>
      <c r="I83" s="292"/>
      <c r="J83" s="1748"/>
      <c r="K83" s="3327" t="s">
        <v>2585</v>
      </c>
      <c r="L83" s="2492" t="s">
        <v>2586</v>
      </c>
      <c r="M83" s="2482">
        <f ca="1">IF(N69&gt;10000,N69*0.5%,IF(AND(N69&gt;1000,N69&lt;=10000),N69*1%,IF(AND(N69&gt;100,N69&lt;=1000),N69*3%,IF(AND(N69&gt;10,N69&lt;=100),N69*5%,N69*8%))))</f>
        <v>162.405</v>
      </c>
      <c r="N83" s="51">
        <f ca="1">ROUND(M83,1)</f>
        <v>162.4</v>
      </c>
      <c r="O83" s="2485"/>
      <c r="P83" s="1748"/>
      <c r="Q83" s="1748"/>
      <c r="R83" s="1748"/>
      <c r="S83" s="1748"/>
      <c r="T83" s="1748"/>
      <c r="U83" s="1748"/>
      <c r="V83" s="1748"/>
    </row>
    <row r="84" spans="1:26" ht="12.75">
      <c r="A84" s="356" t="s">
        <v>1625</v>
      </c>
      <c r="B84" s="357" t="s">
        <v>429</v>
      </c>
      <c r="C84" s="358"/>
      <c r="D84" s="359" t="s">
        <v>19</v>
      </c>
      <c r="E84" s="2509" t="s">
        <v>2638</v>
      </c>
      <c r="F84" s="40"/>
      <c r="G84" s="40"/>
      <c r="H84" s="873"/>
      <c r="I84" s="292"/>
      <c r="J84" s="1748"/>
      <c r="K84" s="3327"/>
      <c r="L84" s="2492" t="s">
        <v>2587</v>
      </c>
      <c r="M84" s="2482">
        <f ca="1">IF(N69&gt;2000,N69*0.5%,IF(AND(N69&gt;1000,N69&lt;=2000),N69*0.6%,IF(AND(N69&gt;500,N69&lt;=1000),N69*0.7%,IF(AND(N69&gt;200,N69&lt;=500),N69*0.8%,IF(AND(N69&gt;100,N69&lt;=200),N69*0.9%,IF(AND(N69&gt;50,N69&lt;=100),N69*1%,IF(AND(N69&gt;20,N69&lt;=50),N69*1.5%,IF(AND(N69&gt;10,N69&lt;=20),N69*2%,IF(AND(N69&gt;1,N69&lt;=10),N69*2.5%)))))))))</f>
        <v>162.405</v>
      </c>
      <c r="N84" s="51">
        <f t="shared" ref="N84:N85" ca="1" si="2">ROUND(M84,1)</f>
        <v>162.4</v>
      </c>
      <c r="O84" s="1748" t="s">
        <v>2588</v>
      </c>
      <c r="P84" s="1748"/>
      <c r="Q84" s="1748"/>
      <c r="R84" s="1748"/>
      <c r="S84" s="1748"/>
      <c r="T84" s="1748"/>
      <c r="U84" s="1748"/>
      <c r="V84" s="1748"/>
    </row>
    <row r="85" spans="1:26" ht="12.75">
      <c r="A85" s="356" t="s">
        <v>1626</v>
      </c>
      <c r="B85" s="357" t="s">
        <v>430</v>
      </c>
      <c r="C85" s="360">
        <f ca="1">C81-C84</f>
        <v>30934</v>
      </c>
      <c r="D85" s="353" t="s">
        <v>19</v>
      </c>
      <c r="E85" s="354"/>
      <c r="F85" s="40"/>
      <c r="G85" s="40"/>
      <c r="H85" s="873"/>
      <c r="I85" s="292"/>
      <c r="J85" s="1748"/>
      <c r="K85" s="3327"/>
      <c r="L85" s="2492" t="s">
        <v>2589</v>
      </c>
      <c r="M85" s="2482">
        <f ca="1">IF(N69&gt;1000,N69*0.1%,IF(AND(N69&gt;500,N69&lt;=1000),N69*0.5%,IF(AND(N69&gt;50,N69&lt;=500),N69*1%,IF(AND(N69&gt;1,N69&lt;=50),N69*1.5%))))</f>
        <v>32.481000000000002</v>
      </c>
      <c r="N85" s="51">
        <f t="shared" ca="1" si="2"/>
        <v>32.5</v>
      </c>
      <c r="O85" s="1748" t="s">
        <v>2588</v>
      </c>
      <c r="P85" s="1748"/>
      <c r="Q85" s="1748"/>
      <c r="R85" s="1748"/>
      <c r="S85" s="1748"/>
      <c r="T85" s="1748"/>
      <c r="U85" s="1748"/>
      <c r="V85" s="1748"/>
    </row>
    <row r="86" spans="1:26" ht="13.5" thickBot="1">
      <c r="A86" s="361" t="s">
        <v>1627</v>
      </c>
      <c r="B86" s="362" t="s">
        <v>431</v>
      </c>
      <c r="C86" s="363">
        <f ca="1">IF(C85&lt;=0,0,ROUND(C85*D86,0))</f>
        <v>1732</v>
      </c>
      <c r="D86" s="364">
        <f>'数据-取费表'!B41</f>
        <v>5.6000000000000001E-2</v>
      </c>
      <c r="E86" s="365"/>
      <c r="F86" s="40"/>
      <c r="G86" s="40"/>
      <c r="H86" s="873"/>
      <c r="I86" s="292"/>
      <c r="J86" s="1748"/>
      <c r="K86" s="3327"/>
      <c r="L86" s="2492" t="s">
        <v>2590</v>
      </c>
      <c r="M86" s="2482">
        <f ca="1">N69*0.5%</f>
        <v>162.405</v>
      </c>
      <c r="N86" s="51">
        <f ca="1">IF(M86&gt;0.5,0.5,ROUND(M86,0))</f>
        <v>0.5</v>
      </c>
      <c r="O86" s="1748" t="s">
        <v>2591</v>
      </c>
      <c r="P86" s="1748"/>
      <c r="Q86" s="1748"/>
      <c r="R86" s="1748"/>
      <c r="S86" s="1748"/>
      <c r="T86" s="1748"/>
      <c r="U86" s="1748"/>
      <c r="V86" s="1748"/>
    </row>
    <row r="87" spans="1:26" ht="14.25" customHeight="1">
      <c r="A87" s="1161"/>
      <c r="B87" s="1162"/>
      <c r="C87" s="1163"/>
      <c r="D87" s="1164"/>
      <c r="E87" s="1165"/>
      <c r="F87" s="40"/>
      <c r="G87" s="40"/>
      <c r="H87" s="873"/>
      <c r="I87" s="292"/>
      <c r="J87" s="1748"/>
      <c r="K87" s="3327"/>
      <c r="L87" s="2492" t="s">
        <v>2592</v>
      </c>
      <c r="M87" s="2482">
        <f ca="1">IF(N69&gt;=10000,(8.25+(N69-10000)*0.01%),IF(AND(N69&gt;=8000,N69&lt;10000),(7.85+(N69-8000)*0.02%),IF(AND(N69&gt;=5000,N69&lt;8000),(6.65+(N69-5000)*0.04%),IF(AND(N69&gt;=2000,N69&lt;5000),(4.25+(PN69-2000)*0.08%),IF(AND(N69&gt;=1000,N69&lt;2000),(2.75+(N69-1000)*0.15%),IF(AND(N69&gt;=100,N69&lt;1000),(0.5+(N69-100)*0.25%),IF(AND(N69&gt;0,N69&lt;100),N69*0.5%)))))))</f>
        <v>10.498100000000001</v>
      </c>
      <c r="N87" s="51">
        <f ca="1">ROUND(M87*0.9,1)</f>
        <v>9.4</v>
      </c>
      <c r="O87" s="2485"/>
      <c r="P87" s="1748"/>
      <c r="Q87" s="1748"/>
      <c r="R87" s="1748"/>
      <c r="S87" s="1748"/>
      <c r="T87" s="1748"/>
      <c r="U87" s="1748"/>
      <c r="V87" s="1748"/>
    </row>
    <row r="88" spans="1:26" s="1054" customFormat="1" ht="15" thickBot="1">
      <c r="A88" s="3366" t="s">
        <v>432</v>
      </c>
      <c r="B88" s="3367"/>
      <c r="C88" s="3367"/>
      <c r="D88" s="3367"/>
      <c r="E88" s="3367"/>
      <c r="F88" s="3367"/>
      <c r="G88" s="3367"/>
      <c r="H88" s="3367"/>
      <c r="I88" s="1166"/>
      <c r="J88" s="1762"/>
      <c r="K88" s="3327"/>
      <c r="L88" s="2492" t="s">
        <v>2593</v>
      </c>
      <c r="M88" s="2482">
        <f ca="1">IF(N69&gt;10000,N69*0.5%,IF(AND(N69&gt;5000,N69&lt;=10000),N69*1%,IF(AND(N69&gt;1000,N69&lt;=5000),N69*2%,IF(AND(N69&gt;200,N69&lt;=1000),N69*3%,N69*5%))))</f>
        <v>162.405</v>
      </c>
      <c r="N88" s="51">
        <f ca="1">ROUND(M88,1)</f>
        <v>162.4</v>
      </c>
      <c r="O88" s="2485"/>
      <c r="P88" s="1759"/>
      <c r="Q88" s="1759"/>
      <c r="R88" s="1759"/>
      <c r="S88" s="1759"/>
      <c r="T88" s="1759"/>
      <c r="U88" s="1759"/>
      <c r="V88" s="1759"/>
      <c r="W88" s="1763"/>
      <c r="X88" s="1763"/>
      <c r="Y88" s="1763"/>
      <c r="Z88" s="1763"/>
    </row>
    <row r="89" spans="1:26" s="1054" customFormat="1" ht="14.25">
      <c r="A89" s="3325" t="s">
        <v>423</v>
      </c>
      <c r="B89" s="3326"/>
      <c r="C89" s="914"/>
      <c r="D89" s="914" t="s">
        <v>424</v>
      </c>
      <c r="E89" s="366" t="s">
        <v>433</v>
      </c>
      <c r="F89" s="367"/>
      <c r="G89" s="367"/>
      <c r="H89" s="368"/>
      <c r="I89" s="1167"/>
      <c r="J89" s="1764"/>
      <c r="K89" s="3327"/>
      <c r="L89" s="2492" t="s">
        <v>27</v>
      </c>
      <c r="M89" s="2483"/>
      <c r="N89" s="51">
        <f ca="1">ROUND(SUM(N83:N88),0)</f>
        <v>530</v>
      </c>
      <c r="O89" s="2493">
        <f ca="1">N89/N69</f>
        <v>1.6317231612327208E-2</v>
      </c>
      <c r="P89" s="1759"/>
      <c r="Q89" s="1759"/>
      <c r="R89" s="1759"/>
      <c r="S89" s="1759"/>
      <c r="T89" s="1759"/>
      <c r="U89" s="1759"/>
      <c r="V89" s="1759"/>
      <c r="W89" s="1763"/>
      <c r="X89" s="1763"/>
      <c r="Y89" s="1763"/>
      <c r="Z89" s="1763"/>
    </row>
    <row r="90" spans="1:26" s="1054" customFormat="1" ht="14.25">
      <c r="A90" s="356" t="s">
        <v>1622</v>
      </c>
      <c r="B90" s="357" t="s">
        <v>434</v>
      </c>
      <c r="C90" s="360">
        <f ca="1">ROUND(D63/(1+'数据-取费表'!C42),0)</f>
        <v>30934</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1628</v>
      </c>
      <c r="B91" s="327" t="s">
        <v>435</v>
      </c>
      <c r="C91" s="360">
        <f ca="1">C92+C96</f>
        <v>186</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1629</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1630</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1631</v>
      </c>
      <c r="B94" s="375" t="s">
        <v>440</v>
      </c>
      <c r="C94" s="353">
        <f>IF(F93="购房发票",ROUND(C93*H93*5%,0),0)</f>
        <v>0</v>
      </c>
      <c r="D94" s="376">
        <v>0.05</v>
      </c>
      <c r="E94" s="3363" t="s">
        <v>441</v>
      </c>
      <c r="F94" s="3364"/>
      <c r="G94" s="3364"/>
      <c r="H94" s="3365"/>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1632</v>
      </c>
      <c r="B95" s="351" t="s">
        <v>442</v>
      </c>
      <c r="C95" s="353">
        <f>ROUND(IF(G95="个人买卖住房",0,IF(G95="2016年5月1日前购买",C93*D95,C93*D95/(1+'数据-取费表'!C42))),0)</f>
        <v>0</v>
      </c>
      <c r="D95" s="377">
        <f>'数据-取费表'!B48+'数据-取费表'!B49</f>
        <v>4.0500000000000001E-2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1633</v>
      </c>
      <c r="B96" s="351" t="s">
        <v>444</v>
      </c>
      <c r="C96" s="380">
        <f ca="1">ROUND(D63*D96/(1+'数据-取费表'!C42),0)</f>
        <v>186</v>
      </c>
      <c r="D96" s="381">
        <f>'数据-取费表'!B43</f>
        <v>6.000000000000001E-3</v>
      </c>
      <c r="E96" s="3322" t="s">
        <v>2214</v>
      </c>
      <c r="F96" s="3323"/>
      <c r="G96" s="3323"/>
      <c r="H96" s="3324"/>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1634</v>
      </c>
      <c r="B97" s="357" t="s">
        <v>445</v>
      </c>
      <c r="C97" s="360">
        <f ca="1">C90-C91</f>
        <v>30748</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1635</v>
      </c>
      <c r="B98" s="357" t="s">
        <v>446</v>
      </c>
      <c r="C98" s="382">
        <f ca="1">IF(C97&lt;=0,0,C97/C91)</f>
        <v>165.31182795698925</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1636</v>
      </c>
      <c r="B99" s="362" t="s">
        <v>447</v>
      </c>
      <c r="C99" s="383">
        <f ca="1">ROUND(IF(C97&lt;=0,0,IF(C98&gt;=200%,C97*60%-C91*35%,IF(C98&gt;=100%,C97*50%-C91*15%,IF(C98&gt;=50%,C97*40%-C91*5%,IF(C98&lt;50%,C97*30%,0))))),0)</f>
        <v>18384</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66" t="s">
        <v>448</v>
      </c>
      <c r="B101" s="3367"/>
      <c r="C101" s="3367"/>
      <c r="D101" s="3367"/>
      <c r="E101" s="3367"/>
      <c r="F101" s="3367"/>
      <c r="G101" s="3367"/>
      <c r="H101" s="3367"/>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25" t="s">
        <v>423</v>
      </c>
      <c r="B102" s="3326"/>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1622</v>
      </c>
      <c r="B103" s="357" t="s">
        <v>434</v>
      </c>
      <c r="C103" s="360">
        <f ca="1">ROUND(D63/(1+'数据-取费表'!C42),0)</f>
        <v>30934</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1628</v>
      </c>
      <c r="B104" s="327" t="s">
        <v>435</v>
      </c>
      <c r="C104" s="360">
        <f ca="1">IF(H106="仅含出让金",C105+C108+C109+C110+C111+C112,C105+C109+C110+C111+C112)</f>
        <v>19902</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1629</v>
      </c>
      <c r="B105" s="351" t="s">
        <v>449</v>
      </c>
      <c r="C105" s="380">
        <f>C106+C107</f>
        <v>19716</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1630</v>
      </c>
      <c r="B106" s="351" t="s">
        <v>450</v>
      </c>
      <c r="C106" s="391">
        <f>ROUND(Sheet2!E4/10000,0)</f>
        <v>18949</v>
      </c>
      <c r="D106" s="381"/>
      <c r="E106" s="392" t="s">
        <v>451</v>
      </c>
      <c r="F106" s="907"/>
      <c r="G106" s="393" t="s">
        <v>452</v>
      </c>
      <c r="H106" s="394" t="s">
        <v>3759</v>
      </c>
      <c r="I106" s="11"/>
      <c r="J106" s="1759"/>
      <c r="K106" s="2903" t="s">
        <v>2717</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1631</v>
      </c>
      <c r="B107" s="351" t="s">
        <v>442</v>
      </c>
      <c r="C107" s="380">
        <f>ROUND(C106*D107,0)</f>
        <v>767</v>
      </c>
      <c r="D107" s="381">
        <f>'数据-取费表'!B48+'数据-取费表'!B49</f>
        <v>4.0500000000000001E-2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1633</v>
      </c>
      <c r="B108" s="351" t="s">
        <v>454</v>
      </c>
      <c r="C108" s="391"/>
      <c r="D108" s="381"/>
      <c r="E108" s="392" t="str">
        <f>IF(H106="-","土地取得成本中已包含该笔费用"," ")</f>
        <v xml:space="preserve"> </v>
      </c>
      <c r="F108" s="907"/>
      <c r="G108" s="3382" t="s">
        <v>2689</v>
      </c>
      <c r="H108" s="3383"/>
      <c r="I108" s="2576"/>
      <c r="J108" s="1759"/>
      <c r="K108" s="2903" t="s">
        <v>2718</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1637</v>
      </c>
      <c r="B109" s="351" t="s">
        <v>455</v>
      </c>
      <c r="C109" s="380">
        <f>IF(H109="——",IF(F1="现房",'剩余法-现房'!C18,0),I109)</f>
        <v>0</v>
      </c>
      <c r="D109" s="381"/>
      <c r="E109" s="3356" t="s">
        <v>456</v>
      </c>
      <c r="F109" s="3323"/>
      <c r="G109" s="3323"/>
      <c r="H109" s="1712" t="s">
        <v>930</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1638</v>
      </c>
      <c r="B110" s="351" t="s">
        <v>457</v>
      </c>
      <c r="C110" s="380">
        <f>ROUND((C105+C108+C109)*D110,0)</f>
        <v>0</v>
      </c>
      <c r="D110" s="2933">
        <v>0</v>
      </c>
      <c r="E110" s="3356" t="s">
        <v>458</v>
      </c>
      <c r="F110" s="3323"/>
      <c r="G110" s="3323"/>
      <c r="H110" s="3324"/>
      <c r="I110" s="11"/>
      <c r="J110" s="1759"/>
      <c r="K110" s="2904" t="s">
        <v>2719</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1639</v>
      </c>
      <c r="B111" s="351" t="s">
        <v>444</v>
      </c>
      <c r="C111" s="380">
        <f ca="1">ROUND(D63*D111/(1+'数据-取费表'!C42),0)</f>
        <v>186</v>
      </c>
      <c r="D111" s="381">
        <f>'数据-取费表'!B43</f>
        <v>6.000000000000001E-3</v>
      </c>
      <c r="E111" s="3322" t="s">
        <v>2214</v>
      </c>
      <c r="F111" s="3323"/>
      <c r="G111" s="3323"/>
      <c r="H111" s="3324"/>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1640</v>
      </c>
      <c r="B112" s="351" t="s">
        <v>459</v>
      </c>
      <c r="C112" s="380">
        <f>ROUND(C108*D112,0)</f>
        <v>0</v>
      </c>
      <c r="D112" s="381">
        <v>0.2</v>
      </c>
      <c r="E112" s="3356" t="s">
        <v>2233</v>
      </c>
      <c r="F112" s="3323"/>
      <c r="G112" s="3323"/>
      <c r="H112" s="3324"/>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1634</v>
      </c>
      <c r="B113" s="357" t="s">
        <v>445</v>
      </c>
      <c r="C113" s="360">
        <f ca="1">ROUND(C103-C104,0)</f>
        <v>11032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1635</v>
      </c>
      <c r="B114" s="357" t="s">
        <v>446</v>
      </c>
      <c r="C114" s="382">
        <f ca="1">IF(C113&lt;=0,0,C113/C104)</f>
        <v>0.55431614913074068</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1636</v>
      </c>
      <c r="B115" s="362" t="s">
        <v>447</v>
      </c>
      <c r="C115" s="383">
        <f ca="1">ROUND(IF(C113&lt;=0,0,IF(C114&gt;=200%,C113*60%-C104*35%,IF(C114&gt;=100%,C113*50%-C104*15%,IF(C114&gt;=50%,C113*40%-C104*5%,IF(C114&lt;50%,C113*30%,0))))),0)</f>
        <v>3418</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3" zoomScale="80" zoomScaleNormal="95" zoomScaleSheetLayoutView="80" workbookViewId="0">
      <selection activeCell="B2" sqref="B2"/>
    </sheetView>
  </sheetViews>
  <sheetFormatPr defaultColWidth="9" defaultRowHeight="14.25"/>
  <cols>
    <col min="1" max="2" width="15.62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34509</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1483</v>
      </c>
      <c r="B3" s="466">
        <f>ROUND(B2*10000/'数据-汇总表'!E3,0)</f>
        <v>2469</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6419</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428</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422" t="s">
        <v>505</v>
      </c>
      <c r="D6" s="3423"/>
      <c r="E6" s="3422" t="s">
        <v>506</v>
      </c>
      <c r="F6" s="3423"/>
      <c r="G6" s="3422" t="s">
        <v>507</v>
      </c>
      <c r="H6" s="3423"/>
      <c r="I6" s="3422" t="s">
        <v>508</v>
      </c>
      <c r="J6" s="3423"/>
      <c r="K6" s="470" t="s">
        <v>509</v>
      </c>
      <c r="L6" s="1853"/>
      <c r="M6" s="1852"/>
      <c r="N6" s="1852"/>
      <c r="O6" s="1854"/>
      <c r="P6" s="3424" t="s">
        <v>510</v>
      </c>
      <c r="Q6" s="3425"/>
      <c r="R6" s="3408" t="s">
        <v>506</v>
      </c>
      <c r="S6" s="3409"/>
      <c r="T6" s="3408" t="s">
        <v>507</v>
      </c>
      <c r="U6" s="3409"/>
      <c r="V6" s="3430" t="s">
        <v>508</v>
      </c>
      <c r="W6" s="3430"/>
      <c r="X6" s="1377"/>
      <c r="Y6" s="3408" t="s">
        <v>510</v>
      </c>
      <c r="Z6" s="3409"/>
      <c r="AA6" s="3403" t="s">
        <v>506</v>
      </c>
      <c r="AB6" s="3404" t="s">
        <v>507</v>
      </c>
      <c r="AC6" s="3403" t="s">
        <v>508</v>
      </c>
    </row>
    <row r="7" spans="1:29" ht="56.25" customHeight="1">
      <c r="A7" s="471"/>
      <c r="B7" s="472"/>
      <c r="C7" s="3433" t="s">
        <v>2627</v>
      </c>
      <c r="D7" s="3434"/>
      <c r="E7" s="3433" t="str">
        <f>土地案例!A5</f>
        <v>自贸区郑开大道以南、十四大街东侧ZMQ08A-06</v>
      </c>
      <c r="F7" s="3434"/>
      <c r="G7" s="3433" t="str">
        <f>土地案例!A31</f>
        <v>开封新区十大街东侧、金耀路北侧XQ0702-05</v>
      </c>
      <c r="H7" s="3434"/>
      <c r="I7" s="3433" t="str">
        <f>土地案例!A33</f>
        <v>开封新区十大街西侧、金耀路以南XQ0703-03地块</v>
      </c>
      <c r="J7" s="3434"/>
      <c r="K7" s="470"/>
      <c r="L7" s="1853"/>
      <c r="M7" s="1852"/>
      <c r="N7" s="1852"/>
      <c r="O7" s="1854"/>
      <c r="P7" s="3426"/>
      <c r="Q7" s="3427"/>
      <c r="R7" s="3410"/>
      <c r="S7" s="3411"/>
      <c r="T7" s="3410"/>
      <c r="U7" s="3411"/>
      <c r="V7" s="3430"/>
      <c r="W7" s="3430"/>
      <c r="X7" s="1377"/>
      <c r="Y7" s="3410"/>
      <c r="Z7" s="3411"/>
      <c r="AA7" s="3404"/>
      <c r="AB7" s="3404"/>
      <c r="AC7" s="3404"/>
    </row>
    <row r="8" spans="1:29" ht="21" thickBot="1">
      <c r="A8" s="471"/>
      <c r="B8" s="472"/>
      <c r="C8" s="3435" t="s">
        <v>2631</v>
      </c>
      <c r="D8" s="3436"/>
      <c r="E8" s="3435" t="s">
        <v>2631</v>
      </c>
      <c r="F8" s="3436"/>
      <c r="G8" s="3431" t="s">
        <v>2631</v>
      </c>
      <c r="H8" s="3432"/>
      <c r="I8" s="3431" t="s">
        <v>2631</v>
      </c>
      <c r="J8" s="3432"/>
      <c r="K8" s="470" t="s">
        <v>511</v>
      </c>
      <c r="L8" s="1853"/>
      <c r="M8" s="1852"/>
      <c r="N8" s="1852"/>
      <c r="O8" s="1854"/>
      <c r="P8" s="3428"/>
      <c r="Q8" s="3429"/>
      <c r="R8" s="3410"/>
      <c r="S8" s="3411"/>
      <c r="T8" s="3412"/>
      <c r="U8" s="3413"/>
      <c r="V8" s="3430"/>
      <c r="W8" s="3430"/>
      <c r="X8" s="1377"/>
      <c r="Y8" s="3412"/>
      <c r="Z8" s="3413"/>
      <c r="AA8" s="3405"/>
      <c r="AB8" s="3405"/>
      <c r="AC8" s="3405"/>
    </row>
    <row r="9" spans="1:29" s="1106" customFormat="1" ht="21" thickBot="1">
      <c r="A9" s="2362"/>
      <c r="B9" s="2369" t="s">
        <v>512</v>
      </c>
      <c r="C9" s="2361">
        <f>'数据-取费表'!B2</f>
        <v>44895</v>
      </c>
      <c r="D9" s="476">
        <v>100</v>
      </c>
      <c r="E9" s="477">
        <f>土地案例!O5</f>
        <v>44886.000497685185</v>
      </c>
      <c r="F9" s="478">
        <f>SUMIF(71:71,YEAR(E9)&amp;"-"&amp;INT((MONTH(E9)+2)/3),72:72)</f>
        <v>100</v>
      </c>
      <c r="G9" s="479">
        <f>土地案例!O31</f>
        <v>44509.000497685185</v>
      </c>
      <c r="H9" s="476">
        <f>SUMIF(71:71,YEAR(G9)&amp;"-"&amp;INT((MONTH(G9)+2)/3),72:72)</f>
        <v>98</v>
      </c>
      <c r="I9" s="479">
        <f>土地案例!O33</f>
        <v>44375.000497685185</v>
      </c>
      <c r="J9" s="476">
        <f>SUMIF(71:71,YEAR(I9)&amp;"-"&amp;INT((MONTH(I9)+2)/3),72:72)</f>
        <v>97</v>
      </c>
      <c r="K9" s="92"/>
      <c r="L9" s="1855"/>
      <c r="M9" s="1852"/>
      <c r="N9" s="1852"/>
      <c r="O9" s="1752"/>
      <c r="P9" s="3406" t="s">
        <v>513</v>
      </c>
      <c r="Q9" s="3415"/>
      <c r="R9" s="1378" t="s">
        <v>8</v>
      </c>
      <c r="S9" s="1379">
        <f t="shared" ref="S9:S17" si="0">F9</f>
        <v>100</v>
      </c>
      <c r="T9" s="1378" t="s">
        <v>8</v>
      </c>
      <c r="U9" s="1379">
        <f t="shared" ref="U9:U17" si="1">H9</f>
        <v>98</v>
      </c>
      <c r="V9" s="1378" t="s">
        <v>8</v>
      </c>
      <c r="W9" s="1379">
        <f t="shared" ref="W9:W17" si="2">J9</f>
        <v>97</v>
      </c>
      <c r="X9" s="1380"/>
      <c r="Y9" s="3406" t="s">
        <v>513</v>
      </c>
      <c r="Z9" s="3407"/>
      <c r="AA9" s="1042">
        <f>D9/F9</f>
        <v>1</v>
      </c>
      <c r="AB9" s="1042">
        <f>D9/H9</f>
        <v>1.0204081632653061</v>
      </c>
      <c r="AC9" s="1042">
        <f>D9/J9</f>
        <v>1.0309278350515463</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06" t="s">
        <v>516</v>
      </c>
      <c r="Q10" s="3407"/>
      <c r="R10" s="1378" t="s">
        <v>8</v>
      </c>
      <c r="S10" s="1379">
        <f t="shared" si="0"/>
        <v>100</v>
      </c>
      <c r="T10" s="1378" t="s">
        <v>8</v>
      </c>
      <c r="U10" s="1379">
        <f t="shared" si="1"/>
        <v>100</v>
      </c>
      <c r="V10" s="1378" t="s">
        <v>8</v>
      </c>
      <c r="W10" s="1379">
        <f t="shared" si="2"/>
        <v>100</v>
      </c>
      <c r="X10" s="1380"/>
      <c r="Y10" s="3406" t="s">
        <v>516</v>
      </c>
      <c r="Z10" s="3407"/>
      <c r="AA10" s="1042">
        <f t="shared" ref="AA10:AA47" si="3">D10/F10</f>
        <v>1</v>
      </c>
      <c r="AB10" s="1042">
        <f t="shared" ref="AB10:AB47" si="4">D10/H10</f>
        <v>1</v>
      </c>
      <c r="AC10" s="1042">
        <f t="shared" ref="AC10:AC47" si="5">D10/J10</f>
        <v>1</v>
      </c>
    </row>
    <row r="11" spans="1:29" s="1106" customFormat="1" ht="20.25">
      <c r="A11" s="2364"/>
      <c r="B11" s="2371" t="s">
        <v>2471</v>
      </c>
      <c r="C11" s="2358" t="s">
        <v>901</v>
      </c>
      <c r="D11" s="159">
        <v>100</v>
      </c>
      <c r="E11" s="2358" t="s">
        <v>901</v>
      </c>
      <c r="F11" s="159">
        <f>SUMIF(76:76,E11,77:77)-SUMIF(76:76,C11,77:77)+100</f>
        <v>100</v>
      </c>
      <c r="G11" s="2358" t="s">
        <v>901</v>
      </c>
      <c r="H11" s="159">
        <f>SUMIF(76:76,G11,77:77)-SUMIF(76:76,C11,77:77)+100</f>
        <v>100</v>
      </c>
      <c r="I11" s="2358" t="s">
        <v>901</v>
      </c>
      <c r="J11" s="159">
        <f>SUMIF(76:76,I11,77:77)-SUMIF(76:76,C11,77:77)+100</f>
        <v>100</v>
      </c>
      <c r="K11" s="92"/>
      <c r="L11" s="1855"/>
      <c r="M11" s="1852"/>
      <c r="N11" s="1852"/>
      <c r="O11" s="1856"/>
      <c r="P11" s="3414" t="s">
        <v>518</v>
      </c>
      <c r="Q11" s="824" t="str">
        <f t="shared" ref="Q11:Q17" si="6">B11</f>
        <v>用途</v>
      </c>
      <c r="R11" s="1378" t="s">
        <v>8</v>
      </c>
      <c r="S11" s="1379">
        <f t="shared" si="0"/>
        <v>100</v>
      </c>
      <c r="T11" s="1378" t="s">
        <v>8</v>
      </c>
      <c r="U11" s="1379">
        <f t="shared" si="1"/>
        <v>100</v>
      </c>
      <c r="V11" s="1378" t="s">
        <v>8</v>
      </c>
      <c r="W11" s="1379">
        <f t="shared" si="2"/>
        <v>100</v>
      </c>
      <c r="X11" s="1380"/>
      <c r="Y11" s="3362" t="s">
        <v>519</v>
      </c>
      <c r="Z11" s="1042" t="str">
        <f t="shared" ref="Z11:Z17" si="7">Q11</f>
        <v>用途</v>
      </c>
      <c r="AA11" s="1042">
        <f t="shared" si="3"/>
        <v>1</v>
      </c>
      <c r="AB11" s="1042">
        <f t="shared" si="4"/>
        <v>1</v>
      </c>
      <c r="AC11" s="1042">
        <f t="shared" si="5"/>
        <v>1</v>
      </c>
    </row>
    <row r="12" spans="1:29" s="1179" customFormat="1" ht="27">
      <c r="A12" s="2365"/>
      <c r="B12" s="2370" t="s">
        <v>2472</v>
      </c>
      <c r="C12" s="839"/>
      <c r="D12" s="240">
        <v>100</v>
      </c>
      <c r="E12" s="484"/>
      <c r="F12" s="240">
        <f>ROUND(100/'数据-取费表'!G16,0)</f>
        <v>101</v>
      </c>
      <c r="G12" s="485"/>
      <c r="H12" s="240">
        <f>ROUND(100/'数据-取费表'!G16,0)</f>
        <v>101</v>
      </c>
      <c r="I12" s="485"/>
      <c r="J12" s="240">
        <f>ROUND(100/'数据-取费表'!G16,0)</f>
        <v>101</v>
      </c>
      <c r="K12" s="486"/>
      <c r="L12" s="1857"/>
      <c r="M12" s="1852"/>
      <c r="N12" s="1852"/>
      <c r="O12" s="1858"/>
      <c r="P12" s="3414"/>
      <c r="Q12" s="824" t="str">
        <f t="shared" si="6"/>
        <v>土地使用年限（年）</v>
      </c>
      <c r="R12" s="1378" t="s">
        <v>8</v>
      </c>
      <c r="S12" s="1379">
        <f t="shared" si="0"/>
        <v>101</v>
      </c>
      <c r="T12" s="1378" t="s">
        <v>8</v>
      </c>
      <c r="U12" s="1379">
        <f t="shared" si="1"/>
        <v>101</v>
      </c>
      <c r="V12" s="1378" t="s">
        <v>8</v>
      </c>
      <c r="W12" s="1379">
        <f t="shared" si="2"/>
        <v>101</v>
      </c>
      <c r="X12" s="1380"/>
      <c r="Y12" s="3362"/>
      <c r="Z12" s="1042" t="str">
        <f t="shared" si="7"/>
        <v>土地使用年限（年）</v>
      </c>
      <c r="AA12" s="1042">
        <f t="shared" si="3"/>
        <v>0.99009900990099009</v>
      </c>
      <c r="AB12" s="1042">
        <f t="shared" si="4"/>
        <v>0.99009900990099009</v>
      </c>
      <c r="AC12" s="1042">
        <f t="shared" si="5"/>
        <v>0.99009900990099009</v>
      </c>
    </row>
    <row r="13" spans="1:29" ht="20.25">
      <c r="A13" s="2366"/>
      <c r="B13" s="2370" t="s">
        <v>2473</v>
      </c>
      <c r="C13" s="489">
        <f>'数据-汇总表'!I7</f>
        <v>2.6</v>
      </c>
      <c r="D13" s="240">
        <v>100</v>
      </c>
      <c r="E13" s="488">
        <v>2.5</v>
      </c>
      <c r="F13" s="240">
        <f>LOOKUP(E13,81:81,82:82)-LOOKUP(C13,81:81,82:82)+100</f>
        <v>100</v>
      </c>
      <c r="G13" s="489">
        <v>2.5</v>
      </c>
      <c r="H13" s="240">
        <f>LOOKUP(G13,81:81,82:82)-LOOKUP(C13,81:81,82:82)+100</f>
        <v>100</v>
      </c>
      <c r="I13" s="488">
        <v>2.5</v>
      </c>
      <c r="J13" s="240">
        <f>LOOKUP(I13,81:81,82:82)-LOOKUP(C13,81:81,82:82)+100</f>
        <v>100</v>
      </c>
      <c r="K13" s="490">
        <v>3</v>
      </c>
      <c r="L13" s="1859"/>
      <c r="M13" s="1852"/>
      <c r="N13" s="1852"/>
      <c r="O13" s="1860"/>
      <c r="P13" s="3414"/>
      <c r="Q13" s="824" t="str">
        <f t="shared" si="6"/>
        <v>容积率</v>
      </c>
      <c r="R13" s="1378" t="s">
        <v>8</v>
      </c>
      <c r="S13" s="1379">
        <f t="shared" si="0"/>
        <v>100</v>
      </c>
      <c r="T13" s="1378" t="s">
        <v>8</v>
      </c>
      <c r="U13" s="1379">
        <f t="shared" si="1"/>
        <v>100</v>
      </c>
      <c r="V13" s="1378" t="s">
        <v>8</v>
      </c>
      <c r="W13" s="1379">
        <f t="shared" si="2"/>
        <v>100</v>
      </c>
      <c r="X13" s="1380"/>
      <c r="Y13" s="3362"/>
      <c r="Z13" s="1042" t="str">
        <f t="shared" si="7"/>
        <v>容积率</v>
      </c>
      <c r="AA13" s="1042">
        <f t="shared" si="3"/>
        <v>1</v>
      </c>
      <c r="AB13" s="1042">
        <f t="shared" si="4"/>
        <v>1</v>
      </c>
      <c r="AC13" s="1042">
        <f t="shared" si="5"/>
        <v>1</v>
      </c>
    </row>
    <row r="14" spans="1:29" s="1106" customFormat="1" ht="20.25">
      <c r="A14" s="2363"/>
      <c r="B14" s="2372" t="s">
        <v>2474</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414"/>
      <c r="Q14" s="824" t="str">
        <f t="shared" si="6"/>
        <v>配建</v>
      </c>
      <c r="R14" s="1378" t="s">
        <v>8</v>
      </c>
      <c r="S14" s="1379">
        <f t="shared" si="0"/>
        <v>100</v>
      </c>
      <c r="T14" s="1378" t="s">
        <v>8</v>
      </c>
      <c r="U14" s="1379">
        <f t="shared" si="1"/>
        <v>100</v>
      </c>
      <c r="V14" s="1378" t="s">
        <v>8</v>
      </c>
      <c r="W14" s="1379">
        <f t="shared" si="2"/>
        <v>100</v>
      </c>
      <c r="X14" s="1380"/>
      <c r="Y14" s="3362"/>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414"/>
      <c r="Q15" s="824">
        <f t="shared" si="6"/>
        <v>111</v>
      </c>
      <c r="R15" s="1378" t="s">
        <v>8</v>
      </c>
      <c r="S15" s="1379">
        <f t="shared" si="0"/>
        <v>100</v>
      </c>
      <c r="T15" s="1378" t="s">
        <v>8</v>
      </c>
      <c r="U15" s="1379">
        <f t="shared" si="1"/>
        <v>100</v>
      </c>
      <c r="V15" s="1378" t="s">
        <v>8</v>
      </c>
      <c r="W15" s="1379">
        <f t="shared" si="2"/>
        <v>100</v>
      </c>
      <c r="X15" s="1380"/>
      <c r="Y15" s="3362"/>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414"/>
      <c r="Q16" s="824">
        <f t="shared" si="6"/>
        <v>111</v>
      </c>
      <c r="R16" s="1378" t="s">
        <v>8</v>
      </c>
      <c r="S16" s="1379">
        <f t="shared" si="0"/>
        <v>100</v>
      </c>
      <c r="T16" s="1378" t="s">
        <v>8</v>
      </c>
      <c r="U16" s="1379">
        <f t="shared" si="1"/>
        <v>100</v>
      </c>
      <c r="V16" s="1378" t="s">
        <v>8</v>
      </c>
      <c r="W16" s="1379">
        <f t="shared" si="2"/>
        <v>100</v>
      </c>
      <c r="X16" s="1380"/>
      <c r="Y16" s="3362"/>
      <c r="Z16" s="1042">
        <f t="shared" si="7"/>
        <v>111</v>
      </c>
      <c r="AA16" s="1042">
        <f>D16/F16</f>
        <v>1</v>
      </c>
      <c r="AB16" s="1042">
        <f>D16/H16</f>
        <v>1</v>
      </c>
      <c r="AC16" s="1042">
        <f>D16/J16</f>
        <v>1</v>
      </c>
    </row>
    <row r="17" spans="1:29" ht="99.75">
      <c r="A17" s="2360" t="s">
        <v>2469</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105</v>
      </c>
      <c r="G17" s="505"/>
      <c r="H17" s="504">
        <f>SUMIF(89:89,G18,90:90)-SUMIF(89:89,C18,90:90)+100</f>
        <v>105</v>
      </c>
      <c r="I17" s="507"/>
      <c r="J17" s="504">
        <f>SUMIF(89:89,I18,90:90)-SUMIF(89:89,C18,90:90)+100</f>
        <v>105</v>
      </c>
      <c r="K17" s="490">
        <v>5</v>
      </c>
      <c r="L17" s="1861"/>
      <c r="M17" s="1852"/>
      <c r="N17" s="1852"/>
      <c r="O17" s="1860"/>
      <c r="P17" s="3416" t="s">
        <v>523</v>
      </c>
      <c r="Q17" s="1381" t="str">
        <f t="shared" si="6"/>
        <v>居住社区成熟度</v>
      </c>
      <c r="R17" s="1382" t="s">
        <v>8</v>
      </c>
      <c r="S17" s="1383">
        <f t="shared" si="0"/>
        <v>105</v>
      </c>
      <c r="T17" s="1382" t="s">
        <v>8</v>
      </c>
      <c r="U17" s="1383">
        <f t="shared" si="1"/>
        <v>105</v>
      </c>
      <c r="V17" s="1382" t="s">
        <v>8</v>
      </c>
      <c r="W17" s="1383">
        <f t="shared" si="2"/>
        <v>105</v>
      </c>
      <c r="X17" s="1377"/>
      <c r="Y17" s="3416" t="s">
        <v>523</v>
      </c>
      <c r="Z17" s="1384" t="str">
        <f t="shared" si="7"/>
        <v>居住社区成熟度</v>
      </c>
      <c r="AA17" s="1384">
        <f t="shared" si="3"/>
        <v>0.95238095238095233</v>
      </c>
      <c r="AB17" s="1384">
        <f t="shared" si="4"/>
        <v>0.95238095238095233</v>
      </c>
      <c r="AC17" s="1384">
        <f t="shared" si="5"/>
        <v>0.95238095238095233</v>
      </c>
    </row>
    <row r="18" spans="1:29" ht="20.25">
      <c r="A18" s="487"/>
      <c r="B18" s="508"/>
      <c r="C18" s="509" t="s">
        <v>3603</v>
      </c>
      <c r="D18" s="512"/>
      <c r="E18" s="513" t="s">
        <v>3604</v>
      </c>
      <c r="F18" s="510"/>
      <c r="G18" s="513" t="s">
        <v>3604</v>
      </c>
      <c r="H18" s="514"/>
      <c r="I18" s="513" t="s">
        <v>3604</v>
      </c>
      <c r="J18" s="510"/>
      <c r="K18" s="486"/>
      <c r="L18" s="1861"/>
      <c r="M18" s="1852"/>
      <c r="N18" s="1852"/>
      <c r="O18" s="1860"/>
      <c r="P18" s="3417"/>
      <c r="Q18" s="1381"/>
      <c r="R18" s="1382"/>
      <c r="S18" s="1383"/>
      <c r="T18" s="1382"/>
      <c r="U18" s="1383"/>
      <c r="V18" s="1382"/>
      <c r="W18" s="1383"/>
      <c r="X18" s="1377"/>
      <c r="Y18" s="3417"/>
      <c r="Z18" s="1384"/>
      <c r="AA18" s="1384">
        <v>1</v>
      </c>
      <c r="AB18" s="1384">
        <v>1</v>
      </c>
      <c r="AC18" s="1384">
        <v>1</v>
      </c>
    </row>
    <row r="19" spans="1:29" ht="71.25">
      <c r="A19" s="487"/>
      <c r="B19" s="515" t="s">
        <v>524</v>
      </c>
      <c r="C19" s="516" t="str">
        <f>估价对象房地状况!C16</f>
        <v>估价对象位于XX商圈，周边商业氛围成熟，人流量大，商业繁华度好</v>
      </c>
      <c r="D19" s="518">
        <v>100</v>
      </c>
      <c r="E19" s="519"/>
      <c r="F19" s="514">
        <f>SUMIF(91:91,E20,92:92)-SUMIF(91:91,C20,92:92)+100</f>
        <v>100</v>
      </c>
      <c r="G19" s="517"/>
      <c r="H19" s="520">
        <f>SUMIF(91:91,G20,92:92)-SUMIF(91:91,C20,92:92)+100</f>
        <v>100</v>
      </c>
      <c r="I19" s="519"/>
      <c r="J19" s="520">
        <f>SUMIF(91:91,I20,92:92)-SUMIF(91:91,C20,92:92)+100</f>
        <v>100</v>
      </c>
      <c r="K19" s="490">
        <v>3</v>
      </c>
      <c r="L19" s="1861"/>
      <c r="M19" s="1852"/>
      <c r="N19" s="1852"/>
      <c r="O19" s="1860"/>
      <c r="P19" s="3417"/>
      <c r="Q19" s="1381" t="str">
        <f>B19</f>
        <v>商业繁华度</v>
      </c>
      <c r="R19" s="1382" t="s">
        <v>8</v>
      </c>
      <c r="S19" s="1383">
        <f>F19</f>
        <v>100</v>
      </c>
      <c r="T19" s="1382" t="s">
        <v>8</v>
      </c>
      <c r="U19" s="1383">
        <f>H19</f>
        <v>100</v>
      </c>
      <c r="V19" s="1382" t="s">
        <v>8</v>
      </c>
      <c r="W19" s="1383">
        <f>J19</f>
        <v>100</v>
      </c>
      <c r="X19" s="1377"/>
      <c r="Y19" s="3417"/>
      <c r="Z19" s="1384" t="str">
        <f>Q19</f>
        <v>商业繁华度</v>
      </c>
      <c r="AA19" s="1384">
        <f t="shared" si="3"/>
        <v>1</v>
      </c>
      <c r="AB19" s="1384">
        <f t="shared" si="4"/>
        <v>1</v>
      </c>
      <c r="AC19" s="1384">
        <f t="shared" si="5"/>
        <v>1</v>
      </c>
    </row>
    <row r="20" spans="1:29" ht="20.25">
      <c r="A20" s="487"/>
      <c r="B20" s="521"/>
      <c r="C20" s="509" t="s">
        <v>3603</v>
      </c>
      <c r="D20" s="518"/>
      <c r="E20" s="509" t="s">
        <v>3603</v>
      </c>
      <c r="F20" s="514"/>
      <c r="G20" s="509" t="s">
        <v>3603</v>
      </c>
      <c r="H20" s="510"/>
      <c r="I20" s="509" t="s">
        <v>3603</v>
      </c>
      <c r="J20" s="510"/>
      <c r="K20" s="486"/>
      <c r="L20" s="1861"/>
      <c r="M20" s="1852"/>
      <c r="N20" s="1852"/>
      <c r="O20" s="1860"/>
      <c r="P20" s="3417"/>
      <c r="Q20" s="1381"/>
      <c r="R20" s="1382"/>
      <c r="S20" s="1383"/>
      <c r="T20" s="1382"/>
      <c r="U20" s="1383"/>
      <c r="V20" s="1382"/>
      <c r="W20" s="1383"/>
      <c r="X20" s="1377"/>
      <c r="Y20" s="3417"/>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17"/>
      <c r="Q21" s="1381" t="str">
        <f>B21</f>
        <v>办公集聚程度</v>
      </c>
      <c r="R21" s="1382" t="s">
        <v>8</v>
      </c>
      <c r="S21" s="1383">
        <f>F21</f>
        <v>100</v>
      </c>
      <c r="T21" s="1382" t="s">
        <v>8</v>
      </c>
      <c r="U21" s="1383">
        <f>H21</f>
        <v>100</v>
      </c>
      <c r="V21" s="1382" t="s">
        <v>8</v>
      </c>
      <c r="W21" s="1383">
        <f>J21</f>
        <v>100</v>
      </c>
      <c r="X21" s="1377"/>
      <c r="Y21" s="3417"/>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17"/>
      <c r="Q22" s="1381"/>
      <c r="R22" s="1382"/>
      <c r="S22" s="1383"/>
      <c r="T22" s="1382"/>
      <c r="U22" s="1383"/>
      <c r="V22" s="1382"/>
      <c r="W22" s="1383"/>
      <c r="X22" s="1377"/>
      <c r="Y22" s="3417"/>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105</v>
      </c>
      <c r="G23" s="517"/>
      <c r="H23" s="514">
        <f>SUMIF(95:95,G24,96:96)-SUMIF(95:95,C24,96:96)+100</f>
        <v>105</v>
      </c>
      <c r="I23" s="519"/>
      <c r="J23" s="514">
        <f>SUMIF(95:95,I24,96:96)-SUMIF(95:95,C24,96:96)+100</f>
        <v>105</v>
      </c>
      <c r="K23" s="490">
        <v>5</v>
      </c>
      <c r="L23" s="1861"/>
      <c r="M23" s="1852"/>
      <c r="N23" s="1852"/>
      <c r="O23" s="1860"/>
      <c r="P23" s="3417"/>
      <c r="Q23" s="1381" t="str">
        <f>B23</f>
        <v>交通便捷度</v>
      </c>
      <c r="R23" s="1382" t="s">
        <v>8</v>
      </c>
      <c r="S23" s="1383">
        <f>F23</f>
        <v>105</v>
      </c>
      <c r="T23" s="1382" t="s">
        <v>8</v>
      </c>
      <c r="U23" s="1383">
        <f>H23</f>
        <v>105</v>
      </c>
      <c r="V23" s="1382" t="s">
        <v>8</v>
      </c>
      <c r="W23" s="1383">
        <f>J23</f>
        <v>105</v>
      </c>
      <c r="X23" s="1377"/>
      <c r="Y23" s="3417"/>
      <c r="Z23" s="1384" t="str">
        <f>Q23</f>
        <v>交通便捷度</v>
      </c>
      <c r="AA23" s="1384">
        <f t="shared" si="3"/>
        <v>0.95238095238095233</v>
      </c>
      <c r="AB23" s="1384">
        <f t="shared" si="4"/>
        <v>0.95238095238095233</v>
      </c>
      <c r="AC23" s="1384">
        <f t="shared" si="5"/>
        <v>0.95238095238095233</v>
      </c>
    </row>
    <row r="24" spans="1:29" ht="20.25">
      <c r="A24" s="487"/>
      <c r="B24" s="533"/>
      <c r="C24" s="509" t="s">
        <v>3603</v>
      </c>
      <c r="D24" s="512"/>
      <c r="E24" s="513" t="s">
        <v>3604</v>
      </c>
      <c r="F24" s="510"/>
      <c r="G24" s="513" t="s">
        <v>3604</v>
      </c>
      <c r="H24" s="510"/>
      <c r="I24" s="513" t="s">
        <v>3604</v>
      </c>
      <c r="J24" s="510"/>
      <c r="K24" s="486"/>
      <c r="L24" s="1861"/>
      <c r="M24" s="1852"/>
      <c r="N24" s="1852"/>
      <c r="O24" s="1860"/>
      <c r="P24" s="3417"/>
      <c r="Q24" s="1381"/>
      <c r="R24" s="1382"/>
      <c r="S24" s="1383"/>
      <c r="T24" s="1382"/>
      <c r="U24" s="1383"/>
      <c r="V24" s="1382"/>
      <c r="W24" s="1383"/>
      <c r="X24" s="1377"/>
      <c r="Y24" s="3417"/>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2</v>
      </c>
      <c r="L25" s="1861"/>
      <c r="M25" s="1852"/>
      <c r="N25" s="1852"/>
      <c r="O25" s="1860"/>
      <c r="P25" s="3417"/>
      <c r="Q25" s="1381" t="str">
        <f t="shared" ref="Q25:Q39" si="8">B25</f>
        <v>区域土地利用方向</v>
      </c>
      <c r="R25" s="1382" t="s">
        <v>8</v>
      </c>
      <c r="S25" s="1383">
        <f>F25</f>
        <v>100</v>
      </c>
      <c r="T25" s="1382" t="s">
        <v>8</v>
      </c>
      <c r="U25" s="1383">
        <f>H25</f>
        <v>100</v>
      </c>
      <c r="V25" s="1382" t="s">
        <v>8</v>
      </c>
      <c r="W25" s="1383">
        <f>J25</f>
        <v>100</v>
      </c>
      <c r="X25" s="1377"/>
      <c r="Y25" s="3417"/>
      <c r="Z25" s="1384" t="str">
        <f>Q25</f>
        <v>区域土地利用方向</v>
      </c>
      <c r="AA25" s="1384">
        <f t="shared" si="3"/>
        <v>1</v>
      </c>
      <c r="AB25" s="1384">
        <f t="shared" si="4"/>
        <v>1</v>
      </c>
      <c r="AC25" s="1384">
        <f t="shared" si="5"/>
        <v>1</v>
      </c>
    </row>
    <row r="26" spans="1:29" ht="20.25">
      <c r="A26" s="471"/>
      <c r="B26" s="925"/>
      <c r="C26" s="509" t="s">
        <v>3601</v>
      </c>
      <c r="D26" s="512"/>
      <c r="E26" s="509" t="s">
        <v>3601</v>
      </c>
      <c r="F26" s="510"/>
      <c r="G26" s="509" t="s">
        <v>3601</v>
      </c>
      <c r="H26" s="510"/>
      <c r="I26" s="509" t="s">
        <v>3601</v>
      </c>
      <c r="J26" s="510"/>
      <c r="K26" s="486"/>
      <c r="L26" s="1861"/>
      <c r="M26" s="1852"/>
      <c r="N26" s="1852"/>
      <c r="O26" s="1860"/>
      <c r="P26" s="3417"/>
      <c r="Q26" s="1381"/>
      <c r="R26" s="1382"/>
      <c r="S26" s="1383"/>
      <c r="T26" s="1382"/>
      <c r="U26" s="1383"/>
      <c r="V26" s="1382"/>
      <c r="W26" s="1383"/>
      <c r="X26" s="1377"/>
      <c r="Y26" s="3417"/>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105</v>
      </c>
      <c r="G27" s="517"/>
      <c r="H27" s="514">
        <f>SUMIF(99:99,G28,100:100)-SUMIF(99:99,C28,100:100)+100</f>
        <v>105</v>
      </c>
      <c r="I27" s="519"/>
      <c r="J27" s="514">
        <f>SUMIF(99:99,I28,100:100)-SUMIF(99:99,C28,100:100)+100</f>
        <v>105</v>
      </c>
      <c r="K27" s="490">
        <v>5</v>
      </c>
      <c r="L27" s="1861"/>
      <c r="M27" s="1852"/>
      <c r="N27" s="1852"/>
      <c r="O27" s="1860"/>
      <c r="P27" s="3417"/>
      <c r="Q27" s="1381" t="str">
        <f t="shared" si="8"/>
        <v>自然及人文环境状况</v>
      </c>
      <c r="R27" s="1382" t="s">
        <v>8</v>
      </c>
      <c r="S27" s="1383">
        <f>F27</f>
        <v>105</v>
      </c>
      <c r="T27" s="1382" t="s">
        <v>8</v>
      </c>
      <c r="U27" s="1383">
        <f>H27</f>
        <v>105</v>
      </c>
      <c r="V27" s="1382" t="s">
        <v>8</v>
      </c>
      <c r="W27" s="1383">
        <f>J27</f>
        <v>105</v>
      </c>
      <c r="X27" s="1377"/>
      <c r="Y27" s="3417"/>
      <c r="Z27" s="1384" t="str">
        <f>Q27</f>
        <v>自然及人文环境状况</v>
      </c>
      <c r="AA27" s="1384">
        <f t="shared" si="3"/>
        <v>0.95238095238095233</v>
      </c>
      <c r="AB27" s="1384">
        <f t="shared" si="4"/>
        <v>0.95238095238095233</v>
      </c>
      <c r="AC27" s="1384">
        <f t="shared" si="5"/>
        <v>0.95238095238095233</v>
      </c>
    </row>
    <row r="28" spans="1:29" ht="20.25">
      <c r="A28" s="471"/>
      <c r="B28" s="521"/>
      <c r="C28" s="509" t="s">
        <v>3603</v>
      </c>
      <c r="D28" s="512"/>
      <c r="E28" s="509" t="s">
        <v>3604</v>
      </c>
      <c r="F28" s="510"/>
      <c r="G28" s="509" t="s">
        <v>3604</v>
      </c>
      <c r="H28" s="510"/>
      <c r="I28" s="509" t="s">
        <v>3604</v>
      </c>
      <c r="J28" s="510"/>
      <c r="K28" s="486"/>
      <c r="L28" s="1861"/>
      <c r="M28" s="1852"/>
      <c r="N28" s="1852"/>
      <c r="O28" s="1860"/>
      <c r="P28" s="3417"/>
      <c r="Q28" s="1381"/>
      <c r="R28" s="1382"/>
      <c r="S28" s="1383"/>
      <c r="T28" s="1382"/>
      <c r="U28" s="1383"/>
      <c r="V28" s="1382"/>
      <c r="W28" s="1383"/>
      <c r="X28" s="1377"/>
      <c r="Y28" s="3417"/>
      <c r="Z28" s="1384"/>
      <c r="AA28" s="1384">
        <v>1</v>
      </c>
      <c r="AB28" s="1384">
        <v>1</v>
      </c>
      <c r="AC28" s="1384">
        <v>1</v>
      </c>
    </row>
    <row r="29" spans="1:29" s="1106" customFormat="1" ht="42.75">
      <c r="A29" s="532"/>
      <c r="B29" s="2203" t="s">
        <v>2265</v>
      </c>
      <c r="C29" s="528" t="str">
        <f>估价对象房地状况!C21</f>
        <v>估价对象所在区域公共配套设施齐备情况</v>
      </c>
      <c r="D29" s="518">
        <v>100</v>
      </c>
      <c r="E29" s="519"/>
      <c r="F29" s="514">
        <f>SUMIF(101:101,E30,102:102)-SUMIF(101:101,C30,102:102)+100</f>
        <v>105</v>
      </c>
      <c r="G29" s="517"/>
      <c r="H29" s="514">
        <f>SUMIF(101:101,G30,102:102)-SUMIF(101:101,C30,102:102)+100</f>
        <v>105</v>
      </c>
      <c r="I29" s="519"/>
      <c r="J29" s="514">
        <f>SUMIF(101:101,I30,102:102)-SUMIF(101:101,C30,102:102)+100</f>
        <v>105</v>
      </c>
      <c r="K29" s="490">
        <v>5</v>
      </c>
      <c r="L29" s="1855"/>
      <c r="M29" s="1852"/>
      <c r="N29" s="1852"/>
      <c r="O29" s="1856"/>
      <c r="P29" s="3417"/>
      <c r="Q29" s="824" t="str">
        <f t="shared" si="8"/>
        <v>公共配套设施</v>
      </c>
      <c r="R29" s="1378" t="s">
        <v>8</v>
      </c>
      <c r="S29" s="1379">
        <f>F29</f>
        <v>105</v>
      </c>
      <c r="T29" s="1378" t="s">
        <v>8</v>
      </c>
      <c r="U29" s="1379">
        <f>H29</f>
        <v>105</v>
      </c>
      <c r="V29" s="1378" t="s">
        <v>8</v>
      </c>
      <c r="W29" s="1379">
        <f>J29</f>
        <v>105</v>
      </c>
      <c r="X29" s="1380"/>
      <c r="Y29" s="3417"/>
      <c r="Z29" s="1042" t="str">
        <f>Q29</f>
        <v>公共配套设施</v>
      </c>
      <c r="AA29" s="1384">
        <f>D29/F29</f>
        <v>0.95238095238095233</v>
      </c>
      <c r="AB29" s="1384">
        <f>D29/H29</f>
        <v>0.95238095238095233</v>
      </c>
      <c r="AC29" s="1384">
        <f>D29/J29</f>
        <v>0.95238095238095233</v>
      </c>
    </row>
    <row r="30" spans="1:29" s="1106" customFormat="1" ht="20.25">
      <c r="A30" s="532"/>
      <c r="B30" s="521"/>
      <c r="C30" s="509" t="s">
        <v>3603</v>
      </c>
      <c r="D30" s="512"/>
      <c r="E30" s="531" t="s">
        <v>3604</v>
      </c>
      <c r="F30" s="510"/>
      <c r="G30" s="509" t="s">
        <v>3604</v>
      </c>
      <c r="H30" s="510"/>
      <c r="I30" s="531" t="s">
        <v>3604</v>
      </c>
      <c r="J30" s="510"/>
      <c r="K30" s="486"/>
      <c r="L30" s="1855"/>
      <c r="M30" s="1852"/>
      <c r="N30" s="1852"/>
      <c r="O30" s="1856"/>
      <c r="P30" s="3417"/>
      <c r="Q30" s="824"/>
      <c r="R30" s="1378"/>
      <c r="S30" s="1379"/>
      <c r="T30" s="1378"/>
      <c r="U30" s="1379"/>
      <c r="V30" s="1378"/>
      <c r="W30" s="1379"/>
      <c r="X30" s="1380"/>
      <c r="Y30" s="3417"/>
      <c r="Z30" s="1042"/>
      <c r="AA30" s="1384">
        <v>1</v>
      </c>
      <c r="AB30" s="1384">
        <v>1</v>
      </c>
      <c r="AC30" s="1384">
        <v>1</v>
      </c>
    </row>
    <row r="31" spans="1:29" s="1106" customFormat="1" ht="28.5">
      <c r="A31" s="532"/>
      <c r="B31" s="2203" t="s">
        <v>2266</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17"/>
      <c r="Q31" s="824" t="str">
        <f t="shared" ref="Q31" si="9">B31</f>
        <v>基础设施水平</v>
      </c>
      <c r="R31" s="1378" t="s">
        <v>8</v>
      </c>
      <c r="S31" s="1379">
        <f>F31</f>
        <v>100</v>
      </c>
      <c r="T31" s="1378" t="s">
        <v>8</v>
      </c>
      <c r="U31" s="1379">
        <f>H31</f>
        <v>100</v>
      </c>
      <c r="V31" s="1378" t="s">
        <v>8</v>
      </c>
      <c r="W31" s="1379">
        <f>J31</f>
        <v>100</v>
      </c>
      <c r="X31" s="1380"/>
      <c r="Y31" s="3417"/>
      <c r="Z31" s="1042" t="str">
        <f>Q31</f>
        <v>基础设施水平</v>
      </c>
      <c r="AA31" s="1384">
        <f>D31/F31</f>
        <v>1</v>
      </c>
      <c r="AB31" s="1384">
        <f>D31/H31</f>
        <v>1</v>
      </c>
      <c r="AC31" s="1384">
        <f>D31/J31</f>
        <v>1</v>
      </c>
    </row>
    <row r="32" spans="1:29" s="1106" customFormat="1" ht="21" thickBot="1">
      <c r="A32" s="532"/>
      <c r="B32" s="521"/>
      <c r="C32" s="534" t="s">
        <v>3600</v>
      </c>
      <c r="D32" s="512"/>
      <c r="E32" s="534" t="s">
        <v>3600</v>
      </c>
      <c r="F32" s="510"/>
      <c r="G32" s="534" t="s">
        <v>3600</v>
      </c>
      <c r="H32" s="510"/>
      <c r="I32" s="534" t="s">
        <v>3600</v>
      </c>
      <c r="J32" s="510"/>
      <c r="K32" s="486"/>
      <c r="L32" s="1855"/>
      <c r="M32" s="1852"/>
      <c r="N32" s="1852"/>
      <c r="O32" s="1856"/>
      <c r="P32" s="3417"/>
      <c r="Q32" s="824"/>
      <c r="R32" s="1378"/>
      <c r="S32" s="1379"/>
      <c r="T32" s="1378"/>
      <c r="U32" s="1379"/>
      <c r="V32" s="1378"/>
      <c r="W32" s="1379"/>
      <c r="X32" s="1380"/>
      <c r="Y32" s="3417"/>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17"/>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17"/>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17"/>
      <c r="Q34" s="1381" t="str">
        <f t="shared" si="8"/>
        <v>毗邻道路的类型与等级</v>
      </c>
      <c r="R34" s="1382" t="s">
        <v>8</v>
      </c>
      <c r="S34" s="1383">
        <f t="shared" si="10"/>
        <v>100</v>
      </c>
      <c r="T34" s="1382" t="s">
        <v>8</v>
      </c>
      <c r="U34" s="1383">
        <f t="shared" si="11"/>
        <v>100</v>
      </c>
      <c r="V34" s="1382" t="s">
        <v>8</v>
      </c>
      <c r="W34" s="1383">
        <f t="shared" si="12"/>
        <v>100</v>
      </c>
      <c r="X34" s="1377"/>
      <c r="Y34" s="3417"/>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17"/>
      <c r="Q35" s="1381"/>
      <c r="R35" s="1382"/>
      <c r="S35" s="1383"/>
      <c r="T35" s="1382"/>
      <c r="U35" s="1383"/>
      <c r="V35" s="1382"/>
      <c r="W35" s="1383"/>
      <c r="X35" s="1377"/>
      <c r="Y35" s="3417"/>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17"/>
      <c r="Q36" s="1381" t="str">
        <f t="shared" si="8"/>
        <v>土地级别</v>
      </c>
      <c r="R36" s="1382" t="s">
        <v>8</v>
      </c>
      <c r="S36" s="1383">
        <f t="shared" si="10"/>
        <v>100</v>
      </c>
      <c r="T36" s="1382" t="s">
        <v>8</v>
      </c>
      <c r="U36" s="1383">
        <f t="shared" si="11"/>
        <v>100</v>
      </c>
      <c r="V36" s="1382" t="s">
        <v>8</v>
      </c>
      <c r="W36" s="1383">
        <f t="shared" si="12"/>
        <v>100</v>
      </c>
      <c r="X36" s="1377"/>
      <c r="Y36" s="3417"/>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17"/>
      <c r="Q37" s="1381">
        <f t="shared" si="8"/>
        <v>111</v>
      </c>
      <c r="R37" s="1382" t="s">
        <v>8</v>
      </c>
      <c r="S37" s="1383">
        <f t="shared" si="10"/>
        <v>100</v>
      </c>
      <c r="T37" s="1382" t="s">
        <v>8</v>
      </c>
      <c r="U37" s="1383">
        <f t="shared" si="11"/>
        <v>100</v>
      </c>
      <c r="V37" s="1382" t="s">
        <v>8</v>
      </c>
      <c r="W37" s="1383">
        <f t="shared" si="12"/>
        <v>100</v>
      </c>
      <c r="X37" s="1377"/>
      <c r="Y37" s="3417"/>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18" t="s">
        <v>533</v>
      </c>
      <c r="Q38" s="1381">
        <f t="shared" si="8"/>
        <v>111</v>
      </c>
      <c r="R38" s="1382" t="s">
        <v>8</v>
      </c>
      <c r="S38" s="1383">
        <f t="shared" si="10"/>
        <v>100</v>
      </c>
      <c r="T38" s="1382" t="s">
        <v>8</v>
      </c>
      <c r="U38" s="1383">
        <f t="shared" si="11"/>
        <v>100</v>
      </c>
      <c r="V38" s="1382" t="s">
        <v>8</v>
      </c>
      <c r="W38" s="1383">
        <f t="shared" si="12"/>
        <v>100</v>
      </c>
      <c r="X38" s="1377"/>
      <c r="Y38" s="3419"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19"/>
      <c r="Q39" s="1381">
        <f t="shared" si="8"/>
        <v>111</v>
      </c>
      <c r="R39" s="1385" t="s">
        <v>8</v>
      </c>
      <c r="S39" s="1386">
        <f t="shared" si="10"/>
        <v>100</v>
      </c>
      <c r="T39" s="1385" t="s">
        <v>8</v>
      </c>
      <c r="U39" s="1386">
        <f t="shared" si="11"/>
        <v>100</v>
      </c>
      <c r="V39" s="1385" t="s">
        <v>8</v>
      </c>
      <c r="W39" s="1386">
        <f t="shared" si="12"/>
        <v>100</v>
      </c>
      <c r="X39" s="1387"/>
      <c r="Y39" s="3419"/>
      <c r="Z39" s="1388">
        <f t="shared" si="13"/>
        <v>111</v>
      </c>
      <c r="AA39" s="1384">
        <f t="shared" si="3"/>
        <v>1</v>
      </c>
      <c r="AB39" s="1384">
        <f t="shared" si="4"/>
        <v>1</v>
      </c>
      <c r="AC39" s="1384">
        <f t="shared" si="5"/>
        <v>1</v>
      </c>
    </row>
    <row r="40" spans="1:29" ht="20.25">
      <c r="A40" s="2357" t="s">
        <v>2470</v>
      </c>
      <c r="B40" s="549" t="s">
        <v>535</v>
      </c>
      <c r="C40" s="550">
        <f>'数据-基础表'!A3</f>
        <v>53757.04</v>
      </c>
      <c r="D40" s="551">
        <v>100</v>
      </c>
      <c r="E40" s="550">
        <f>土地案例!G5</f>
        <v>37815.1</v>
      </c>
      <c r="F40" s="551">
        <f>LOOKUP(E40,118:118,119:119)-LOOKUP(C40,118:118,119:119)+100</f>
        <v>99</v>
      </c>
      <c r="G40" s="550">
        <f>土地案例!G31</f>
        <v>76627.8</v>
      </c>
      <c r="H40" s="551">
        <f>LOOKUP(G40,118:118,119:119)-LOOKUP(C40,118:118,119:119)+100</f>
        <v>101</v>
      </c>
      <c r="I40" s="552">
        <f>土地案例!G33</f>
        <v>80524.7</v>
      </c>
      <c r="J40" s="551">
        <f>LOOKUP(I40,118:118,119:119)-LOOKUP(C40,118:118,119:119)+100</f>
        <v>102</v>
      </c>
      <c r="K40" s="536"/>
      <c r="L40" s="1861"/>
      <c r="M40" s="1852"/>
      <c r="N40" s="1852"/>
      <c r="O40" s="1860"/>
      <c r="P40" s="3419"/>
      <c r="Q40" s="1381" t="str">
        <f>B40</f>
        <v>宗地面积</v>
      </c>
      <c r="R40" s="1382" t="s">
        <v>8</v>
      </c>
      <c r="S40" s="1383">
        <f t="shared" si="10"/>
        <v>99</v>
      </c>
      <c r="T40" s="1382" t="s">
        <v>8</v>
      </c>
      <c r="U40" s="1383">
        <f t="shared" si="11"/>
        <v>101</v>
      </c>
      <c r="V40" s="1382" t="s">
        <v>8</v>
      </c>
      <c r="W40" s="1383">
        <f t="shared" si="12"/>
        <v>102</v>
      </c>
      <c r="X40" s="1377"/>
      <c r="Y40" s="3419"/>
      <c r="Z40" s="1384" t="str">
        <f t="shared" si="13"/>
        <v>宗地面积</v>
      </c>
      <c r="AA40" s="1384">
        <f t="shared" si="3"/>
        <v>1.0101010101010102</v>
      </c>
      <c r="AB40" s="1384">
        <f t="shared" si="4"/>
        <v>0.99009900990099009</v>
      </c>
      <c r="AC40" s="1384">
        <f t="shared" si="5"/>
        <v>0.98039215686274506</v>
      </c>
    </row>
    <row r="41" spans="1:29" ht="20.25">
      <c r="A41" s="548"/>
      <c r="B41" s="482" t="s">
        <v>536</v>
      </c>
      <c r="C41" s="553" t="s">
        <v>3595</v>
      </c>
      <c r="D41" s="495">
        <v>100</v>
      </c>
      <c r="E41" s="553" t="s">
        <v>3595</v>
      </c>
      <c r="F41" s="495">
        <f>SUMIF(120:120,E41,121:121)-SUMIF(120:120,C41,121:121)+100</f>
        <v>100</v>
      </c>
      <c r="G41" s="553" t="s">
        <v>3595</v>
      </c>
      <c r="H41" s="495">
        <f>SUMIF(120:120,G41,121:121)-SUMIF(120:120,C41,121:121)+100</f>
        <v>100</v>
      </c>
      <c r="I41" s="553" t="s">
        <v>3595</v>
      </c>
      <c r="J41" s="495">
        <f>SUMIF(120:120,I41,121:121)-SUMIF(120:120,C41,121:121)+100</f>
        <v>100</v>
      </c>
      <c r="K41" s="538">
        <v>1</v>
      </c>
      <c r="L41" s="1861"/>
      <c r="M41" s="1852"/>
      <c r="N41" s="1852"/>
      <c r="O41" s="1860"/>
      <c r="P41" s="3419"/>
      <c r="Q41" s="1381" t="str">
        <f t="shared" ref="Q41:Q47" si="14">B41</f>
        <v>宗地形状</v>
      </c>
      <c r="R41" s="1382" t="s">
        <v>8</v>
      </c>
      <c r="S41" s="1383">
        <f t="shared" si="10"/>
        <v>100</v>
      </c>
      <c r="T41" s="1382" t="s">
        <v>8</v>
      </c>
      <c r="U41" s="1383">
        <f t="shared" si="11"/>
        <v>100</v>
      </c>
      <c r="V41" s="1382" t="s">
        <v>8</v>
      </c>
      <c r="W41" s="1383">
        <f t="shared" si="12"/>
        <v>100</v>
      </c>
      <c r="X41" s="1377"/>
      <c r="Y41" s="3419"/>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19"/>
      <c r="Q42" s="1381" t="str">
        <f t="shared" si="14"/>
        <v>临街宽度及深度</v>
      </c>
      <c r="R42" s="1382" t="s">
        <v>8</v>
      </c>
      <c r="S42" s="1383">
        <f t="shared" si="10"/>
        <v>100</v>
      </c>
      <c r="T42" s="1382" t="s">
        <v>8</v>
      </c>
      <c r="U42" s="1383">
        <f t="shared" si="11"/>
        <v>100</v>
      </c>
      <c r="V42" s="1382" t="s">
        <v>8</v>
      </c>
      <c r="W42" s="1383">
        <f t="shared" si="12"/>
        <v>100</v>
      </c>
      <c r="X42" s="1377"/>
      <c r="Y42" s="3419"/>
      <c r="Z42" s="1384" t="str">
        <f t="shared" si="13"/>
        <v>临街宽度及深度</v>
      </c>
      <c r="AA42" s="1384">
        <f t="shared" si="3"/>
        <v>1</v>
      </c>
      <c r="AB42" s="1384">
        <f t="shared" si="4"/>
        <v>1</v>
      </c>
      <c r="AC42" s="1384">
        <f t="shared" si="5"/>
        <v>1</v>
      </c>
    </row>
    <row r="43" spans="1:29" s="1106" customFormat="1" ht="20.25">
      <c r="A43" s="554"/>
      <c r="B43" s="1666" t="s">
        <v>2210</v>
      </c>
      <c r="C43" s="555" t="s">
        <v>3600</v>
      </c>
      <c r="D43" s="240">
        <v>100</v>
      </c>
      <c r="E43" s="555" t="s">
        <v>3600</v>
      </c>
      <c r="F43" s="495">
        <f>SUMIF(124:124,E43,125:125)-SUMIF(124:124,C43,125:125)+100</f>
        <v>100</v>
      </c>
      <c r="G43" s="555" t="s">
        <v>3600</v>
      </c>
      <c r="H43" s="495">
        <f>SUMIF(124:124,G43,125:125)-SUMIF(124:124,C43,125:125)+100</f>
        <v>100</v>
      </c>
      <c r="I43" s="555" t="s">
        <v>3600</v>
      </c>
      <c r="J43" s="495">
        <f>SUMIF(124:124,I43,125:125)-SUMIF(124:124,C43,125:125)+100</f>
        <v>100</v>
      </c>
      <c r="K43" s="538">
        <v>1</v>
      </c>
      <c r="L43" s="1855"/>
      <c r="M43" s="1852"/>
      <c r="N43" s="1852"/>
      <c r="O43" s="1856"/>
      <c r="P43" s="3419"/>
      <c r="Q43" s="1381" t="str">
        <f t="shared" si="14"/>
        <v>宗地开发程度</v>
      </c>
      <c r="R43" s="1378" t="s">
        <v>8</v>
      </c>
      <c r="S43" s="1379">
        <f t="shared" si="10"/>
        <v>100</v>
      </c>
      <c r="T43" s="1378" t="s">
        <v>8</v>
      </c>
      <c r="U43" s="1379">
        <f t="shared" si="11"/>
        <v>100</v>
      </c>
      <c r="V43" s="1378" t="s">
        <v>8</v>
      </c>
      <c r="W43" s="1379">
        <f t="shared" si="12"/>
        <v>100</v>
      </c>
      <c r="X43" s="1380"/>
      <c r="Y43" s="3419"/>
      <c r="Z43" s="1042" t="str">
        <f t="shared" si="13"/>
        <v>宗地开发程度</v>
      </c>
      <c r="AA43" s="1042">
        <f t="shared" si="3"/>
        <v>1</v>
      </c>
      <c r="AB43" s="1042">
        <f t="shared" si="4"/>
        <v>1</v>
      </c>
      <c r="AC43" s="1042">
        <f t="shared" si="5"/>
        <v>1</v>
      </c>
    </row>
    <row r="44" spans="1:29" ht="20.25">
      <c r="A44" s="548"/>
      <c r="B44" s="482" t="s">
        <v>538</v>
      </c>
      <c r="C44" s="553" t="s">
        <v>3601</v>
      </c>
      <c r="D44" s="495">
        <v>100</v>
      </c>
      <c r="E44" s="553" t="s">
        <v>3601</v>
      </c>
      <c r="F44" s="495">
        <f>SUMIF(126:126,E44,127:127)-SUMIF(126:126,C44,127:127)+100</f>
        <v>100</v>
      </c>
      <c r="G44" s="553" t="s">
        <v>3601</v>
      </c>
      <c r="H44" s="495">
        <f>SUMIF(126:126,G44,127:127)-SUMIF(126:126,C44,127:127)+100</f>
        <v>100</v>
      </c>
      <c r="I44" s="553" t="s">
        <v>3601</v>
      </c>
      <c r="J44" s="495">
        <f>SUMIF(126:126,I44,127:127)-SUMIF(126:126,C44,127:127)+100</f>
        <v>100</v>
      </c>
      <c r="K44" s="538">
        <v>1</v>
      </c>
      <c r="L44" s="1861"/>
      <c r="M44" s="1852"/>
      <c r="N44" s="1852"/>
      <c r="O44" s="1860"/>
      <c r="P44" s="3419" t="s">
        <v>533</v>
      </c>
      <c r="Q44" s="1381" t="str">
        <f t="shared" si="14"/>
        <v>工程地质条件</v>
      </c>
      <c r="R44" s="1382" t="s">
        <v>8</v>
      </c>
      <c r="S44" s="1383">
        <f t="shared" si="10"/>
        <v>100</v>
      </c>
      <c r="T44" s="1382" t="s">
        <v>8</v>
      </c>
      <c r="U44" s="1383">
        <f t="shared" si="11"/>
        <v>100</v>
      </c>
      <c r="V44" s="1382" t="s">
        <v>8</v>
      </c>
      <c r="W44" s="1383">
        <f t="shared" si="12"/>
        <v>100</v>
      </c>
      <c r="X44" s="1377"/>
      <c r="Y44" s="3419"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19"/>
      <c r="Q45" s="1381">
        <f t="shared" si="14"/>
        <v>111</v>
      </c>
      <c r="R45" s="1382" t="s">
        <v>8</v>
      </c>
      <c r="S45" s="1383">
        <f t="shared" si="10"/>
        <v>100</v>
      </c>
      <c r="T45" s="1382" t="s">
        <v>8</v>
      </c>
      <c r="U45" s="1383">
        <f t="shared" si="11"/>
        <v>100</v>
      </c>
      <c r="V45" s="1382" t="s">
        <v>8</v>
      </c>
      <c r="W45" s="1383">
        <f t="shared" si="12"/>
        <v>100</v>
      </c>
      <c r="X45" s="1377"/>
      <c r="Y45" s="3419"/>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19"/>
      <c r="Q46" s="1381">
        <f t="shared" si="14"/>
        <v>111</v>
      </c>
      <c r="R46" s="1382" t="s">
        <v>8</v>
      </c>
      <c r="S46" s="1383">
        <f t="shared" si="10"/>
        <v>100</v>
      </c>
      <c r="T46" s="1382" t="s">
        <v>8</v>
      </c>
      <c r="U46" s="1383">
        <f t="shared" si="11"/>
        <v>100</v>
      </c>
      <c r="V46" s="1382" t="s">
        <v>8</v>
      </c>
      <c r="W46" s="1383">
        <f t="shared" si="12"/>
        <v>100</v>
      </c>
      <c r="X46" s="1377"/>
      <c r="Y46" s="3419"/>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19"/>
      <c r="Q47" s="1381">
        <f t="shared" si="14"/>
        <v>111</v>
      </c>
      <c r="R47" s="1385" t="s">
        <v>8</v>
      </c>
      <c r="S47" s="1386">
        <f t="shared" si="10"/>
        <v>100</v>
      </c>
      <c r="T47" s="1385" t="s">
        <v>8</v>
      </c>
      <c r="U47" s="1386">
        <f t="shared" si="11"/>
        <v>100</v>
      </c>
      <c r="V47" s="1385" t="s">
        <v>8</v>
      </c>
      <c r="W47" s="1386">
        <f t="shared" si="12"/>
        <v>100</v>
      </c>
      <c r="X47" s="1387"/>
      <c r="Y47" s="3419"/>
      <c r="Z47" s="1388">
        <f t="shared" si="13"/>
        <v>111</v>
      </c>
      <c r="AA47" s="1384">
        <f t="shared" si="3"/>
        <v>1</v>
      </c>
      <c r="AB47" s="1384">
        <f t="shared" si="4"/>
        <v>1</v>
      </c>
      <c r="AC47" s="1384">
        <f t="shared" si="5"/>
        <v>1</v>
      </c>
    </row>
    <row r="48" spans="1:29" ht="20.25">
      <c r="A48" s="561" t="s">
        <v>539</v>
      </c>
      <c r="B48" s="562" t="s">
        <v>3590</v>
      </c>
      <c r="C48" s="563" t="s">
        <v>1</v>
      </c>
      <c r="D48" s="564"/>
      <c r="E48" s="565">
        <f>土地案例!U5</f>
        <v>3000</v>
      </c>
      <c r="F48" s="566"/>
      <c r="G48" s="567">
        <f>土地案例!U31</f>
        <v>3000</v>
      </c>
      <c r="H48" s="568"/>
      <c r="I48" s="565">
        <f>土地案例!U33</f>
        <v>3000</v>
      </c>
      <c r="J48" s="568"/>
      <c r="K48" s="1181"/>
      <c r="L48" s="1863"/>
      <c r="M48" s="1852"/>
      <c r="N48" s="1852"/>
      <c r="O48" s="1854"/>
      <c r="P48" s="3414" t="str">
        <f>A48</f>
        <v>成交单价</v>
      </c>
      <c r="Q48" s="3414"/>
      <c r="R48" s="3430">
        <f>E48</f>
        <v>3000</v>
      </c>
      <c r="S48" s="3430"/>
      <c r="T48" s="3430">
        <f>G48</f>
        <v>3000</v>
      </c>
      <c r="U48" s="3430"/>
      <c r="V48" s="3430">
        <f>I48</f>
        <v>3000</v>
      </c>
      <c r="W48" s="3430"/>
      <c r="X48" s="806"/>
      <c r="Y48" s="1389"/>
      <c r="Z48" s="806"/>
      <c r="AA48" s="806"/>
      <c r="AB48" s="806"/>
      <c r="AC48" s="806"/>
    </row>
    <row r="49" spans="1:29" ht="21" thickBot="1">
      <c r="A49" s="569" t="s">
        <v>2408</v>
      </c>
      <c r="B49" s="570"/>
      <c r="C49" s="571">
        <f>R50</f>
        <v>2469</v>
      </c>
      <c r="D49" s="2709" t="s">
        <v>2698</v>
      </c>
      <c r="E49" s="571">
        <f>R49</f>
        <v>2468</v>
      </c>
      <c r="F49" s="2710"/>
      <c r="G49" s="572">
        <f>T49</f>
        <v>2469</v>
      </c>
      <c r="H49" s="2710"/>
      <c r="I49" s="571">
        <f>V49</f>
        <v>2470</v>
      </c>
      <c r="J49" s="2710"/>
      <c r="K49" s="2711">
        <f>F49+H49+J49</f>
        <v>0</v>
      </c>
      <c r="L49" s="1863"/>
      <c r="M49" s="1852"/>
      <c r="N49" s="1852"/>
      <c r="O49" s="1854"/>
      <c r="P49" s="3414" t="str">
        <f>A49</f>
        <v>比较价格（元/平方米）</v>
      </c>
      <c r="Q49" s="3414"/>
      <c r="R49" s="3438">
        <f>ROUND(PRODUCT(R48,AA9:AA47),0)</f>
        <v>2468</v>
      </c>
      <c r="S49" s="3438"/>
      <c r="T49" s="3438">
        <f>ROUND(PRODUCT(T48,AB9:AB47),0)</f>
        <v>2469</v>
      </c>
      <c r="U49" s="3438"/>
      <c r="V49" s="3438">
        <f>ROUND(PRODUCT(V48,AC9:AC47),0)</f>
        <v>2470</v>
      </c>
      <c r="W49" s="3438"/>
      <c r="X49" s="806"/>
      <c r="Y49" s="806"/>
      <c r="Z49" s="806"/>
      <c r="AA49" s="806"/>
      <c r="AB49" s="806"/>
      <c r="AC49" s="806"/>
    </row>
    <row r="50" spans="1:29" ht="21" thickBot="1">
      <c r="A50" s="573" t="s">
        <v>2633</v>
      </c>
      <c r="B50" s="574"/>
      <c r="C50" s="575">
        <f>R50</f>
        <v>2469</v>
      </c>
      <c r="D50" s="575"/>
      <c r="E50" s="575"/>
      <c r="F50" s="575"/>
      <c r="G50" s="575"/>
      <c r="H50" s="575"/>
      <c r="I50" s="575"/>
      <c r="J50" s="575"/>
      <c r="K50" s="1182"/>
      <c r="L50" s="1863"/>
      <c r="M50" s="1852"/>
      <c r="N50" s="1852"/>
      <c r="O50" s="1854"/>
      <c r="P50" s="3420" t="str">
        <f>A50</f>
        <v>估价对象XX用房的比较价格（楼面单价，元/平方米）</v>
      </c>
      <c r="Q50" s="3421"/>
      <c r="R50" s="3437">
        <f>ROUND(IF(D49="简单平均",AVERAGE(R49:W49),R49*F49+T49*H49+V49*J49),0)</f>
        <v>2469</v>
      </c>
      <c r="S50" s="3437"/>
      <c r="T50" s="3437"/>
      <c r="U50" s="3437"/>
      <c r="V50" s="3437"/>
      <c r="W50" s="3437"/>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0.21555915721231766</v>
      </c>
      <c r="F53" s="579" t="str">
        <f>IF(OR(E53&gt;=0.3,E53&lt;=-0.3),"超过30%","")</f>
        <v/>
      </c>
      <c r="G53" s="578">
        <f>IF(G48&lt;G49,G49/G48-1,G48/G49-1)</f>
        <v>0.21506682867557725</v>
      </c>
      <c r="H53" s="579" t="str">
        <f>IF(OR(G53&gt;=0.3,G53&lt;=-0.3),"超过30%","")</f>
        <v/>
      </c>
      <c r="I53" s="578">
        <f>IF(I48&lt;I49,I49/I48-1,I48/I49-1)</f>
        <v>0.21457489878542502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4.0518638573749932E-4</v>
      </c>
      <c r="F54" s="579" t="str">
        <f>IF(OR(E54&gt;=0.2,E54&lt;=-0.2),"超过20%","")</f>
        <v/>
      </c>
      <c r="G54" s="578">
        <f>IF(G49&lt;I49,I49/G49-1,G49/I49-1)</f>
        <v>4.0502227622529752E-4</v>
      </c>
      <c r="H54" s="579" t="str">
        <f>IF(OR(G54&gt;=0.2,G54&lt;=-0.2),"超过20%","")</f>
        <v/>
      </c>
      <c r="I54" s="578">
        <f>IF(I49&lt;E49,E49/I49-1,I49/E49-1)</f>
        <v>8.103727714747766E-4</v>
      </c>
      <c r="J54" s="579" t="str">
        <f>IF(OR(I54&gt;=0.2,I54&lt;=-0.2),"超过20%","")</f>
        <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0</v>
      </c>
      <c r="F55" s="579" t="str">
        <f>IF(OR(E55&gt;=0.3,E55&lt;=-0.3),"超过30%","")</f>
        <v/>
      </c>
      <c r="G55" s="578">
        <f>IF(G48&lt;I48,I48/G48-1,G48/I48-1)</f>
        <v>0</v>
      </c>
      <c r="H55" s="579" t="str">
        <f>IF(OR(G55&gt;=0.3,G55&lt;=-0.3),"超过30%","")</f>
        <v/>
      </c>
      <c r="I55" s="578">
        <f>IF(I48&lt;E48,E48/I48-1,I48/E48-1)</f>
        <v>0</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1523</v>
      </c>
      <c r="D57" s="1935" t="s">
        <v>2082</v>
      </c>
      <c r="E57" s="583" t="s">
        <v>545</v>
      </c>
      <c r="F57" s="584" t="s">
        <v>546</v>
      </c>
      <c r="G57" s="3399" t="s">
        <v>2071</v>
      </c>
      <c r="H57" s="3400"/>
      <c r="I57" s="1372" t="s">
        <v>1521</v>
      </c>
      <c r="J57" s="1372" t="str">
        <f>项目基本情况!F41</f>
        <v>河南省</v>
      </c>
      <c r="K57" s="1871" t="s">
        <v>1522</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2469</v>
      </c>
      <c r="C58" s="587">
        <v>1</v>
      </c>
      <c r="D58" s="1936">
        <v>1</v>
      </c>
      <c r="E58" s="587">
        <f>'数据-汇总表'!E8+'数据-汇总表'!E9</f>
        <v>139768.29999999999</v>
      </c>
      <c r="F58" s="588">
        <f t="shared" ref="F58:F66" si="15">ROUND(B58*E58/10000,0)</f>
        <v>34509</v>
      </c>
      <c r="G58" s="3401"/>
      <c r="H58" s="3402"/>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5" t="s">
        <v>2072</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6"/>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6"/>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2117</v>
      </c>
      <c r="B62" s="590">
        <f t="shared" si="17"/>
        <v>0</v>
      </c>
      <c r="C62" s="353">
        <f t="shared" si="16"/>
        <v>0</v>
      </c>
      <c r="D62" s="1937">
        <v>0.25</v>
      </c>
      <c r="E62" s="593">
        <f>'数据-汇总表'!E11</f>
        <v>0</v>
      </c>
      <c r="F62" s="588">
        <f t="shared" si="15"/>
        <v>0</v>
      </c>
      <c r="G62" s="1716" t="s">
        <v>2073</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1476</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0</v>
      </c>
      <c r="F64" s="588">
        <f t="shared" si="15"/>
        <v>0</v>
      </c>
      <c r="G64" s="1717" t="s">
        <v>901</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2072</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2073</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2083</v>
      </c>
      <c r="E67" s="595">
        <f>IF(B48="楼面地价",SUM(E58:E66),'数据-汇总表'!D3)</f>
        <v>139768.29999999999</v>
      </c>
      <c r="F67" s="596">
        <f>IF(B48="楼面地价",SUM(F58:F66),ROUND(C50*E67/10000,0))</f>
        <v>34509</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2022-11-1</v>
      </c>
      <c r="D69" s="2264">
        <f>EDATE(C69,-3)</f>
        <v>44774</v>
      </c>
      <c r="E69" s="2264">
        <f t="shared" ref="E69:N69" si="18">EDATE(D69,-3)</f>
        <v>44682</v>
      </c>
      <c r="F69" s="2264">
        <f t="shared" si="18"/>
        <v>44593</v>
      </c>
      <c r="G69" s="2264">
        <f t="shared" si="18"/>
        <v>44501</v>
      </c>
      <c r="H69" s="2264">
        <f t="shared" si="18"/>
        <v>44409</v>
      </c>
      <c r="I69" s="2264">
        <f t="shared" si="18"/>
        <v>44317</v>
      </c>
      <c r="J69" s="2264">
        <f t="shared" si="18"/>
        <v>44228</v>
      </c>
      <c r="K69" s="2264">
        <f t="shared" si="18"/>
        <v>44136</v>
      </c>
      <c r="L69" s="2264">
        <f t="shared" si="18"/>
        <v>44044</v>
      </c>
      <c r="M69" s="2264">
        <f t="shared" si="18"/>
        <v>43952</v>
      </c>
      <c r="N69" s="2264">
        <f t="shared" si="18"/>
        <v>43862</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2249</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t="s">
        <v>3591</v>
      </c>
      <c r="P71" s="1877" t="s">
        <v>3592</v>
      </c>
      <c r="Q71" s="1877"/>
      <c r="R71" s="1877"/>
      <c r="S71" s="1877"/>
      <c r="T71" s="1877"/>
      <c r="U71" s="1877"/>
      <c r="V71" s="1877"/>
      <c r="W71" s="1877"/>
      <c r="X71" s="1877"/>
      <c r="Y71" s="1877"/>
      <c r="Z71" s="1877"/>
      <c r="AA71" s="1877"/>
      <c r="AB71" s="1877"/>
      <c r="AC71" s="1877"/>
    </row>
    <row r="72" spans="1:29" s="1106" customFormat="1" ht="27" customHeight="1">
      <c r="A72" s="2270" t="s">
        <v>901</v>
      </c>
      <c r="B72" s="453" t="str">
        <f>"北京市平均增长率"&amp;TEXT(SUMIF(基准地价!N21:N25,A72,基准地价!P21:P25),"0.00%")</f>
        <v>北京市平均增长率1.66%</v>
      </c>
      <c r="C72" s="824">
        <v>100</v>
      </c>
      <c r="D72" s="3197">
        <f>C72-$C$73</f>
        <v>99.5</v>
      </c>
      <c r="E72" s="3197">
        <f t="shared" ref="E72:R72" si="20">D72-$C$73</f>
        <v>99</v>
      </c>
      <c r="F72" s="3197">
        <f t="shared" si="20"/>
        <v>98.5</v>
      </c>
      <c r="G72" s="3197">
        <f t="shared" si="20"/>
        <v>98</v>
      </c>
      <c r="H72" s="3197">
        <f t="shared" si="20"/>
        <v>97.5</v>
      </c>
      <c r="I72" s="3197">
        <f t="shared" si="20"/>
        <v>97</v>
      </c>
      <c r="J72" s="3197">
        <f t="shared" si="20"/>
        <v>96.5</v>
      </c>
      <c r="K72" s="3197">
        <f t="shared" si="20"/>
        <v>96</v>
      </c>
      <c r="L72" s="3197">
        <f t="shared" si="20"/>
        <v>95.5</v>
      </c>
      <c r="M72" s="3197">
        <f t="shared" si="20"/>
        <v>95</v>
      </c>
      <c r="N72" s="3197">
        <f t="shared" si="20"/>
        <v>94.5</v>
      </c>
      <c r="O72" s="3197">
        <f t="shared" si="20"/>
        <v>94</v>
      </c>
      <c r="P72" s="3197">
        <f t="shared" si="20"/>
        <v>93.5</v>
      </c>
      <c r="Q72" s="3197">
        <f t="shared" si="20"/>
        <v>93</v>
      </c>
      <c r="R72" s="3197">
        <f t="shared" si="20"/>
        <v>92.5</v>
      </c>
      <c r="S72" s="1752"/>
      <c r="T72" s="1752"/>
      <c r="U72" s="1752"/>
      <c r="V72" s="1752"/>
      <c r="W72" s="1752"/>
      <c r="X72" s="1752"/>
      <c r="Y72" s="1752"/>
      <c r="Z72" s="1752"/>
      <c r="AA72" s="1752"/>
      <c r="AB72" s="1752"/>
      <c r="AC72" s="1752"/>
    </row>
    <row r="73" spans="1:29" s="1106" customFormat="1" ht="15" customHeight="1" thickBot="1">
      <c r="A73" s="2262" t="s">
        <v>2362</v>
      </c>
      <c r="B73" s="2269"/>
      <c r="C73" s="3196">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198" t="s">
        <v>3593</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0（含）-1</v>
      </c>
      <c r="D80" s="629" t="str">
        <f t="shared" ref="D80:L80" si="21">D81&amp;"（含）"&amp;"-"&amp;E81</f>
        <v>1（含）-2</v>
      </c>
      <c r="E80" s="629" t="str">
        <f t="shared" si="21"/>
        <v>2（含）-3</v>
      </c>
      <c r="F80" s="629" t="str">
        <f t="shared" si="21"/>
        <v>3（含）-4</v>
      </c>
      <c r="G80" s="629" t="str">
        <f t="shared" si="21"/>
        <v>4（含）-</v>
      </c>
      <c r="H80" s="629" t="str">
        <f t="shared" si="21"/>
        <v>（含）-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1</v>
      </c>
      <c r="E81" s="496">
        <v>2</v>
      </c>
      <c r="F81" s="496">
        <v>3</v>
      </c>
      <c r="G81" s="496">
        <v>4</v>
      </c>
      <c r="H81" s="496"/>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95</v>
      </c>
      <c r="E90" s="626">
        <f>D90-$K17</f>
        <v>90</v>
      </c>
      <c r="F90" s="626">
        <f>E90-$K17</f>
        <v>85</v>
      </c>
      <c r="G90" s="626">
        <f>F90-$K17</f>
        <v>80</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97</v>
      </c>
      <c r="E92" s="626">
        <f>D92-$K19</f>
        <v>94</v>
      </c>
      <c r="F92" s="626">
        <f>E92-$K19</f>
        <v>91</v>
      </c>
      <c r="G92" s="626">
        <f>F92-$K19</f>
        <v>88</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95</v>
      </c>
      <c r="E96" s="626">
        <f>D96-$K23</f>
        <v>90</v>
      </c>
      <c r="F96" s="626">
        <f>E96-$K23</f>
        <v>85</v>
      </c>
      <c r="G96" s="626">
        <f>F96-$K23</f>
        <v>80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98</v>
      </c>
      <c r="E98" s="626">
        <f>D98-$K25</f>
        <v>96</v>
      </c>
      <c r="F98" s="626">
        <f>E98-$K25</f>
        <v>94</v>
      </c>
      <c r="G98" s="626">
        <f>F98-$K25</f>
        <v>92</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95</v>
      </c>
      <c r="E100" s="626">
        <f>D100-$K27</f>
        <v>90</v>
      </c>
      <c r="F100" s="626">
        <f>E100-$K27</f>
        <v>85</v>
      </c>
      <c r="G100" s="626">
        <f>F100-$K27</f>
        <v>80</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2265</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95</v>
      </c>
      <c r="E102" s="626">
        <f>D102-$K29</f>
        <v>90</v>
      </c>
      <c r="F102" s="626">
        <f>E102-$K29</f>
        <v>85</v>
      </c>
      <c r="G102" s="626">
        <f>F102-$K29</f>
        <v>80</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2267</v>
      </c>
      <c r="C103" s="2210" t="s">
        <v>2268</v>
      </c>
      <c r="D103" s="2210" t="s">
        <v>2269</v>
      </c>
      <c r="E103" s="2210" t="s">
        <v>2270</v>
      </c>
      <c r="F103" s="2210" t="s">
        <v>2271</v>
      </c>
      <c r="G103" s="2210" t="s">
        <v>2272</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0(含)-20000</v>
      </c>
      <c r="D117" s="650" t="str">
        <f t="shared" si="26"/>
        <v>20000(含)-40000</v>
      </c>
      <c r="E117" s="650" t="str">
        <f t="shared" si="26"/>
        <v>40000(含)-60000</v>
      </c>
      <c r="F117" s="650" t="str">
        <f t="shared" si="26"/>
        <v>60000(含)-80000</v>
      </c>
      <c r="G117" s="650" t="str">
        <f t="shared" si="26"/>
        <v>80000(含)-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20000</v>
      </c>
      <c r="E118" s="82">
        <v>40000</v>
      </c>
      <c r="F118" s="82">
        <v>60000</v>
      </c>
      <c r="G118" s="82">
        <v>80000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101</v>
      </c>
      <c r="E119" s="671">
        <v>102</v>
      </c>
      <c r="F119" s="671">
        <v>103</v>
      </c>
      <c r="G119" s="671">
        <v>104</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199" t="s">
        <v>3598</v>
      </c>
      <c r="D120" s="3199" t="s">
        <v>3594</v>
      </c>
      <c r="E120" s="3199" t="s">
        <v>3596</v>
      </c>
      <c r="F120" s="3199" t="s">
        <v>3597</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200" t="s">
        <v>3599</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2211</v>
      </c>
      <c r="C124" s="1214" t="s">
        <v>2268</v>
      </c>
      <c r="D124" s="1214" t="s">
        <v>2269</v>
      </c>
      <c r="E124" s="1214" t="s">
        <v>2270</v>
      </c>
      <c r="F124" s="1214" t="s">
        <v>2271</v>
      </c>
      <c r="G124" s="1214" t="s">
        <v>2272</v>
      </c>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3200" t="s">
        <v>3602</v>
      </c>
      <c r="D126" s="635"/>
      <c r="E126" s="663"/>
      <c r="F126" s="663"/>
      <c r="G126" s="663"/>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625" style="1450" customWidth="1"/>
    <col min="3" max="4" width="11.625" style="1450" customWidth="1"/>
    <col min="5" max="5" width="6.625" style="1450" customWidth="1"/>
    <col min="6" max="16384" width="9" style="1450"/>
  </cols>
  <sheetData>
    <row r="36" spans="1:9">
      <c r="A36" s="1449" t="s">
        <v>1696</v>
      </c>
      <c r="B36" s="1449" t="s">
        <v>1697</v>
      </c>
    </row>
    <row r="37" spans="1:9" ht="28.5" customHeight="1">
      <c r="A37" s="1449"/>
      <c r="B37" s="3223" t="str">
        <f>项目基本情况!B1</f>
        <v>河南省开封市龙亭区二十二大街东侧、规划四路北侧YLXB03-03（2号）地块一宗商服用地、城镇住宅用地出让国有建设用地使用权抵押价格预评估</v>
      </c>
      <c r="C37" s="3223"/>
      <c r="D37" s="3223"/>
      <c r="E37" s="3223"/>
      <c r="F37" s="3223"/>
      <c r="G37" s="3223"/>
      <c r="H37" s="3223"/>
      <c r="I37" s="3223"/>
    </row>
    <row r="38" spans="1:9">
      <c r="A38" s="1451"/>
      <c r="B38" s="1451"/>
    </row>
    <row r="39" spans="1:9">
      <c r="A39" s="1449" t="s">
        <v>1696</v>
      </c>
      <c r="B39" s="1449" t="s">
        <v>1837</v>
      </c>
    </row>
    <row r="40" spans="1:9">
      <c r="A40" s="1449"/>
      <c r="B40" s="1449" t="str">
        <f>项目基本情况!B5</f>
        <v>国民信托有限公司</v>
      </c>
    </row>
    <row r="41" spans="1:9">
      <c r="A41" s="1449"/>
      <c r="B41" s="1449"/>
    </row>
    <row r="42" spans="1:9">
      <c r="A42" s="1449" t="s">
        <v>1696</v>
      </c>
      <c r="B42" s="1449" t="s">
        <v>1838</v>
      </c>
    </row>
    <row r="43" spans="1:9">
      <c r="A43" s="1449"/>
      <c r="B43" s="1449" t="s">
        <v>1698</v>
      </c>
    </row>
    <row r="44" spans="1:9">
      <c r="A44" s="1449"/>
      <c r="B44" s="1449"/>
    </row>
    <row r="45" spans="1:9">
      <c r="A45" s="1449" t="s">
        <v>1696</v>
      </c>
      <c r="B45" s="1449" t="s">
        <v>1836</v>
      </c>
    </row>
    <row r="46" spans="1:9" s="1449" customFormat="1" ht="12.75">
      <c r="B46" s="1449" t="str">
        <f>项目基本情况!K4</f>
        <v>土地估价师、土地估价师</v>
      </c>
    </row>
    <row r="47" spans="1:9">
      <c r="A47" s="1449"/>
      <c r="B47" s="1449"/>
    </row>
    <row r="48" spans="1:9">
      <c r="A48" s="1449" t="s">
        <v>1696</v>
      </c>
      <c r="B48" s="1449" t="s">
        <v>1839</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3"/>
  <sheetViews>
    <sheetView workbookViewId="0">
      <pane ySplit="1" topLeftCell="A2" activePane="bottomLeft" state="frozen"/>
      <selection pane="bottomLeft" activeCell="I5" sqref="I5"/>
    </sheetView>
  </sheetViews>
  <sheetFormatPr defaultColWidth="9" defaultRowHeight="12"/>
  <cols>
    <col min="1" max="1" width="24.5" style="3192" customWidth="1"/>
    <col min="2" max="2" width="20" style="3192" hidden="1" customWidth="1"/>
    <col min="3" max="3" width="6.625" style="3192" customWidth="1"/>
    <col min="4" max="5" width="20" style="3192" hidden="1" customWidth="1"/>
    <col min="6" max="6" width="4" style="3192" customWidth="1"/>
    <col min="7" max="7" width="14.625" style="3192" customWidth="1"/>
    <col min="8" max="8" width="6.625" style="3192" customWidth="1"/>
    <col min="9" max="9" width="14.125" style="3192" customWidth="1"/>
    <col min="10" max="12" width="20" style="3192" hidden="1" customWidth="1"/>
    <col min="13" max="13" width="4.875" style="3192" customWidth="1"/>
    <col min="14" max="14" width="20" style="3192" hidden="1" customWidth="1"/>
    <col min="15" max="15" width="10.875" style="3192" customWidth="1"/>
    <col min="16" max="16" width="20" style="3192" hidden="1" customWidth="1"/>
    <col min="17" max="17" width="10.125" style="3192" customWidth="1"/>
    <col min="18" max="18" width="15.375" style="3192" customWidth="1"/>
    <col min="19" max="19" width="8.125" style="3192" customWidth="1"/>
    <col min="20" max="20" width="11.125" style="3192" customWidth="1"/>
    <col min="21" max="21" width="11.625" style="3192" customWidth="1"/>
    <col min="22" max="22" width="7.875" style="3192" customWidth="1"/>
    <col min="23" max="23" width="12.125" style="3192" customWidth="1"/>
    <col min="24" max="24" width="10.125" style="3192" customWidth="1"/>
    <col min="25" max="25" width="9.125" style="3192" customWidth="1"/>
    <col min="26" max="26" width="20" style="3192" customWidth="1"/>
    <col min="27" max="16384" width="9" style="3192"/>
  </cols>
  <sheetData>
    <row r="1" spans="1:26">
      <c r="A1" s="3192" t="s">
        <v>3160</v>
      </c>
      <c r="B1" s="3192" t="s">
        <v>3161</v>
      </c>
      <c r="C1" s="3192" t="s">
        <v>3162</v>
      </c>
      <c r="D1" s="3192" t="s">
        <v>3163</v>
      </c>
      <c r="E1" s="3192" t="s">
        <v>3164</v>
      </c>
      <c r="F1" s="3192" t="s">
        <v>3165</v>
      </c>
      <c r="G1" s="3192" t="s">
        <v>3166</v>
      </c>
      <c r="H1" s="3192" t="s">
        <v>3167</v>
      </c>
      <c r="I1" s="3192" t="s">
        <v>1823</v>
      </c>
      <c r="J1" s="3192" t="s">
        <v>3168</v>
      </c>
      <c r="K1" s="3192" t="s">
        <v>3169</v>
      </c>
      <c r="L1" s="3192" t="s">
        <v>3170</v>
      </c>
      <c r="M1" s="3192" t="s">
        <v>3171</v>
      </c>
      <c r="N1" s="3192" t="s">
        <v>3172</v>
      </c>
      <c r="O1" s="3192" t="s">
        <v>3173</v>
      </c>
      <c r="P1" s="3192" t="s">
        <v>3174</v>
      </c>
      <c r="Q1" s="3192" t="s">
        <v>3175</v>
      </c>
      <c r="R1" s="3192" t="s">
        <v>3176</v>
      </c>
      <c r="S1" s="3192" t="s">
        <v>3177</v>
      </c>
      <c r="T1" s="3192" t="s">
        <v>3178</v>
      </c>
      <c r="U1" s="3192" t="s">
        <v>3179</v>
      </c>
      <c r="V1" s="3192" t="s">
        <v>3180</v>
      </c>
      <c r="W1" s="3192" t="s">
        <v>3181</v>
      </c>
      <c r="X1" s="3192" t="s">
        <v>3182</v>
      </c>
      <c r="Y1" s="3192" t="s">
        <v>3183</v>
      </c>
      <c r="Z1" s="3192" t="s">
        <v>3776</v>
      </c>
    </row>
    <row r="2" spans="1:26">
      <c r="A2" s="3192" t="s">
        <v>3184</v>
      </c>
      <c r="B2" s="3192" t="s">
        <v>3185</v>
      </c>
      <c r="C2" s="3192" t="s">
        <v>3186</v>
      </c>
      <c r="D2" s="3192" t="s">
        <v>3187</v>
      </c>
      <c r="E2" s="3192" t="s">
        <v>3188</v>
      </c>
      <c r="F2" s="3192" t="s">
        <v>3189</v>
      </c>
      <c r="G2" s="3192">
        <v>79997.899999999994</v>
      </c>
      <c r="H2" s="3192">
        <v>199994.75</v>
      </c>
      <c r="I2" s="3192" t="s">
        <v>3190</v>
      </c>
      <c r="J2" s="3192" t="s">
        <v>3191</v>
      </c>
      <c r="K2" s="3192" t="s">
        <v>3192</v>
      </c>
      <c r="L2" s="3192" t="s">
        <v>3193</v>
      </c>
      <c r="M2" s="3192" t="s">
        <v>3194</v>
      </c>
      <c r="N2" s="3192" t="s">
        <v>3195</v>
      </c>
      <c r="O2" s="3193">
        <v>44883.000497685185</v>
      </c>
      <c r="P2" s="3192" t="s">
        <v>3196</v>
      </c>
      <c r="Q2" s="3192" t="s">
        <v>3197</v>
      </c>
      <c r="R2" s="3192" t="s">
        <v>3198</v>
      </c>
      <c r="S2" s="3192">
        <v>59998.43</v>
      </c>
      <c r="T2" s="3192">
        <v>500</v>
      </c>
      <c r="U2" s="3192">
        <v>3000</v>
      </c>
      <c r="V2" s="3192">
        <v>0</v>
      </c>
      <c r="W2" s="3192" t="s">
        <v>3199</v>
      </c>
      <c r="X2" s="3192" t="s">
        <v>3194</v>
      </c>
      <c r="Y2" s="3192" t="s">
        <v>3194</v>
      </c>
    </row>
    <row r="3" spans="1:26">
      <c r="A3" s="3192" t="s">
        <v>3200</v>
      </c>
      <c r="B3" s="3192" t="s">
        <v>3185</v>
      </c>
      <c r="C3" s="3192" t="s">
        <v>3201</v>
      </c>
      <c r="D3" s="3192" t="s">
        <v>3187</v>
      </c>
      <c r="E3" s="3192" t="s">
        <v>3202</v>
      </c>
      <c r="F3" s="3192" t="s">
        <v>3189</v>
      </c>
      <c r="G3" s="3192">
        <v>48955.199999999997</v>
      </c>
      <c r="H3" s="3192">
        <v>122388</v>
      </c>
      <c r="I3" s="3192" t="s">
        <v>3190</v>
      </c>
      <c r="J3" s="3192" t="s">
        <v>3191</v>
      </c>
      <c r="K3" s="3192" t="s">
        <v>3192</v>
      </c>
      <c r="L3" s="3192" t="s">
        <v>3193</v>
      </c>
      <c r="M3" s="3192" t="s">
        <v>3194</v>
      </c>
      <c r="N3" s="3192" t="s">
        <v>3195</v>
      </c>
      <c r="O3" s="3193">
        <v>44825.000497685185</v>
      </c>
      <c r="P3" s="3192" t="s">
        <v>3196</v>
      </c>
      <c r="Q3" s="3192" t="s">
        <v>3203</v>
      </c>
      <c r="R3" s="3192" t="s">
        <v>3204</v>
      </c>
      <c r="S3" s="3192">
        <v>36716.400000000001</v>
      </c>
      <c r="T3" s="3192">
        <v>500</v>
      </c>
      <c r="U3" s="3192">
        <v>3000</v>
      </c>
      <c r="V3" s="3192">
        <v>0</v>
      </c>
      <c r="W3" s="3192" t="s">
        <v>3199</v>
      </c>
      <c r="X3" s="3192" t="s">
        <v>3194</v>
      </c>
      <c r="Y3" s="3192" t="s">
        <v>3194</v>
      </c>
    </row>
    <row r="4" spans="1:26">
      <c r="A4" s="3192" t="s">
        <v>3205</v>
      </c>
      <c r="B4" s="3192" t="s">
        <v>3185</v>
      </c>
      <c r="C4" s="3192" t="s">
        <v>3206</v>
      </c>
      <c r="D4" s="3192" t="s">
        <v>3187</v>
      </c>
      <c r="E4" s="3192" t="s">
        <v>3207</v>
      </c>
      <c r="F4" s="3192" t="s">
        <v>3189</v>
      </c>
      <c r="G4" s="3192">
        <v>9145.6</v>
      </c>
      <c r="H4" s="3192">
        <v>18291.2</v>
      </c>
      <c r="I4" s="3192" t="s">
        <v>3208</v>
      </c>
      <c r="J4" s="3192" t="s">
        <v>3191</v>
      </c>
      <c r="K4" s="3192" t="s">
        <v>3192</v>
      </c>
      <c r="L4" s="3192" t="s">
        <v>3193</v>
      </c>
      <c r="M4" s="3192" t="s">
        <v>3194</v>
      </c>
      <c r="N4" s="3192" t="s">
        <v>3195</v>
      </c>
      <c r="O4" s="3193">
        <v>44886.000497685185</v>
      </c>
      <c r="P4" s="3192" t="s">
        <v>3196</v>
      </c>
      <c r="Q4" s="3192" t="s">
        <v>3209</v>
      </c>
      <c r="R4" s="3192" t="s">
        <v>3195</v>
      </c>
      <c r="S4" s="3192">
        <v>6859.2</v>
      </c>
      <c r="T4" s="3192">
        <v>500</v>
      </c>
      <c r="U4" s="3192">
        <v>3750</v>
      </c>
      <c r="V4" s="3192">
        <v>0</v>
      </c>
      <c r="W4" s="3192" t="s">
        <v>3199</v>
      </c>
      <c r="X4" s="3192" t="s">
        <v>3194</v>
      </c>
      <c r="Y4" s="3192" t="s">
        <v>3194</v>
      </c>
    </row>
    <row r="5" spans="1:26" s="3201" customFormat="1">
      <c r="A5" s="3201" t="s">
        <v>3210</v>
      </c>
      <c r="B5" s="3201" t="s">
        <v>3185</v>
      </c>
      <c r="C5" s="3201" t="s">
        <v>3211</v>
      </c>
      <c r="D5" s="3201" t="s">
        <v>3187</v>
      </c>
      <c r="E5" s="3201" t="s">
        <v>3212</v>
      </c>
      <c r="F5" s="3201" t="s">
        <v>3189</v>
      </c>
      <c r="G5" s="3201">
        <v>37815.1</v>
      </c>
      <c r="H5" s="3201">
        <v>94537.75</v>
      </c>
      <c r="I5" s="3201" t="s">
        <v>3190</v>
      </c>
      <c r="J5" s="3201" t="s">
        <v>3191</v>
      </c>
      <c r="K5" s="3201" t="s">
        <v>3192</v>
      </c>
      <c r="L5" s="3201" t="s">
        <v>3193</v>
      </c>
      <c r="M5" s="3201" t="s">
        <v>3194</v>
      </c>
      <c r="N5" s="3201" t="s">
        <v>3195</v>
      </c>
      <c r="O5" s="3202">
        <v>44886.000497685185</v>
      </c>
      <c r="P5" s="3201" t="s">
        <v>3196</v>
      </c>
      <c r="Q5" s="3201" t="s">
        <v>3209</v>
      </c>
      <c r="R5" s="3201" t="s">
        <v>3213</v>
      </c>
      <c r="S5" s="3201">
        <v>28361.33</v>
      </c>
      <c r="T5" s="3201">
        <v>500</v>
      </c>
      <c r="U5" s="3201">
        <v>3000</v>
      </c>
      <c r="V5" s="3201">
        <v>0</v>
      </c>
      <c r="W5" s="3201" t="s">
        <v>3199</v>
      </c>
      <c r="X5" s="3201" t="s">
        <v>3194</v>
      </c>
      <c r="Y5" s="3201" t="s">
        <v>3194</v>
      </c>
    </row>
    <row r="6" spans="1:26">
      <c r="A6" s="3192" t="s">
        <v>3214</v>
      </c>
      <c r="B6" s="3192" t="s">
        <v>3185</v>
      </c>
      <c r="C6" s="3192" t="s">
        <v>3215</v>
      </c>
      <c r="D6" s="3192" t="s">
        <v>3187</v>
      </c>
      <c r="E6" s="3192" t="s">
        <v>3216</v>
      </c>
      <c r="F6" s="3192" t="s">
        <v>3189</v>
      </c>
      <c r="G6" s="3192">
        <v>26144.880000000001</v>
      </c>
      <c r="H6" s="3192">
        <v>49675.27</v>
      </c>
      <c r="I6" s="3192" t="s">
        <v>3217</v>
      </c>
      <c r="J6" s="3192" t="s">
        <v>3191</v>
      </c>
      <c r="K6" s="3192" t="s">
        <v>3192</v>
      </c>
      <c r="L6" s="3192" t="s">
        <v>3193</v>
      </c>
      <c r="M6" s="3192" t="s">
        <v>3194</v>
      </c>
      <c r="N6" s="3192" t="s">
        <v>3195</v>
      </c>
      <c r="O6" s="3193">
        <v>44659.000497685185</v>
      </c>
      <c r="P6" s="3192" t="s">
        <v>3196</v>
      </c>
      <c r="Q6" s="3192" t="s">
        <v>3218</v>
      </c>
      <c r="R6" s="3192" t="s">
        <v>3219</v>
      </c>
      <c r="S6" s="3192">
        <v>11765.2</v>
      </c>
      <c r="T6" s="3192">
        <v>300</v>
      </c>
      <c r="U6" s="3192">
        <v>2368</v>
      </c>
      <c r="V6" s="3192">
        <v>0</v>
      </c>
      <c r="W6" s="3192" t="s">
        <v>3199</v>
      </c>
      <c r="X6" s="3192" t="s">
        <v>3194</v>
      </c>
      <c r="Y6" s="3192" t="s">
        <v>3194</v>
      </c>
    </row>
    <row r="7" spans="1:26">
      <c r="A7" s="3192" t="s">
        <v>3220</v>
      </c>
      <c r="B7" s="3192" t="s">
        <v>3185</v>
      </c>
      <c r="C7" s="3192" t="s">
        <v>3221</v>
      </c>
      <c r="D7" s="3192" t="s">
        <v>3187</v>
      </c>
      <c r="E7" s="3192" t="s">
        <v>3222</v>
      </c>
      <c r="F7" s="3192" t="s">
        <v>3189</v>
      </c>
      <c r="G7" s="3192">
        <v>25983.57</v>
      </c>
      <c r="H7" s="3192">
        <v>49368.78</v>
      </c>
      <c r="I7" s="3192" t="s">
        <v>3217</v>
      </c>
      <c r="J7" s="3192" t="s">
        <v>3191</v>
      </c>
      <c r="K7" s="3192" t="s">
        <v>3192</v>
      </c>
      <c r="L7" s="3192" t="s">
        <v>3193</v>
      </c>
      <c r="M7" s="3192" t="s">
        <v>3194</v>
      </c>
      <c r="N7" s="3192" t="s">
        <v>3195</v>
      </c>
      <c r="O7" s="3193">
        <v>44659.000497685185</v>
      </c>
      <c r="P7" s="3192" t="s">
        <v>3196</v>
      </c>
      <c r="Q7" s="3192" t="s">
        <v>3223</v>
      </c>
      <c r="R7" s="3192" t="s">
        <v>3219</v>
      </c>
      <c r="S7" s="3192">
        <v>11692.61</v>
      </c>
      <c r="T7" s="3192">
        <v>300</v>
      </c>
      <c r="U7" s="3192">
        <v>2368</v>
      </c>
      <c r="V7" s="3192">
        <v>0</v>
      </c>
      <c r="W7" s="3192" t="s">
        <v>3199</v>
      </c>
      <c r="X7" s="3192" t="s">
        <v>3194</v>
      </c>
      <c r="Y7" s="3192" t="s">
        <v>3194</v>
      </c>
    </row>
    <row r="8" spans="1:26">
      <c r="A8" s="3192" t="s">
        <v>3224</v>
      </c>
      <c r="B8" s="3192" t="s">
        <v>3185</v>
      </c>
      <c r="C8" s="3192" t="s">
        <v>3225</v>
      </c>
      <c r="D8" s="3192" t="s">
        <v>3187</v>
      </c>
      <c r="E8" s="3192" t="s">
        <v>3226</v>
      </c>
      <c r="F8" s="3192" t="s">
        <v>3189</v>
      </c>
      <c r="G8" s="3192">
        <v>21775.86</v>
      </c>
      <c r="H8" s="3192">
        <v>43551.72</v>
      </c>
      <c r="I8" s="3192" t="s">
        <v>3208</v>
      </c>
      <c r="J8" s="3192" t="s">
        <v>3191</v>
      </c>
      <c r="K8" s="3192" t="s">
        <v>3192</v>
      </c>
      <c r="L8" s="3192" t="s">
        <v>3193</v>
      </c>
      <c r="M8" s="3192" t="s">
        <v>3194</v>
      </c>
      <c r="N8" s="3192" t="s">
        <v>3195</v>
      </c>
      <c r="O8" s="3193">
        <v>44659.000497685185</v>
      </c>
      <c r="P8" s="3192" t="s">
        <v>3196</v>
      </c>
      <c r="Q8" s="3192" t="s">
        <v>3227</v>
      </c>
      <c r="R8" s="3192" t="s">
        <v>3195</v>
      </c>
      <c r="S8" s="3192">
        <v>9799.14</v>
      </c>
      <c r="T8" s="3192">
        <v>300</v>
      </c>
      <c r="U8" s="3192">
        <v>2250</v>
      </c>
      <c r="V8" s="3192">
        <v>0</v>
      </c>
      <c r="W8" s="3192" t="s">
        <v>3199</v>
      </c>
      <c r="X8" s="3192" t="s">
        <v>3194</v>
      </c>
      <c r="Y8" s="3192" t="s">
        <v>3194</v>
      </c>
    </row>
    <row r="9" spans="1:26">
      <c r="A9" s="3192" t="s">
        <v>3228</v>
      </c>
      <c r="B9" s="3192" t="s">
        <v>3185</v>
      </c>
      <c r="C9" s="3192" t="s">
        <v>3229</v>
      </c>
      <c r="D9" s="3192" t="s">
        <v>3187</v>
      </c>
      <c r="E9" s="3192" t="s">
        <v>3230</v>
      </c>
      <c r="F9" s="3192" t="s">
        <v>3189</v>
      </c>
      <c r="G9" s="3192">
        <v>21159.8</v>
      </c>
      <c r="H9" s="3192">
        <v>46551.56</v>
      </c>
      <c r="I9" s="3192" t="s">
        <v>3231</v>
      </c>
      <c r="J9" s="3192" t="s">
        <v>3191</v>
      </c>
      <c r="K9" s="3192" t="s">
        <v>3192</v>
      </c>
      <c r="L9" s="3192" t="s">
        <v>3193</v>
      </c>
      <c r="M9" s="3192" t="s">
        <v>3194</v>
      </c>
      <c r="N9" s="3192" t="s">
        <v>3195</v>
      </c>
      <c r="O9" s="3193">
        <v>44651.000497685185</v>
      </c>
      <c r="P9" s="3192" t="s">
        <v>3196</v>
      </c>
      <c r="Q9" s="3192" t="s">
        <v>3232</v>
      </c>
      <c r="R9" s="3192" t="s">
        <v>3233</v>
      </c>
      <c r="S9" s="3192">
        <v>15869.85</v>
      </c>
      <c r="T9" s="3192">
        <v>500</v>
      </c>
      <c r="U9" s="3192">
        <v>3409</v>
      </c>
      <c r="V9" s="3192">
        <v>0</v>
      </c>
      <c r="W9" s="3192" t="s">
        <v>3199</v>
      </c>
      <c r="X9" s="3192" t="s">
        <v>3194</v>
      </c>
      <c r="Y9" s="3192" t="s">
        <v>3194</v>
      </c>
    </row>
    <row r="10" spans="1:26">
      <c r="A10" s="3192" t="s">
        <v>3234</v>
      </c>
      <c r="B10" s="3192" t="s">
        <v>3185</v>
      </c>
      <c r="C10" s="3192" t="s">
        <v>3235</v>
      </c>
      <c r="D10" s="3192" t="s">
        <v>3187</v>
      </c>
      <c r="E10" s="3192" t="s">
        <v>3236</v>
      </c>
      <c r="F10" s="3192" t="s">
        <v>3189</v>
      </c>
      <c r="G10" s="3192">
        <v>10911.32</v>
      </c>
      <c r="H10" s="3192">
        <v>24004.9</v>
      </c>
      <c r="I10" s="3192" t="s">
        <v>3231</v>
      </c>
      <c r="J10" s="3192" t="s">
        <v>3191</v>
      </c>
      <c r="K10" s="3192" t="s">
        <v>3192</v>
      </c>
      <c r="L10" s="3192" t="s">
        <v>3193</v>
      </c>
      <c r="M10" s="3192" t="s">
        <v>3194</v>
      </c>
      <c r="N10" s="3192" t="s">
        <v>3195</v>
      </c>
      <c r="O10" s="3193">
        <v>44651.000497685185</v>
      </c>
      <c r="P10" s="3192" t="s">
        <v>3196</v>
      </c>
      <c r="Q10" s="3192" t="s">
        <v>3232</v>
      </c>
      <c r="R10" s="3192" t="s">
        <v>3195</v>
      </c>
      <c r="S10" s="3192">
        <v>8183.49</v>
      </c>
      <c r="T10" s="3192">
        <v>500</v>
      </c>
      <c r="U10" s="3192">
        <v>3409</v>
      </c>
      <c r="V10" s="3192">
        <v>0</v>
      </c>
      <c r="W10" s="3192" t="s">
        <v>3199</v>
      </c>
      <c r="X10" s="3192" t="s">
        <v>3194</v>
      </c>
      <c r="Y10" s="3192" t="s">
        <v>3194</v>
      </c>
    </row>
    <row r="11" spans="1:26">
      <c r="A11" s="3192" t="s">
        <v>3237</v>
      </c>
      <c r="B11" s="3192" t="s">
        <v>3185</v>
      </c>
      <c r="C11" s="3192" t="s">
        <v>3238</v>
      </c>
      <c r="D11" s="3192" t="s">
        <v>3187</v>
      </c>
      <c r="E11" s="3192" t="s">
        <v>3239</v>
      </c>
      <c r="F11" s="3192" t="s">
        <v>3189</v>
      </c>
      <c r="G11" s="3192">
        <v>46380.19</v>
      </c>
      <c r="H11" s="3192">
        <v>69570.289999999994</v>
      </c>
      <c r="I11" s="3192" t="s">
        <v>3240</v>
      </c>
      <c r="J11" s="3192" t="s">
        <v>3241</v>
      </c>
      <c r="K11" s="3192" t="s">
        <v>3192</v>
      </c>
      <c r="L11" s="3192" t="s">
        <v>3193</v>
      </c>
      <c r="M11" s="3192" t="s">
        <v>3194</v>
      </c>
      <c r="N11" s="3192" t="s">
        <v>3195</v>
      </c>
      <c r="O11" s="3193">
        <v>44617.000497685185</v>
      </c>
      <c r="P11" s="3192" t="s">
        <v>3196</v>
      </c>
      <c r="Q11" s="3192" t="s">
        <v>3242</v>
      </c>
      <c r="R11" s="3192" t="s">
        <v>3243</v>
      </c>
      <c r="S11" s="3192">
        <v>20871.09</v>
      </c>
      <c r="T11" s="3192">
        <v>300</v>
      </c>
      <c r="U11" s="3192">
        <v>3000</v>
      </c>
      <c r="V11" s="3192">
        <v>0</v>
      </c>
      <c r="W11" s="3192" t="s">
        <v>3199</v>
      </c>
      <c r="X11" s="3192" t="s">
        <v>3194</v>
      </c>
      <c r="Y11" s="3192" t="s">
        <v>3194</v>
      </c>
    </row>
    <row r="12" spans="1:26">
      <c r="A12" s="3192" t="s">
        <v>3244</v>
      </c>
      <c r="B12" s="3192" t="s">
        <v>3185</v>
      </c>
      <c r="C12" s="3192" t="s">
        <v>3245</v>
      </c>
      <c r="D12" s="3192" t="s">
        <v>3187</v>
      </c>
      <c r="E12" s="3192" t="s">
        <v>3246</v>
      </c>
      <c r="F12" s="3192" t="s">
        <v>3189</v>
      </c>
      <c r="G12" s="3192">
        <v>29235.26</v>
      </c>
      <c r="H12" s="3192">
        <v>43852.89</v>
      </c>
      <c r="I12" s="3192" t="s">
        <v>3240</v>
      </c>
      <c r="J12" s="3192" t="s">
        <v>3241</v>
      </c>
      <c r="K12" s="3192" t="s">
        <v>3192</v>
      </c>
      <c r="L12" s="3192" t="s">
        <v>3193</v>
      </c>
      <c r="M12" s="3192" t="s">
        <v>3194</v>
      </c>
      <c r="N12" s="3192" t="s">
        <v>3195</v>
      </c>
      <c r="O12" s="3193">
        <v>44617.000497685185</v>
      </c>
      <c r="P12" s="3192" t="s">
        <v>3196</v>
      </c>
      <c r="Q12" s="3192" t="s">
        <v>3242</v>
      </c>
      <c r="R12" s="3192" t="s">
        <v>3243</v>
      </c>
      <c r="S12" s="3192">
        <v>13155.87</v>
      </c>
      <c r="T12" s="3192">
        <v>300</v>
      </c>
      <c r="U12" s="3192">
        <v>3000</v>
      </c>
      <c r="V12" s="3192">
        <v>0</v>
      </c>
      <c r="W12" s="3192" t="s">
        <v>3199</v>
      </c>
      <c r="X12" s="3192" t="s">
        <v>3194</v>
      </c>
      <c r="Y12" s="3192" t="s">
        <v>3194</v>
      </c>
    </row>
    <row r="13" spans="1:26">
      <c r="A13" s="3192" t="s">
        <v>3247</v>
      </c>
      <c r="B13" s="3192" t="s">
        <v>3185</v>
      </c>
      <c r="C13" s="3192" t="s">
        <v>3248</v>
      </c>
      <c r="D13" s="3192" t="s">
        <v>3187</v>
      </c>
      <c r="E13" s="3192" t="s">
        <v>3249</v>
      </c>
      <c r="F13" s="3192" t="s">
        <v>3189</v>
      </c>
      <c r="G13" s="3192">
        <v>43565.68</v>
      </c>
      <c r="H13" s="3192">
        <v>65348.52</v>
      </c>
      <c r="I13" s="3192" t="s">
        <v>3240</v>
      </c>
      <c r="J13" s="3192" t="s">
        <v>3241</v>
      </c>
      <c r="K13" s="3192" t="s">
        <v>3192</v>
      </c>
      <c r="L13" s="3192" t="s">
        <v>3193</v>
      </c>
      <c r="M13" s="3192" t="s">
        <v>3194</v>
      </c>
      <c r="N13" s="3192" t="s">
        <v>3195</v>
      </c>
      <c r="O13" s="3193">
        <v>44617.000497685185</v>
      </c>
      <c r="P13" s="3192" t="s">
        <v>3196</v>
      </c>
      <c r="Q13" s="3192" t="s">
        <v>3242</v>
      </c>
      <c r="R13" s="3192" t="s">
        <v>3243</v>
      </c>
      <c r="S13" s="3192">
        <v>19604.560000000001</v>
      </c>
      <c r="T13" s="3192">
        <v>300</v>
      </c>
      <c r="U13" s="3192">
        <v>3000</v>
      </c>
      <c r="V13" s="3192">
        <v>0</v>
      </c>
      <c r="W13" s="3192" t="s">
        <v>3199</v>
      </c>
      <c r="X13" s="3192" t="s">
        <v>3194</v>
      </c>
      <c r="Y13" s="3192" t="s">
        <v>3194</v>
      </c>
    </row>
    <row r="14" spans="1:26">
      <c r="A14" s="3192" t="s">
        <v>3250</v>
      </c>
      <c r="B14" s="3192" t="s">
        <v>3185</v>
      </c>
      <c r="C14" s="3192" t="s">
        <v>3251</v>
      </c>
      <c r="D14" s="3192" t="s">
        <v>3187</v>
      </c>
      <c r="E14" s="3192" t="s">
        <v>3252</v>
      </c>
      <c r="F14" s="3192" t="s">
        <v>3189</v>
      </c>
      <c r="G14" s="3192">
        <v>39014.36</v>
      </c>
      <c r="H14" s="3192">
        <v>85831.59</v>
      </c>
      <c r="I14" s="3192" t="s">
        <v>3231</v>
      </c>
      <c r="J14" s="3192" t="s">
        <v>3191</v>
      </c>
      <c r="K14" s="3192" t="s">
        <v>3192</v>
      </c>
      <c r="L14" s="3192" t="s">
        <v>3193</v>
      </c>
      <c r="M14" s="3192" t="s">
        <v>3194</v>
      </c>
      <c r="N14" s="3192" t="s">
        <v>3195</v>
      </c>
      <c r="O14" s="3193">
        <v>44553.000497685185</v>
      </c>
      <c r="P14" s="3192" t="s">
        <v>3196</v>
      </c>
      <c r="Q14" s="3192" t="s">
        <v>3232</v>
      </c>
      <c r="R14" s="3192" t="s">
        <v>3233</v>
      </c>
      <c r="S14" s="3192">
        <v>29260.77</v>
      </c>
      <c r="T14" s="3192">
        <v>500</v>
      </c>
      <c r="U14" s="3192">
        <v>3409</v>
      </c>
      <c r="V14" s="3192">
        <v>0</v>
      </c>
      <c r="W14" s="3192" t="s">
        <v>3199</v>
      </c>
      <c r="X14" s="3192" t="s">
        <v>3194</v>
      </c>
      <c r="Y14" s="3192" t="s">
        <v>3194</v>
      </c>
    </row>
    <row r="15" spans="1:26">
      <c r="A15" s="3192" t="s">
        <v>3253</v>
      </c>
      <c r="B15" s="3192" t="s">
        <v>3185</v>
      </c>
      <c r="C15" s="3192" t="s">
        <v>3254</v>
      </c>
      <c r="D15" s="3192" t="s">
        <v>3187</v>
      </c>
      <c r="E15" s="3192" t="s">
        <v>3255</v>
      </c>
      <c r="F15" s="3192" t="s">
        <v>3189</v>
      </c>
      <c r="G15" s="3192">
        <v>36140.400000000001</v>
      </c>
      <c r="H15" s="3192">
        <v>79508.88</v>
      </c>
      <c r="I15" s="3192" t="s">
        <v>3231</v>
      </c>
      <c r="J15" s="3192" t="s">
        <v>3191</v>
      </c>
      <c r="K15" s="3192" t="s">
        <v>3192</v>
      </c>
      <c r="L15" s="3192" t="s">
        <v>3193</v>
      </c>
      <c r="M15" s="3192" t="s">
        <v>3194</v>
      </c>
      <c r="N15" s="3192" t="s">
        <v>3195</v>
      </c>
      <c r="O15" s="3193">
        <v>44525.000497685185</v>
      </c>
      <c r="P15" s="3192" t="s">
        <v>3196</v>
      </c>
      <c r="Q15" s="3192" t="s">
        <v>3256</v>
      </c>
      <c r="R15" s="3192" t="s">
        <v>3257</v>
      </c>
      <c r="S15" s="3192">
        <v>19353.18</v>
      </c>
      <c r="T15" s="3192">
        <v>357</v>
      </c>
      <c r="U15" s="3192">
        <v>2434</v>
      </c>
      <c r="V15" s="3192">
        <v>0</v>
      </c>
      <c r="W15" s="3192" t="s">
        <v>3199</v>
      </c>
      <c r="X15" s="3192" t="s">
        <v>3194</v>
      </c>
      <c r="Y15" s="3192" t="s">
        <v>3194</v>
      </c>
    </row>
    <row r="16" spans="1:26">
      <c r="A16" s="3192" t="s">
        <v>3258</v>
      </c>
      <c r="B16" s="3192" t="s">
        <v>3185</v>
      </c>
      <c r="C16" s="3192" t="s">
        <v>3259</v>
      </c>
      <c r="D16" s="3192" t="s">
        <v>3187</v>
      </c>
      <c r="E16" s="3192" t="s">
        <v>3260</v>
      </c>
      <c r="F16" s="3192" t="s">
        <v>3189</v>
      </c>
      <c r="G16" s="3192">
        <v>41334.720000000001</v>
      </c>
      <c r="H16" s="3192">
        <v>90936.38</v>
      </c>
      <c r="I16" s="3192" t="s">
        <v>3231</v>
      </c>
      <c r="J16" s="3192" t="s">
        <v>3191</v>
      </c>
      <c r="K16" s="3192" t="s">
        <v>3192</v>
      </c>
      <c r="L16" s="3192" t="s">
        <v>3193</v>
      </c>
      <c r="M16" s="3192" t="s">
        <v>3194</v>
      </c>
      <c r="N16" s="3192" t="s">
        <v>3195</v>
      </c>
      <c r="O16" s="3193">
        <v>44525.000497685185</v>
      </c>
      <c r="P16" s="3192" t="s">
        <v>3196</v>
      </c>
      <c r="Q16" s="3192" t="s">
        <v>3261</v>
      </c>
      <c r="R16" s="3192" t="s">
        <v>3195</v>
      </c>
      <c r="S16" s="3192">
        <v>31001.040000000001</v>
      </c>
      <c r="T16" s="3192">
        <v>500</v>
      </c>
      <c r="U16" s="3192">
        <v>3409</v>
      </c>
      <c r="V16" s="3192">
        <v>0</v>
      </c>
      <c r="W16" s="3192" t="s">
        <v>3199</v>
      </c>
      <c r="X16" s="3192" t="s">
        <v>3194</v>
      </c>
      <c r="Y16" s="3192" t="s">
        <v>3194</v>
      </c>
    </row>
    <row r="17" spans="1:26">
      <c r="A17" s="3192" t="s">
        <v>3262</v>
      </c>
      <c r="B17" s="3192" t="s">
        <v>3185</v>
      </c>
      <c r="C17" s="3192" t="s">
        <v>3263</v>
      </c>
      <c r="D17" s="3192" t="s">
        <v>3187</v>
      </c>
      <c r="E17" s="3192" t="s">
        <v>3264</v>
      </c>
      <c r="F17" s="3192" t="s">
        <v>3189</v>
      </c>
      <c r="G17" s="3192">
        <v>42817.8</v>
      </c>
      <c r="H17" s="3192">
        <v>94199.16</v>
      </c>
      <c r="I17" s="3192" t="s">
        <v>3231</v>
      </c>
      <c r="J17" s="3192" t="s">
        <v>3191</v>
      </c>
      <c r="K17" s="3192" t="s">
        <v>3192</v>
      </c>
      <c r="L17" s="3192" t="s">
        <v>3193</v>
      </c>
      <c r="M17" s="3192" t="s">
        <v>3194</v>
      </c>
      <c r="N17" s="3192" t="s">
        <v>3195</v>
      </c>
      <c r="O17" s="3193">
        <v>44525.000497685185</v>
      </c>
      <c r="P17" s="3192" t="s">
        <v>3196</v>
      </c>
      <c r="Q17" s="3192" t="s">
        <v>3265</v>
      </c>
      <c r="R17" s="3192" t="s">
        <v>3195</v>
      </c>
      <c r="S17" s="3192">
        <v>6101.54</v>
      </c>
      <c r="T17" s="3192">
        <v>95</v>
      </c>
      <c r="U17" s="3192">
        <v>648</v>
      </c>
      <c r="V17" s="3192">
        <v>0</v>
      </c>
      <c r="W17" s="3192" t="s">
        <v>3199</v>
      </c>
      <c r="X17" s="3192" t="s">
        <v>3194</v>
      </c>
      <c r="Y17" s="3192" t="s">
        <v>3194</v>
      </c>
    </row>
    <row r="18" spans="1:26">
      <c r="A18" s="3192" t="s">
        <v>3266</v>
      </c>
      <c r="B18" s="3192" t="s">
        <v>3185</v>
      </c>
      <c r="C18" s="3192" t="s">
        <v>3267</v>
      </c>
      <c r="D18" s="3192" t="s">
        <v>3187</v>
      </c>
      <c r="E18" s="3192" t="s">
        <v>3268</v>
      </c>
      <c r="F18" s="3192" t="s">
        <v>3189</v>
      </c>
      <c r="G18" s="3192">
        <v>28495</v>
      </c>
      <c r="H18" s="3192">
        <v>56990</v>
      </c>
      <c r="I18" s="3192" t="s">
        <v>3208</v>
      </c>
      <c r="J18" s="3192" t="s">
        <v>3191</v>
      </c>
      <c r="K18" s="3192" t="s">
        <v>3192</v>
      </c>
      <c r="L18" s="3192" t="s">
        <v>3193</v>
      </c>
      <c r="M18" s="3192" t="s">
        <v>3194</v>
      </c>
      <c r="N18" s="3192" t="s">
        <v>3195</v>
      </c>
      <c r="O18" s="3193">
        <v>44525.000497685185</v>
      </c>
      <c r="P18" s="3192" t="s">
        <v>3196</v>
      </c>
      <c r="Q18" s="3192" t="s">
        <v>3269</v>
      </c>
      <c r="R18" s="3192" t="s">
        <v>3195</v>
      </c>
      <c r="S18" s="3192">
        <v>9403.35</v>
      </c>
      <c r="T18" s="3192">
        <v>220</v>
      </c>
      <c r="U18" s="3192">
        <v>1650</v>
      </c>
      <c r="V18" s="3192">
        <v>0</v>
      </c>
      <c r="W18" s="3192" t="s">
        <v>3199</v>
      </c>
      <c r="X18" s="3192" t="s">
        <v>3194</v>
      </c>
      <c r="Y18" s="3192" t="s">
        <v>3194</v>
      </c>
    </row>
    <row r="19" spans="1:26">
      <c r="A19" s="3192" t="s">
        <v>3270</v>
      </c>
      <c r="B19" s="3192" t="s">
        <v>3185</v>
      </c>
      <c r="C19" s="3192" t="s">
        <v>3271</v>
      </c>
      <c r="D19" s="3192" t="s">
        <v>3187</v>
      </c>
      <c r="E19" s="3192" t="s">
        <v>3272</v>
      </c>
      <c r="F19" s="3192" t="s">
        <v>3189</v>
      </c>
      <c r="G19" s="3192">
        <v>41753.370000000003</v>
      </c>
      <c r="H19" s="3192">
        <v>91857.41</v>
      </c>
      <c r="I19" s="3192" t="s">
        <v>3231</v>
      </c>
      <c r="J19" s="3192" t="s">
        <v>3191</v>
      </c>
      <c r="K19" s="3192" t="s">
        <v>3192</v>
      </c>
      <c r="L19" s="3192" t="s">
        <v>3193</v>
      </c>
      <c r="M19" s="3192" t="s">
        <v>3194</v>
      </c>
      <c r="N19" s="3192" t="s">
        <v>3195</v>
      </c>
      <c r="O19" s="3193">
        <v>44525.000497685185</v>
      </c>
      <c r="P19" s="3192" t="s">
        <v>3196</v>
      </c>
      <c r="Q19" s="3192" t="s">
        <v>3261</v>
      </c>
      <c r="R19" s="3192" t="s">
        <v>3195</v>
      </c>
      <c r="S19" s="3192">
        <v>31315.03</v>
      </c>
      <c r="T19" s="3192">
        <v>500</v>
      </c>
      <c r="U19" s="3192">
        <v>3409</v>
      </c>
      <c r="V19" s="3192">
        <v>0</v>
      </c>
      <c r="W19" s="3192" t="s">
        <v>3199</v>
      </c>
      <c r="X19" s="3192" t="s">
        <v>3194</v>
      </c>
      <c r="Y19" s="3192" t="s">
        <v>3194</v>
      </c>
    </row>
    <row r="20" spans="1:26">
      <c r="A20" s="3192" t="s">
        <v>3273</v>
      </c>
      <c r="B20" s="3192" t="s">
        <v>3185</v>
      </c>
      <c r="C20" s="3192" t="s">
        <v>3274</v>
      </c>
      <c r="D20" s="3192" t="s">
        <v>3187</v>
      </c>
      <c r="E20" s="3192" t="s">
        <v>3275</v>
      </c>
      <c r="F20" s="3192" t="s">
        <v>3189</v>
      </c>
      <c r="G20" s="3192">
        <v>34537.879999999997</v>
      </c>
      <c r="H20" s="3192">
        <v>75983.34</v>
      </c>
      <c r="I20" s="3192" t="s">
        <v>3231</v>
      </c>
      <c r="J20" s="3192" t="s">
        <v>3191</v>
      </c>
      <c r="K20" s="3192" t="s">
        <v>3276</v>
      </c>
      <c r="L20" s="3192" t="s">
        <v>3193</v>
      </c>
      <c r="M20" s="3192" t="s">
        <v>3194</v>
      </c>
      <c r="N20" s="3192" t="s">
        <v>3195</v>
      </c>
      <c r="O20" s="3193">
        <v>44525.000497685185</v>
      </c>
      <c r="P20" s="3192" t="s">
        <v>3196</v>
      </c>
      <c r="Q20" s="3192" t="s">
        <v>3277</v>
      </c>
      <c r="R20" s="3192" t="s">
        <v>3195</v>
      </c>
      <c r="S20" s="3192">
        <v>8548.1299999999992</v>
      </c>
      <c r="T20" s="3192">
        <v>165</v>
      </c>
      <c r="U20" s="3192">
        <v>1125</v>
      </c>
      <c r="V20" s="3192">
        <v>0</v>
      </c>
      <c r="W20" s="3192" t="s">
        <v>3199</v>
      </c>
      <c r="X20" s="3192" t="s">
        <v>3194</v>
      </c>
      <c r="Y20" s="3192" t="s">
        <v>3194</v>
      </c>
    </row>
    <row r="21" spans="1:26">
      <c r="A21" s="3192" t="s">
        <v>3278</v>
      </c>
      <c r="B21" s="3192" t="s">
        <v>3185</v>
      </c>
      <c r="C21" s="3192" t="s">
        <v>3279</v>
      </c>
      <c r="D21" s="3192" t="s">
        <v>3187</v>
      </c>
      <c r="E21" s="3192" t="s">
        <v>3280</v>
      </c>
      <c r="F21" s="3192" t="s">
        <v>3189</v>
      </c>
      <c r="G21" s="3192">
        <v>33002.42</v>
      </c>
      <c r="H21" s="3192">
        <v>72605.320000000007</v>
      </c>
      <c r="I21" s="3192" t="s">
        <v>3231</v>
      </c>
      <c r="J21" s="3192" t="s">
        <v>3191</v>
      </c>
      <c r="K21" s="3192" t="s">
        <v>3281</v>
      </c>
      <c r="L21" s="3192" t="s">
        <v>3193</v>
      </c>
      <c r="M21" s="3192" t="s">
        <v>3194</v>
      </c>
      <c r="N21" s="3192" t="s">
        <v>3195</v>
      </c>
      <c r="O21" s="3193">
        <v>44525.000497685185</v>
      </c>
      <c r="P21" s="3192" t="s">
        <v>3196</v>
      </c>
      <c r="Q21" s="3192" t="s">
        <v>3277</v>
      </c>
      <c r="R21" s="3192" t="s">
        <v>3195</v>
      </c>
      <c r="S21" s="3192">
        <v>8465.1200000000008</v>
      </c>
      <c r="T21" s="3192">
        <v>171</v>
      </c>
      <c r="U21" s="3192">
        <v>1166</v>
      </c>
      <c r="V21" s="3192">
        <v>0</v>
      </c>
      <c r="W21" s="3192" t="s">
        <v>3199</v>
      </c>
      <c r="X21" s="3192" t="s">
        <v>3194</v>
      </c>
      <c r="Y21" s="3192" t="s">
        <v>3194</v>
      </c>
    </row>
    <row r="22" spans="1:26">
      <c r="A22" s="3192" t="s">
        <v>3282</v>
      </c>
      <c r="B22" s="3192" t="s">
        <v>3185</v>
      </c>
      <c r="C22" s="3192" t="s">
        <v>3283</v>
      </c>
      <c r="D22" s="3192" t="s">
        <v>3187</v>
      </c>
      <c r="E22" s="3192" t="s">
        <v>3284</v>
      </c>
      <c r="F22" s="3192" t="s">
        <v>3189</v>
      </c>
      <c r="G22" s="3192">
        <v>35649.4</v>
      </c>
      <c r="H22" s="3192">
        <v>78428.679999999993</v>
      </c>
      <c r="I22" s="3192" t="s">
        <v>3231</v>
      </c>
      <c r="J22" s="3192" t="s">
        <v>3191</v>
      </c>
      <c r="K22" s="3192" t="s">
        <v>3192</v>
      </c>
      <c r="L22" s="3192" t="s">
        <v>3193</v>
      </c>
      <c r="M22" s="3192" t="s">
        <v>3194</v>
      </c>
      <c r="N22" s="3192" t="s">
        <v>3195</v>
      </c>
      <c r="O22" s="3193">
        <v>44525.000497685185</v>
      </c>
      <c r="P22" s="3192" t="s">
        <v>3196</v>
      </c>
      <c r="Q22" s="3192" t="s">
        <v>3285</v>
      </c>
      <c r="R22" s="3192" t="s">
        <v>3286</v>
      </c>
      <c r="S22" s="3192">
        <v>26737.05</v>
      </c>
      <c r="T22" s="3192">
        <v>500</v>
      </c>
      <c r="U22" s="3192">
        <v>3409</v>
      </c>
      <c r="V22" s="3192">
        <v>0</v>
      </c>
      <c r="W22" s="3192" t="s">
        <v>3199</v>
      </c>
      <c r="X22" s="3192" t="s">
        <v>3194</v>
      </c>
      <c r="Y22" s="3192" t="s">
        <v>3194</v>
      </c>
    </row>
    <row r="23" spans="1:26">
      <c r="A23" s="3192" t="s">
        <v>3287</v>
      </c>
      <c r="B23" s="3192" t="s">
        <v>3185</v>
      </c>
      <c r="C23" s="3192" t="s">
        <v>3288</v>
      </c>
      <c r="D23" s="3192" t="s">
        <v>3187</v>
      </c>
      <c r="E23" s="3192" t="s">
        <v>3289</v>
      </c>
      <c r="F23" s="3192" t="s">
        <v>3189</v>
      </c>
      <c r="G23" s="3192">
        <v>36539.1</v>
      </c>
      <c r="H23" s="3192">
        <v>80386.02</v>
      </c>
      <c r="I23" s="3192" t="s">
        <v>3231</v>
      </c>
      <c r="J23" s="3192" t="s">
        <v>3191</v>
      </c>
      <c r="K23" s="3192" t="s">
        <v>3192</v>
      </c>
      <c r="L23" s="3192" t="s">
        <v>3193</v>
      </c>
      <c r="M23" s="3192" t="s">
        <v>3194</v>
      </c>
      <c r="N23" s="3192" t="s">
        <v>3195</v>
      </c>
      <c r="O23" s="3193">
        <v>44525.000497685185</v>
      </c>
      <c r="P23" s="3192" t="s">
        <v>3196</v>
      </c>
      <c r="Q23" s="3192" t="s">
        <v>3256</v>
      </c>
      <c r="R23" s="3192" t="s">
        <v>3257</v>
      </c>
      <c r="S23" s="3192">
        <v>19347.45</v>
      </c>
      <c r="T23" s="3192">
        <v>353</v>
      </c>
      <c r="U23" s="3192">
        <v>2407</v>
      </c>
      <c r="V23" s="3192">
        <v>0</v>
      </c>
      <c r="W23" s="3192" t="s">
        <v>3199</v>
      </c>
      <c r="X23" s="3192" t="s">
        <v>3194</v>
      </c>
      <c r="Y23" s="3192" t="s">
        <v>3194</v>
      </c>
    </row>
    <row r="24" spans="1:26">
      <c r="A24" s="3192" t="s">
        <v>3290</v>
      </c>
      <c r="B24" s="3192" t="s">
        <v>3185</v>
      </c>
      <c r="C24" s="3192" t="s">
        <v>3291</v>
      </c>
      <c r="D24" s="3192" t="s">
        <v>3187</v>
      </c>
      <c r="E24" s="3192" t="s">
        <v>3292</v>
      </c>
      <c r="F24" s="3192" t="s">
        <v>3189</v>
      </c>
      <c r="G24" s="3192">
        <v>40570.6</v>
      </c>
      <c r="H24" s="3192">
        <v>101426.5</v>
      </c>
      <c r="I24" s="3192" t="s">
        <v>3190</v>
      </c>
      <c r="J24" s="3192" t="s">
        <v>3191</v>
      </c>
      <c r="K24" s="3192" t="s">
        <v>3192</v>
      </c>
      <c r="L24" s="3192" t="s">
        <v>3193</v>
      </c>
      <c r="M24" s="3192" t="s">
        <v>3194</v>
      </c>
      <c r="N24" s="3192" t="s">
        <v>3195</v>
      </c>
      <c r="O24" s="3193">
        <v>44527.000497685185</v>
      </c>
      <c r="P24" s="3192" t="s">
        <v>3196</v>
      </c>
      <c r="Q24" s="3192" t="s">
        <v>3197</v>
      </c>
      <c r="R24" s="3192" t="s">
        <v>3195</v>
      </c>
      <c r="S24" s="3192">
        <v>30427.95</v>
      </c>
      <c r="T24" s="3192">
        <v>500</v>
      </c>
      <c r="U24" s="3192">
        <v>3000</v>
      </c>
      <c r="V24" s="3192">
        <v>0</v>
      </c>
      <c r="W24" s="3192" t="s">
        <v>3199</v>
      </c>
      <c r="X24" s="3192" t="s">
        <v>3194</v>
      </c>
      <c r="Y24" s="3192" t="s">
        <v>3194</v>
      </c>
    </row>
    <row r="25" spans="1:26">
      <c r="A25" s="3192" t="s">
        <v>3293</v>
      </c>
      <c r="B25" s="3192" t="s">
        <v>3185</v>
      </c>
      <c r="C25" s="3192" t="s">
        <v>3294</v>
      </c>
      <c r="D25" s="3192" t="s">
        <v>3187</v>
      </c>
      <c r="E25" s="3192" t="s">
        <v>3295</v>
      </c>
      <c r="F25" s="3192" t="s">
        <v>3189</v>
      </c>
      <c r="G25" s="3192">
        <v>23440.799999999999</v>
      </c>
      <c r="H25" s="3192">
        <v>51569.760000000002</v>
      </c>
      <c r="I25" s="3192" t="s">
        <v>3231</v>
      </c>
      <c r="J25" s="3192" t="s">
        <v>3191</v>
      </c>
      <c r="K25" s="3192" t="s">
        <v>3192</v>
      </c>
      <c r="L25" s="3192" t="s">
        <v>3193</v>
      </c>
      <c r="M25" s="3192" t="s">
        <v>3194</v>
      </c>
      <c r="N25" s="3192" t="s">
        <v>3195</v>
      </c>
      <c r="O25" s="3193">
        <v>44527.000497685185</v>
      </c>
      <c r="P25" s="3192" t="s">
        <v>3196</v>
      </c>
      <c r="Q25" s="3192" t="s">
        <v>3265</v>
      </c>
      <c r="R25" s="3192" t="s">
        <v>3195</v>
      </c>
      <c r="S25" s="3192">
        <v>7735.46</v>
      </c>
      <c r="T25" s="3192">
        <v>220</v>
      </c>
      <c r="U25" s="3192">
        <v>1500</v>
      </c>
      <c r="V25" s="3192">
        <v>0</v>
      </c>
      <c r="W25" s="3192" t="s">
        <v>3199</v>
      </c>
      <c r="X25" s="3192" t="s">
        <v>3194</v>
      </c>
      <c r="Y25" s="3192" t="s">
        <v>3194</v>
      </c>
    </row>
    <row r="26" spans="1:26">
      <c r="A26" s="3192" t="s">
        <v>3296</v>
      </c>
      <c r="B26" s="3192" t="s">
        <v>3185</v>
      </c>
      <c r="C26" s="3192" t="s">
        <v>3297</v>
      </c>
      <c r="D26" s="3192" t="s">
        <v>3187</v>
      </c>
      <c r="E26" s="3192" t="s">
        <v>3298</v>
      </c>
      <c r="F26" s="3192" t="s">
        <v>3189</v>
      </c>
      <c r="G26" s="3192">
        <v>56172.83</v>
      </c>
      <c r="H26" s="3192">
        <v>151666.64000000001</v>
      </c>
      <c r="I26" s="3192" t="s">
        <v>3299</v>
      </c>
      <c r="J26" s="3192" t="s">
        <v>3191</v>
      </c>
      <c r="K26" s="3192" t="s">
        <v>3192</v>
      </c>
      <c r="L26" s="3192" t="s">
        <v>3193</v>
      </c>
      <c r="M26" s="3192" t="s">
        <v>3194</v>
      </c>
      <c r="N26" s="3192" t="s">
        <v>3195</v>
      </c>
      <c r="O26" s="3193">
        <v>44503.000497685185</v>
      </c>
      <c r="P26" s="3192" t="s">
        <v>3196</v>
      </c>
      <c r="Q26" s="3192" t="s">
        <v>3300</v>
      </c>
      <c r="R26" s="3192" t="s">
        <v>3301</v>
      </c>
      <c r="S26" s="3192">
        <v>42129.62</v>
      </c>
      <c r="T26" s="3192">
        <v>500</v>
      </c>
      <c r="U26" s="3192">
        <v>2778</v>
      </c>
      <c r="V26" s="3192">
        <v>0</v>
      </c>
      <c r="W26" s="3192" t="s">
        <v>3199</v>
      </c>
      <c r="X26" s="3192" t="s">
        <v>3194</v>
      </c>
      <c r="Y26" s="3192" t="s">
        <v>3194</v>
      </c>
    </row>
    <row r="27" spans="1:26">
      <c r="A27" s="3192" t="s">
        <v>3302</v>
      </c>
      <c r="B27" s="3192" t="s">
        <v>3185</v>
      </c>
      <c r="C27" s="3192" t="s">
        <v>3303</v>
      </c>
      <c r="D27" s="3192" t="s">
        <v>3187</v>
      </c>
      <c r="E27" s="3192" t="s">
        <v>3304</v>
      </c>
      <c r="F27" s="3192" t="s">
        <v>3189</v>
      </c>
      <c r="G27" s="3192">
        <v>53146.2</v>
      </c>
      <c r="H27" s="3192">
        <v>85033.919999999998</v>
      </c>
      <c r="I27" s="3192" t="s">
        <v>3305</v>
      </c>
      <c r="J27" s="3192" t="s">
        <v>3191</v>
      </c>
      <c r="K27" s="3192" t="s">
        <v>3192</v>
      </c>
      <c r="L27" s="3192" t="s">
        <v>3193</v>
      </c>
      <c r="M27" s="3192" t="s">
        <v>3194</v>
      </c>
      <c r="N27" s="3192" t="s">
        <v>3195</v>
      </c>
      <c r="O27" s="3193">
        <v>44503.000497685185</v>
      </c>
      <c r="P27" s="3192" t="s">
        <v>3196</v>
      </c>
      <c r="Q27" s="3192" t="s">
        <v>3285</v>
      </c>
      <c r="R27" s="3192" t="s">
        <v>3286</v>
      </c>
      <c r="S27" s="3192">
        <v>43845.62</v>
      </c>
      <c r="T27" s="3192">
        <v>550</v>
      </c>
      <c r="U27" s="3192">
        <v>5156</v>
      </c>
      <c r="V27" s="3192">
        <v>0</v>
      </c>
      <c r="W27" s="3192" t="s">
        <v>3199</v>
      </c>
      <c r="X27" s="3192" t="s">
        <v>3194</v>
      </c>
      <c r="Y27" s="3192" t="s">
        <v>3194</v>
      </c>
    </row>
    <row r="28" spans="1:26">
      <c r="A28" s="3192" t="s">
        <v>3306</v>
      </c>
      <c r="B28" s="3192" t="s">
        <v>3185</v>
      </c>
      <c r="C28" s="3192" t="s">
        <v>3307</v>
      </c>
      <c r="D28" s="3192" t="s">
        <v>3187</v>
      </c>
      <c r="E28" s="3192" t="s">
        <v>3308</v>
      </c>
      <c r="F28" s="3192" t="s">
        <v>3309</v>
      </c>
      <c r="G28" s="3192">
        <v>19793.03</v>
      </c>
      <c r="H28" s="3192">
        <v>43544.67</v>
      </c>
      <c r="I28" s="3192" t="s">
        <v>3310</v>
      </c>
      <c r="J28" s="3192" t="s">
        <v>3191</v>
      </c>
      <c r="K28" s="3192" t="s">
        <v>3311</v>
      </c>
      <c r="L28" s="3192" t="s">
        <v>3193</v>
      </c>
      <c r="M28" s="3192">
        <v>30</v>
      </c>
      <c r="N28" s="3192" t="s">
        <v>3195</v>
      </c>
      <c r="O28" s="3193">
        <v>44482.000497685185</v>
      </c>
      <c r="P28" s="3192" t="s">
        <v>3196</v>
      </c>
      <c r="Q28" s="3192" t="s">
        <v>3232</v>
      </c>
      <c r="R28" s="3192" t="s">
        <v>3233</v>
      </c>
      <c r="S28" s="3192">
        <v>11578.92</v>
      </c>
      <c r="T28" s="3192">
        <v>390</v>
      </c>
      <c r="U28" s="3192">
        <v>2659</v>
      </c>
      <c r="V28" s="3192">
        <v>0</v>
      </c>
      <c r="W28" s="3192" t="s">
        <v>3312</v>
      </c>
      <c r="X28" s="3192" t="s">
        <v>3194</v>
      </c>
      <c r="Y28" s="3192" t="s">
        <v>3194</v>
      </c>
    </row>
    <row r="29" spans="1:26">
      <c r="A29" s="3192" t="s">
        <v>3313</v>
      </c>
      <c r="B29" s="3192" t="s">
        <v>3185</v>
      </c>
      <c r="C29" s="3192" t="s">
        <v>3314</v>
      </c>
      <c r="D29" s="3192" t="s">
        <v>3187</v>
      </c>
      <c r="E29" s="3192" t="s">
        <v>3315</v>
      </c>
      <c r="F29" s="3192" t="s">
        <v>3189</v>
      </c>
      <c r="G29" s="3192">
        <v>26134.2</v>
      </c>
      <c r="H29" s="3192">
        <v>52268.4</v>
      </c>
      <c r="I29" s="3192" t="s">
        <v>3208</v>
      </c>
      <c r="J29" s="3192" t="s">
        <v>3191</v>
      </c>
      <c r="K29" s="3192" t="s">
        <v>3192</v>
      </c>
      <c r="L29" s="3192" t="s">
        <v>3193</v>
      </c>
      <c r="M29" s="3192" t="s">
        <v>3194</v>
      </c>
      <c r="N29" s="3192" t="s">
        <v>3195</v>
      </c>
      <c r="O29" s="3193">
        <v>44483.000497685185</v>
      </c>
      <c r="P29" s="3192" t="s">
        <v>3196</v>
      </c>
      <c r="Q29" s="3192" t="s">
        <v>3316</v>
      </c>
      <c r="R29" s="3192" t="s">
        <v>3195</v>
      </c>
      <c r="S29" s="3192">
        <v>19600.650000000001</v>
      </c>
      <c r="T29" s="3192">
        <v>500</v>
      </c>
      <c r="U29" s="3192">
        <v>3750</v>
      </c>
      <c r="V29" s="3192">
        <v>0</v>
      </c>
      <c r="W29" s="3192" t="s">
        <v>3199</v>
      </c>
      <c r="X29" s="3192" t="s">
        <v>3194</v>
      </c>
      <c r="Y29" s="3192" t="s">
        <v>3194</v>
      </c>
    </row>
    <row r="30" spans="1:26">
      <c r="A30" s="3192" t="s">
        <v>3317</v>
      </c>
      <c r="B30" s="3192" t="s">
        <v>3185</v>
      </c>
      <c r="C30" s="3192" t="s">
        <v>3318</v>
      </c>
      <c r="D30" s="3192" t="s">
        <v>3187</v>
      </c>
      <c r="E30" s="3192" t="s">
        <v>3319</v>
      </c>
      <c r="F30" s="3192" t="s">
        <v>3189</v>
      </c>
      <c r="G30" s="3192">
        <v>22569.77</v>
      </c>
      <c r="H30" s="3192">
        <v>33854.660000000003</v>
      </c>
      <c r="I30" s="3192" t="s">
        <v>3240</v>
      </c>
      <c r="J30" s="3192" t="s">
        <v>3191</v>
      </c>
      <c r="K30" s="3192" t="s">
        <v>3192</v>
      </c>
      <c r="L30" s="3192" t="s">
        <v>3193</v>
      </c>
      <c r="M30" s="3192" t="s">
        <v>3194</v>
      </c>
      <c r="N30" s="3192" t="s">
        <v>3195</v>
      </c>
      <c r="O30" s="3193">
        <v>44487.000497685185</v>
      </c>
      <c r="P30" s="3192" t="s">
        <v>3196</v>
      </c>
      <c r="Q30" s="3192" t="s">
        <v>3232</v>
      </c>
      <c r="R30" s="3192" t="s">
        <v>3233</v>
      </c>
      <c r="S30" s="3192">
        <v>11510.58</v>
      </c>
      <c r="T30" s="3192">
        <v>340</v>
      </c>
      <c r="U30" s="3192">
        <v>3400</v>
      </c>
      <c r="V30" s="3192">
        <v>0</v>
      </c>
      <c r="W30" s="3192" t="s">
        <v>3199</v>
      </c>
      <c r="X30" s="3192" t="s">
        <v>3194</v>
      </c>
      <c r="Y30" s="3192" t="s">
        <v>3194</v>
      </c>
    </row>
    <row r="31" spans="1:26" s="3201" customFormat="1">
      <c r="A31" s="3201" t="s">
        <v>3320</v>
      </c>
      <c r="B31" s="3201" t="s">
        <v>3185</v>
      </c>
      <c r="C31" s="3201" t="s">
        <v>3321</v>
      </c>
      <c r="D31" s="3201" t="s">
        <v>3187</v>
      </c>
      <c r="E31" s="3201" t="s">
        <v>3322</v>
      </c>
      <c r="F31" s="3201" t="s">
        <v>3189</v>
      </c>
      <c r="G31" s="3201">
        <v>76627.8</v>
      </c>
      <c r="H31" s="3201">
        <v>191569.5</v>
      </c>
      <c r="I31" s="3201" t="s">
        <v>3190</v>
      </c>
      <c r="J31" s="3201" t="s">
        <v>3191</v>
      </c>
      <c r="K31" s="3201" t="s">
        <v>3192</v>
      </c>
      <c r="L31" s="3201" t="s">
        <v>3193</v>
      </c>
      <c r="M31" s="3201" t="s">
        <v>3194</v>
      </c>
      <c r="N31" s="3201" t="s">
        <v>3195</v>
      </c>
      <c r="O31" s="3202">
        <v>44509.000497685185</v>
      </c>
      <c r="P31" s="3201" t="s">
        <v>3196</v>
      </c>
      <c r="Q31" s="3201" t="s">
        <v>3197</v>
      </c>
      <c r="R31" s="3201" t="s">
        <v>3195</v>
      </c>
      <c r="S31" s="3201">
        <v>57470.85</v>
      </c>
      <c r="T31" s="3201">
        <v>500</v>
      </c>
      <c r="U31" s="3201">
        <v>3000</v>
      </c>
      <c r="V31" s="3201">
        <v>0</v>
      </c>
      <c r="W31" s="3201" t="s">
        <v>3199</v>
      </c>
      <c r="X31" s="3201" t="s">
        <v>3194</v>
      </c>
      <c r="Y31" s="3201" t="s">
        <v>3194</v>
      </c>
    </row>
    <row r="32" spans="1:26" s="3213" customFormat="1">
      <c r="A32" s="3213" t="s">
        <v>3323</v>
      </c>
      <c r="B32" s="3213" t="s">
        <v>3185</v>
      </c>
      <c r="C32" s="3213" t="s">
        <v>3324</v>
      </c>
      <c r="D32" s="3213" t="s">
        <v>3187</v>
      </c>
      <c r="E32" s="3213" t="s">
        <v>3325</v>
      </c>
      <c r="F32" s="3213" t="s">
        <v>3189</v>
      </c>
      <c r="G32" s="3213">
        <v>37029.300000000003</v>
      </c>
      <c r="H32" s="3213">
        <v>81464.460000000006</v>
      </c>
      <c r="I32" s="3213" t="s">
        <v>3231</v>
      </c>
      <c r="J32" s="3213" t="s">
        <v>3241</v>
      </c>
      <c r="K32" s="3213" t="s">
        <v>3192</v>
      </c>
      <c r="L32" s="3213" t="s">
        <v>3193</v>
      </c>
      <c r="M32" s="3213">
        <v>10</v>
      </c>
      <c r="N32" s="3213" t="s">
        <v>3195</v>
      </c>
      <c r="O32" s="3214">
        <v>44421.000497685185</v>
      </c>
      <c r="P32" s="3213" t="s">
        <v>3196</v>
      </c>
      <c r="Q32" s="3213" t="s">
        <v>3316</v>
      </c>
      <c r="R32" s="3213" t="s">
        <v>3326</v>
      </c>
      <c r="S32" s="3213">
        <v>27771.98</v>
      </c>
      <c r="T32" s="3213">
        <v>500</v>
      </c>
      <c r="U32" s="3213">
        <v>3409</v>
      </c>
      <c r="V32" s="3213">
        <v>0</v>
      </c>
      <c r="W32" s="3213" t="s">
        <v>3199</v>
      </c>
      <c r="X32" s="3213" t="s">
        <v>3194</v>
      </c>
      <c r="Y32" s="3213" t="s">
        <v>3194</v>
      </c>
      <c r="Z32" s="3213" t="s">
        <v>3775</v>
      </c>
    </row>
    <row r="33" spans="1:25" s="3201" customFormat="1">
      <c r="A33" s="3201" t="s">
        <v>3327</v>
      </c>
      <c r="B33" s="3201" t="s">
        <v>3185</v>
      </c>
      <c r="C33" s="3201" t="s">
        <v>3328</v>
      </c>
      <c r="D33" s="3201" t="s">
        <v>3187</v>
      </c>
      <c r="E33" s="3201" t="s">
        <v>3329</v>
      </c>
      <c r="F33" s="3201" t="s">
        <v>3309</v>
      </c>
      <c r="G33" s="3201">
        <v>80524.7</v>
      </c>
      <c r="H33" s="3201">
        <v>201311.75</v>
      </c>
      <c r="I33" s="3201" t="s">
        <v>3330</v>
      </c>
      <c r="J33" s="3201" t="s">
        <v>3191</v>
      </c>
      <c r="K33" s="3201" t="s">
        <v>3331</v>
      </c>
      <c r="L33" s="3201" t="s">
        <v>3193</v>
      </c>
      <c r="M33" s="3201">
        <v>5</v>
      </c>
      <c r="N33" s="3201" t="s">
        <v>3195</v>
      </c>
      <c r="O33" s="3202">
        <v>44375.000497685185</v>
      </c>
      <c r="P33" s="3201" t="s">
        <v>3196</v>
      </c>
      <c r="Q33" s="3201" t="s">
        <v>3197</v>
      </c>
      <c r="R33" s="3201" t="s">
        <v>3332</v>
      </c>
      <c r="S33" s="3201">
        <v>60393.53</v>
      </c>
      <c r="T33" s="3201">
        <v>500</v>
      </c>
      <c r="U33" s="3201">
        <v>3000</v>
      </c>
      <c r="V33" s="3201">
        <v>0</v>
      </c>
      <c r="W33" s="3201" t="s">
        <v>3333</v>
      </c>
      <c r="X33" s="3201" t="s">
        <v>3194</v>
      </c>
      <c r="Y33" s="3201" t="s">
        <v>3194</v>
      </c>
    </row>
    <row r="34" spans="1:25">
      <c r="A34" s="3192" t="s">
        <v>3334</v>
      </c>
      <c r="B34" s="3192" t="s">
        <v>3185</v>
      </c>
      <c r="C34" s="3192" t="s">
        <v>3335</v>
      </c>
      <c r="D34" s="3192" t="s">
        <v>3187</v>
      </c>
      <c r="E34" s="3192" t="s">
        <v>3336</v>
      </c>
      <c r="F34" s="3192" t="s">
        <v>3309</v>
      </c>
      <c r="G34" s="3192">
        <v>12657.5</v>
      </c>
      <c r="H34" s="3192">
        <v>31643.75</v>
      </c>
      <c r="I34" s="3192" t="s">
        <v>3330</v>
      </c>
      <c r="J34" s="3192" t="s">
        <v>3191</v>
      </c>
      <c r="K34" s="3192" t="s">
        <v>3331</v>
      </c>
      <c r="L34" s="3192" t="s">
        <v>3193</v>
      </c>
      <c r="M34" s="3192">
        <v>10</v>
      </c>
      <c r="N34" s="3192" t="s">
        <v>3195</v>
      </c>
      <c r="O34" s="3193">
        <v>44349.000497685185</v>
      </c>
      <c r="P34" s="3192" t="s">
        <v>3196</v>
      </c>
      <c r="Q34" s="3192" t="s">
        <v>3337</v>
      </c>
      <c r="R34" s="3192" t="s">
        <v>3195</v>
      </c>
      <c r="S34" s="3192">
        <v>9493.1299999999992</v>
      </c>
      <c r="T34" s="3192">
        <v>500</v>
      </c>
      <c r="U34" s="3192">
        <v>3000</v>
      </c>
      <c r="V34" s="3192">
        <v>0</v>
      </c>
      <c r="W34" s="3192" t="s">
        <v>3338</v>
      </c>
      <c r="X34" s="3192" t="s">
        <v>3194</v>
      </c>
      <c r="Y34" s="3192" t="s">
        <v>3194</v>
      </c>
    </row>
    <row r="35" spans="1:25">
      <c r="A35" s="3192" t="s">
        <v>3339</v>
      </c>
      <c r="B35" s="3192" t="s">
        <v>3185</v>
      </c>
      <c r="C35" s="3192" t="s">
        <v>3340</v>
      </c>
      <c r="D35" s="3192" t="s">
        <v>3187</v>
      </c>
      <c r="E35" s="3192" t="s">
        <v>3341</v>
      </c>
      <c r="F35" s="3192" t="s">
        <v>3309</v>
      </c>
      <c r="G35" s="3192">
        <v>32398.400000000001</v>
      </c>
      <c r="H35" s="3192">
        <v>71276.479999999996</v>
      </c>
      <c r="I35" s="3192" t="s">
        <v>3310</v>
      </c>
      <c r="J35" s="3192" t="s">
        <v>3191</v>
      </c>
      <c r="K35" s="3192" t="s">
        <v>3331</v>
      </c>
      <c r="L35" s="3192" t="s">
        <v>3193</v>
      </c>
      <c r="M35" s="3192">
        <v>5</v>
      </c>
      <c r="N35" s="3192" t="s">
        <v>3195</v>
      </c>
      <c r="O35" s="3193">
        <v>44349.000497685185</v>
      </c>
      <c r="P35" s="3192" t="s">
        <v>3196</v>
      </c>
      <c r="Q35" s="3192" t="s">
        <v>3342</v>
      </c>
      <c r="R35" s="3192" t="s">
        <v>3343</v>
      </c>
      <c r="S35" s="3192">
        <v>24298.799999999999</v>
      </c>
      <c r="T35" s="3192">
        <v>500</v>
      </c>
      <c r="U35" s="3192">
        <v>3409</v>
      </c>
      <c r="V35" s="3192">
        <v>0</v>
      </c>
      <c r="W35" s="3192" t="s">
        <v>3338</v>
      </c>
      <c r="X35" s="3192" t="s">
        <v>3194</v>
      </c>
      <c r="Y35" s="3192" t="s">
        <v>3194</v>
      </c>
    </row>
    <row r="36" spans="1:25">
      <c r="A36" s="3192" t="s">
        <v>3344</v>
      </c>
      <c r="B36" s="3192" t="s">
        <v>3185</v>
      </c>
      <c r="C36" s="3192" t="s">
        <v>3345</v>
      </c>
      <c r="D36" s="3192" t="s">
        <v>3187</v>
      </c>
      <c r="E36" s="3192" t="s">
        <v>3346</v>
      </c>
      <c r="F36" s="3192" t="s">
        <v>3189</v>
      </c>
      <c r="G36" s="3192">
        <v>25473.1</v>
      </c>
      <c r="H36" s="3192">
        <v>73871.990000000005</v>
      </c>
      <c r="I36" s="3192" t="s">
        <v>3347</v>
      </c>
      <c r="J36" s="3192" t="s">
        <v>3191</v>
      </c>
      <c r="K36" s="3192" t="s">
        <v>3192</v>
      </c>
      <c r="L36" s="3192" t="s">
        <v>3193</v>
      </c>
      <c r="M36" s="3192">
        <v>45</v>
      </c>
      <c r="N36" s="3192" t="s">
        <v>3195</v>
      </c>
      <c r="O36" s="3193">
        <v>44198.000497685185</v>
      </c>
      <c r="P36" s="3192" t="s">
        <v>3196</v>
      </c>
      <c r="Q36" s="3192" t="s">
        <v>3348</v>
      </c>
      <c r="R36" s="3192" t="s">
        <v>3349</v>
      </c>
      <c r="S36" s="3192">
        <v>19104.830000000002</v>
      </c>
      <c r="T36" s="3192">
        <v>500</v>
      </c>
      <c r="U36" s="3192">
        <v>2586</v>
      </c>
      <c r="V36" s="3192">
        <v>0</v>
      </c>
      <c r="W36" s="3192" t="s">
        <v>3199</v>
      </c>
      <c r="X36" s="3192" t="s">
        <v>3194</v>
      </c>
      <c r="Y36" s="3192" t="s">
        <v>3194</v>
      </c>
    </row>
    <row r="37" spans="1:25">
      <c r="A37" s="3192" t="s">
        <v>3350</v>
      </c>
      <c r="B37" s="3192" t="s">
        <v>3185</v>
      </c>
      <c r="C37" s="3192" t="s">
        <v>3351</v>
      </c>
      <c r="D37" s="3192" t="s">
        <v>3187</v>
      </c>
      <c r="E37" s="3192" t="s">
        <v>3352</v>
      </c>
      <c r="F37" s="3192" t="s">
        <v>3189</v>
      </c>
      <c r="G37" s="3192">
        <v>64211.8</v>
      </c>
      <c r="H37" s="3192">
        <v>160529.5</v>
      </c>
      <c r="I37" s="3192" t="s">
        <v>3190</v>
      </c>
      <c r="J37" s="3192" t="s">
        <v>3191</v>
      </c>
      <c r="K37" s="3192" t="s">
        <v>3192</v>
      </c>
      <c r="L37" s="3192" t="s">
        <v>3193</v>
      </c>
      <c r="M37" s="3192">
        <v>25</v>
      </c>
      <c r="N37" s="3192" t="s">
        <v>3195</v>
      </c>
      <c r="O37" s="3193">
        <v>44195.000497685185</v>
      </c>
      <c r="P37" s="3192" t="s">
        <v>3196</v>
      </c>
      <c r="Q37" s="3192" t="s">
        <v>3353</v>
      </c>
      <c r="R37" s="3192" t="s">
        <v>3354</v>
      </c>
      <c r="S37" s="3192">
        <v>48158.85</v>
      </c>
      <c r="T37" s="3192">
        <v>500</v>
      </c>
      <c r="U37" s="3192">
        <v>3000</v>
      </c>
      <c r="V37" s="3192">
        <v>0</v>
      </c>
      <c r="W37" s="3192" t="s">
        <v>3199</v>
      </c>
      <c r="X37" s="3192" t="s">
        <v>3194</v>
      </c>
      <c r="Y37" s="3192" t="s">
        <v>3194</v>
      </c>
    </row>
    <row r="38" spans="1:25">
      <c r="A38" s="3192" t="s">
        <v>3355</v>
      </c>
      <c r="B38" s="3192" t="s">
        <v>3185</v>
      </c>
      <c r="C38" s="3192" t="s">
        <v>3356</v>
      </c>
      <c r="D38" s="3192" t="s">
        <v>3187</v>
      </c>
      <c r="E38" s="3192" t="s">
        <v>3357</v>
      </c>
      <c r="F38" s="3192" t="s">
        <v>3189</v>
      </c>
      <c r="G38" s="3192">
        <v>26674.5</v>
      </c>
      <c r="H38" s="3192">
        <v>66686.25</v>
      </c>
      <c r="I38" s="3192" t="s">
        <v>3190</v>
      </c>
      <c r="J38" s="3192" t="s">
        <v>3241</v>
      </c>
      <c r="K38" s="3192" t="s">
        <v>3192</v>
      </c>
      <c r="L38" s="3192" t="s">
        <v>3193</v>
      </c>
      <c r="M38" s="3192">
        <v>10</v>
      </c>
      <c r="N38" s="3192" t="s">
        <v>3195</v>
      </c>
      <c r="O38" s="3193">
        <v>44190.000497685185</v>
      </c>
      <c r="P38" s="3192" t="s">
        <v>3196</v>
      </c>
      <c r="Q38" s="3192" t="s">
        <v>3232</v>
      </c>
      <c r="R38" s="3192" t="s">
        <v>3233</v>
      </c>
      <c r="S38" s="3192">
        <v>20005.88</v>
      </c>
      <c r="T38" s="3192">
        <v>500</v>
      </c>
      <c r="U38" s="3192">
        <v>3000</v>
      </c>
      <c r="V38" s="3192">
        <v>0</v>
      </c>
      <c r="W38" s="3192" t="s">
        <v>3199</v>
      </c>
      <c r="X38" s="3192" t="s">
        <v>3194</v>
      </c>
      <c r="Y38" s="3192" t="s">
        <v>3194</v>
      </c>
    </row>
    <row r="39" spans="1:25">
      <c r="A39" s="3192" t="s">
        <v>3358</v>
      </c>
      <c r="B39" s="3192" t="s">
        <v>3185</v>
      </c>
      <c r="C39" s="3192" t="s">
        <v>3359</v>
      </c>
      <c r="D39" s="3192" t="s">
        <v>3187</v>
      </c>
      <c r="E39" s="3192" t="s">
        <v>3360</v>
      </c>
      <c r="F39" s="3192" t="s">
        <v>3189</v>
      </c>
      <c r="G39" s="3192">
        <v>57195</v>
      </c>
      <c r="H39" s="3192">
        <v>57195</v>
      </c>
      <c r="I39" s="3192" t="s">
        <v>3361</v>
      </c>
      <c r="J39" s="3192" t="s">
        <v>3241</v>
      </c>
      <c r="K39" s="3192" t="s">
        <v>3192</v>
      </c>
      <c r="L39" s="3192" t="s">
        <v>3193</v>
      </c>
      <c r="M39" s="3192">
        <v>20</v>
      </c>
      <c r="N39" s="3192" t="s">
        <v>3195</v>
      </c>
      <c r="O39" s="3193">
        <v>44190.000497685185</v>
      </c>
      <c r="P39" s="3192" t="s">
        <v>3196</v>
      </c>
      <c r="Q39" s="3192" t="s">
        <v>3362</v>
      </c>
      <c r="R39" s="3192" t="s">
        <v>3363</v>
      </c>
      <c r="S39" s="3192">
        <v>41180.400000000001</v>
      </c>
      <c r="T39" s="3192">
        <v>480</v>
      </c>
      <c r="U39" s="3192">
        <v>7200</v>
      </c>
      <c r="V39" s="3192">
        <v>0</v>
      </c>
      <c r="W39" s="3192" t="s">
        <v>3199</v>
      </c>
      <c r="X39" s="3192" t="s">
        <v>3194</v>
      </c>
      <c r="Y39" s="3192" t="s">
        <v>3194</v>
      </c>
    </row>
    <row r="40" spans="1:25">
      <c r="A40" s="3192" t="s">
        <v>3364</v>
      </c>
      <c r="B40" s="3192" t="s">
        <v>3185</v>
      </c>
      <c r="C40" s="3192" t="s">
        <v>3365</v>
      </c>
      <c r="D40" s="3192" t="s">
        <v>3187</v>
      </c>
      <c r="E40" s="3192" t="s">
        <v>3366</v>
      </c>
      <c r="F40" s="3192" t="s">
        <v>3189</v>
      </c>
      <c r="G40" s="3192">
        <v>15085</v>
      </c>
      <c r="H40" s="3192">
        <v>15085</v>
      </c>
      <c r="I40" s="3192" t="s">
        <v>3361</v>
      </c>
      <c r="J40" s="3192" t="s">
        <v>3241</v>
      </c>
      <c r="K40" s="3192" t="s">
        <v>3192</v>
      </c>
      <c r="L40" s="3192" t="s">
        <v>3193</v>
      </c>
      <c r="M40" s="3192">
        <v>20</v>
      </c>
      <c r="N40" s="3192" t="s">
        <v>3195</v>
      </c>
      <c r="O40" s="3193">
        <v>44190.000497685185</v>
      </c>
      <c r="P40" s="3192" t="s">
        <v>3196</v>
      </c>
      <c r="Q40" s="3192" t="s">
        <v>3367</v>
      </c>
      <c r="R40" s="3192" t="s">
        <v>3368</v>
      </c>
      <c r="S40" s="3192">
        <v>10861.2</v>
      </c>
      <c r="T40" s="3192">
        <v>480</v>
      </c>
      <c r="U40" s="3192">
        <v>7200</v>
      </c>
      <c r="V40" s="3192">
        <v>0</v>
      </c>
      <c r="W40" s="3192" t="s">
        <v>3199</v>
      </c>
      <c r="X40" s="3192" t="s">
        <v>3194</v>
      </c>
      <c r="Y40" s="3192" t="s">
        <v>3194</v>
      </c>
    </row>
    <row r="41" spans="1:25">
      <c r="A41" s="3192" t="s">
        <v>3369</v>
      </c>
      <c r="B41" s="3192" t="s">
        <v>3185</v>
      </c>
      <c r="C41" s="3192" t="s">
        <v>3370</v>
      </c>
      <c r="D41" s="3192" t="s">
        <v>3187</v>
      </c>
      <c r="E41" s="3192" t="s">
        <v>3371</v>
      </c>
      <c r="F41" s="3192" t="s">
        <v>3189</v>
      </c>
      <c r="G41" s="3192">
        <v>50453.3</v>
      </c>
      <c r="H41" s="3192">
        <v>126133.25</v>
      </c>
      <c r="I41" s="3192" t="s">
        <v>3190</v>
      </c>
      <c r="J41" s="3192" t="s">
        <v>3241</v>
      </c>
      <c r="K41" s="3192" t="s">
        <v>3192</v>
      </c>
      <c r="L41" s="3192" t="s">
        <v>3193</v>
      </c>
      <c r="M41" s="3192">
        <v>10</v>
      </c>
      <c r="N41" s="3192" t="s">
        <v>3195</v>
      </c>
      <c r="O41" s="3193">
        <v>44190.000497685185</v>
      </c>
      <c r="P41" s="3192" t="s">
        <v>3196</v>
      </c>
      <c r="Q41" s="3192" t="s">
        <v>3316</v>
      </c>
      <c r="R41" s="3192" t="s">
        <v>3195</v>
      </c>
      <c r="S41" s="3192">
        <v>37839.980000000003</v>
      </c>
      <c r="T41" s="3192">
        <v>500</v>
      </c>
      <c r="U41" s="3192">
        <v>3000</v>
      </c>
      <c r="V41" s="3192">
        <v>0</v>
      </c>
      <c r="W41" s="3192" t="s">
        <v>3199</v>
      </c>
      <c r="X41" s="3192" t="s">
        <v>3194</v>
      </c>
      <c r="Y41" s="3192" t="s">
        <v>3194</v>
      </c>
    </row>
    <row r="42" spans="1:25">
      <c r="A42" s="3192" t="s">
        <v>3372</v>
      </c>
      <c r="B42" s="3192" t="s">
        <v>3185</v>
      </c>
      <c r="C42" s="3192" t="s">
        <v>3373</v>
      </c>
      <c r="D42" s="3192" t="s">
        <v>3187</v>
      </c>
      <c r="E42" s="3192" t="s">
        <v>3374</v>
      </c>
      <c r="F42" s="3192" t="s">
        <v>3189</v>
      </c>
      <c r="G42" s="3192">
        <v>65435</v>
      </c>
      <c r="H42" s="3192">
        <v>143957</v>
      </c>
      <c r="I42" s="3192" t="s">
        <v>3231</v>
      </c>
      <c r="J42" s="3192" t="s">
        <v>3241</v>
      </c>
      <c r="K42" s="3192" t="s">
        <v>3192</v>
      </c>
      <c r="L42" s="3192" t="s">
        <v>3193</v>
      </c>
      <c r="M42" s="3192">
        <v>10</v>
      </c>
      <c r="N42" s="3192" t="s">
        <v>3195</v>
      </c>
      <c r="O42" s="3193">
        <v>44190.000497685185</v>
      </c>
      <c r="P42" s="3192" t="s">
        <v>3196</v>
      </c>
      <c r="Q42" s="3192" t="s">
        <v>3375</v>
      </c>
      <c r="R42" s="3192" t="s">
        <v>3376</v>
      </c>
      <c r="S42" s="3192">
        <v>49076.25</v>
      </c>
      <c r="T42" s="3192">
        <v>500</v>
      </c>
      <c r="U42" s="3192">
        <v>3409</v>
      </c>
      <c r="V42" s="3192">
        <v>0</v>
      </c>
      <c r="W42" s="3192" t="s">
        <v>3199</v>
      </c>
      <c r="X42" s="3192" t="s">
        <v>3194</v>
      </c>
      <c r="Y42" s="3192" t="s">
        <v>3194</v>
      </c>
    </row>
    <row r="43" spans="1:25">
      <c r="A43" s="3192" t="s">
        <v>3377</v>
      </c>
      <c r="B43" s="3192" t="s">
        <v>3185</v>
      </c>
      <c r="C43" s="3192" t="s">
        <v>3378</v>
      </c>
      <c r="D43" s="3192" t="s">
        <v>3187</v>
      </c>
      <c r="E43" s="3192" t="s">
        <v>3379</v>
      </c>
      <c r="F43" s="3192" t="s">
        <v>3309</v>
      </c>
      <c r="G43" s="3192">
        <v>46315.6</v>
      </c>
      <c r="H43" s="3192">
        <v>101894.32</v>
      </c>
      <c r="I43" s="3192" t="s">
        <v>3231</v>
      </c>
      <c r="J43" s="3192" t="s">
        <v>3191</v>
      </c>
      <c r="K43" s="3192" t="s">
        <v>3192</v>
      </c>
      <c r="L43" s="3192" t="s">
        <v>3193</v>
      </c>
      <c r="M43" s="3192">
        <v>10</v>
      </c>
      <c r="N43" s="3192" t="s">
        <v>3195</v>
      </c>
      <c r="O43" s="3193">
        <v>44153.000497685185</v>
      </c>
      <c r="P43" s="3192" t="s">
        <v>3196</v>
      </c>
      <c r="Q43" s="3192" t="s">
        <v>3265</v>
      </c>
      <c r="R43" s="3192" t="s">
        <v>3380</v>
      </c>
      <c r="S43" s="3192">
        <v>13894.68</v>
      </c>
      <c r="T43" s="3192">
        <v>200</v>
      </c>
      <c r="U43" s="3192">
        <v>1364</v>
      </c>
      <c r="V43" s="3192">
        <v>0</v>
      </c>
      <c r="W43" s="3192" t="s">
        <v>3381</v>
      </c>
      <c r="X43" s="3192" t="s">
        <v>3194</v>
      </c>
      <c r="Y43" s="3192" t="s">
        <v>3194</v>
      </c>
    </row>
    <row r="44" spans="1:25">
      <c r="A44" s="3192" t="s">
        <v>3382</v>
      </c>
      <c r="B44" s="3192" t="s">
        <v>3185</v>
      </c>
      <c r="C44" s="3192" t="s">
        <v>3383</v>
      </c>
      <c r="D44" s="3192" t="s">
        <v>3187</v>
      </c>
      <c r="E44" s="3192" t="s">
        <v>3384</v>
      </c>
      <c r="F44" s="3192" t="s">
        <v>3309</v>
      </c>
      <c r="G44" s="3192">
        <v>44688.5</v>
      </c>
      <c r="H44" s="3192">
        <v>98314.7</v>
      </c>
      <c r="I44" s="3192" t="s">
        <v>3231</v>
      </c>
      <c r="J44" s="3192" t="s">
        <v>3191</v>
      </c>
      <c r="K44" s="3192" t="s">
        <v>3192</v>
      </c>
      <c r="L44" s="3192" t="s">
        <v>3193</v>
      </c>
      <c r="M44" s="3192">
        <v>10</v>
      </c>
      <c r="N44" s="3192" t="s">
        <v>3195</v>
      </c>
      <c r="O44" s="3193">
        <v>44153.000497685185</v>
      </c>
      <c r="P44" s="3192" t="s">
        <v>3196</v>
      </c>
      <c r="Q44" s="3192" t="s">
        <v>3265</v>
      </c>
      <c r="R44" s="3192" t="s">
        <v>3380</v>
      </c>
      <c r="S44" s="3192">
        <v>13406.55</v>
      </c>
      <c r="T44" s="3192">
        <v>200</v>
      </c>
      <c r="U44" s="3192">
        <v>1364</v>
      </c>
      <c r="V44" s="3192">
        <v>0</v>
      </c>
      <c r="W44" s="3192" t="s">
        <v>3381</v>
      </c>
      <c r="X44" s="3192" t="s">
        <v>3194</v>
      </c>
      <c r="Y44" s="3192" t="s">
        <v>3194</v>
      </c>
    </row>
    <row r="45" spans="1:25">
      <c r="A45" s="3192" t="s">
        <v>3385</v>
      </c>
      <c r="B45" s="3192" t="s">
        <v>3185</v>
      </c>
      <c r="C45" s="3192" t="s">
        <v>3386</v>
      </c>
      <c r="D45" s="3192" t="s">
        <v>3187</v>
      </c>
      <c r="E45" s="3192" t="s">
        <v>3387</v>
      </c>
      <c r="F45" s="3192" t="s">
        <v>3309</v>
      </c>
      <c r="G45" s="3192">
        <v>29091.7</v>
      </c>
      <c r="H45" s="3192">
        <v>72729.25</v>
      </c>
      <c r="I45" s="3192" t="s">
        <v>3190</v>
      </c>
      <c r="J45" s="3192" t="s">
        <v>3191</v>
      </c>
      <c r="K45" s="3192" t="s">
        <v>3192</v>
      </c>
      <c r="L45" s="3192" t="s">
        <v>3193</v>
      </c>
      <c r="M45" s="3192">
        <v>10</v>
      </c>
      <c r="N45" s="3192" t="s">
        <v>3195</v>
      </c>
      <c r="O45" s="3193">
        <v>44153.000497685185</v>
      </c>
      <c r="P45" s="3192" t="s">
        <v>3196</v>
      </c>
      <c r="Q45" s="3192" t="s">
        <v>3388</v>
      </c>
      <c r="R45" s="3192" t="s">
        <v>3195</v>
      </c>
      <c r="S45" s="3192">
        <v>5179.78</v>
      </c>
      <c r="T45" s="3192">
        <v>118.7</v>
      </c>
      <c r="U45" s="3192">
        <v>712</v>
      </c>
      <c r="V45" s="3192">
        <v>0</v>
      </c>
      <c r="W45" s="3192" t="s">
        <v>3381</v>
      </c>
      <c r="X45" s="3192" t="s">
        <v>3194</v>
      </c>
      <c r="Y45" s="3192">
        <v>4490</v>
      </c>
    </row>
    <row r="46" spans="1:25">
      <c r="A46" s="3192" t="s">
        <v>3389</v>
      </c>
      <c r="B46" s="3192" t="s">
        <v>3185</v>
      </c>
      <c r="C46" s="3192" t="s">
        <v>3390</v>
      </c>
      <c r="D46" s="3192" t="s">
        <v>3187</v>
      </c>
      <c r="E46" s="3192" t="s">
        <v>3391</v>
      </c>
      <c r="F46" s="3192" t="s">
        <v>3309</v>
      </c>
      <c r="G46" s="3192">
        <v>15788.3</v>
      </c>
      <c r="H46" s="3192">
        <v>39470.75</v>
      </c>
      <c r="I46" s="3192" t="s">
        <v>3190</v>
      </c>
      <c r="J46" s="3192" t="s">
        <v>3191</v>
      </c>
      <c r="K46" s="3192" t="s">
        <v>3192</v>
      </c>
      <c r="L46" s="3192" t="s">
        <v>3193</v>
      </c>
      <c r="M46" s="3192">
        <v>20</v>
      </c>
      <c r="N46" s="3192" t="s">
        <v>3195</v>
      </c>
      <c r="O46" s="3193">
        <v>44153.000497685185</v>
      </c>
      <c r="P46" s="3192" t="s">
        <v>3196</v>
      </c>
      <c r="Q46" s="3192" t="s">
        <v>3392</v>
      </c>
      <c r="R46" s="3192" t="s">
        <v>3393</v>
      </c>
      <c r="S46" s="3192">
        <v>11841.23</v>
      </c>
      <c r="T46" s="3192">
        <v>500</v>
      </c>
      <c r="U46" s="3192">
        <v>3000</v>
      </c>
      <c r="V46" s="3192">
        <v>0</v>
      </c>
      <c r="W46" s="3192" t="s">
        <v>3381</v>
      </c>
      <c r="X46" s="3192" t="s">
        <v>3194</v>
      </c>
      <c r="Y46" s="3192" t="s">
        <v>3194</v>
      </c>
    </row>
    <row r="47" spans="1:25">
      <c r="A47" s="3192" t="s">
        <v>3394</v>
      </c>
      <c r="B47" s="3192" t="s">
        <v>3185</v>
      </c>
      <c r="C47" s="3192" t="s">
        <v>3395</v>
      </c>
      <c r="D47" s="3192" t="s">
        <v>3187</v>
      </c>
      <c r="E47" s="3192" t="s">
        <v>3396</v>
      </c>
      <c r="F47" s="3192" t="s">
        <v>3309</v>
      </c>
      <c r="G47" s="3192">
        <v>44417.9</v>
      </c>
      <c r="H47" s="3192">
        <v>111044.75</v>
      </c>
      <c r="I47" s="3192" t="s">
        <v>3190</v>
      </c>
      <c r="J47" s="3192" t="s">
        <v>3191</v>
      </c>
      <c r="K47" s="3192" t="s">
        <v>3397</v>
      </c>
      <c r="L47" s="3192" t="s">
        <v>3193</v>
      </c>
      <c r="M47" s="3192">
        <v>15</v>
      </c>
      <c r="N47" s="3192" t="s">
        <v>3195</v>
      </c>
      <c r="O47" s="3193">
        <v>43999.000497685185</v>
      </c>
      <c r="P47" s="3192" t="s">
        <v>3196</v>
      </c>
      <c r="Q47" s="3192" t="s">
        <v>3398</v>
      </c>
      <c r="R47" s="3192" t="s">
        <v>3399</v>
      </c>
      <c r="S47" s="3192">
        <v>13258.74</v>
      </c>
      <c r="T47" s="3192">
        <v>199</v>
      </c>
      <c r="U47" s="3192">
        <v>1194</v>
      </c>
      <c r="V47" s="3192">
        <v>0</v>
      </c>
      <c r="W47" s="3192" t="s">
        <v>3381</v>
      </c>
      <c r="X47" s="3192" t="s">
        <v>3194</v>
      </c>
      <c r="Y47" s="3192">
        <v>6000</v>
      </c>
    </row>
    <row r="48" spans="1:25">
      <c r="A48" s="3192" t="s">
        <v>3400</v>
      </c>
      <c r="B48" s="3192" t="s">
        <v>3185</v>
      </c>
      <c r="C48" s="3192" t="s">
        <v>3401</v>
      </c>
      <c r="D48" s="3192" t="s">
        <v>3187</v>
      </c>
      <c r="E48" s="3192" t="s">
        <v>3402</v>
      </c>
      <c r="F48" s="3192" t="s">
        <v>3309</v>
      </c>
      <c r="G48" s="3192">
        <v>79321.399999999994</v>
      </c>
      <c r="H48" s="3192">
        <v>222099.92</v>
      </c>
      <c r="I48" s="3192" t="s">
        <v>3403</v>
      </c>
      <c r="J48" s="3192" t="s">
        <v>3191</v>
      </c>
      <c r="K48" s="3192" t="s">
        <v>3397</v>
      </c>
      <c r="L48" s="3192" t="s">
        <v>3193</v>
      </c>
      <c r="M48" s="3192">
        <v>10</v>
      </c>
      <c r="N48" s="3192" t="s">
        <v>3195</v>
      </c>
      <c r="O48" s="3193">
        <v>43999.000497685185</v>
      </c>
      <c r="P48" s="3192" t="s">
        <v>3196</v>
      </c>
      <c r="Q48" s="3192" t="s">
        <v>3404</v>
      </c>
      <c r="R48" s="3192" t="s">
        <v>3405</v>
      </c>
      <c r="S48" s="3192">
        <v>18680.189999999999</v>
      </c>
      <c r="T48" s="3192">
        <v>157</v>
      </c>
      <c r="U48" s="3192">
        <v>841</v>
      </c>
      <c r="V48" s="3192">
        <v>0</v>
      </c>
      <c r="W48" s="3192" t="s">
        <v>3381</v>
      </c>
      <c r="X48" s="3192" t="s">
        <v>3194</v>
      </c>
      <c r="Y48" s="3192" t="s">
        <v>3194</v>
      </c>
    </row>
    <row r="49" spans="1:26" s="3203" customFormat="1">
      <c r="A49" s="3203" t="s">
        <v>3406</v>
      </c>
      <c r="B49" s="3203" t="s">
        <v>3185</v>
      </c>
      <c r="C49" s="3203" t="s">
        <v>3407</v>
      </c>
      <c r="D49" s="3203" t="s">
        <v>3187</v>
      </c>
      <c r="E49" s="3203" t="s">
        <v>3408</v>
      </c>
      <c r="F49" s="3203" t="s">
        <v>3309</v>
      </c>
      <c r="G49" s="3203">
        <v>23916.9</v>
      </c>
      <c r="H49" s="3203">
        <v>59792.25</v>
      </c>
      <c r="I49" s="3203" t="s">
        <v>3190</v>
      </c>
      <c r="J49" s="3203" t="s">
        <v>3191</v>
      </c>
      <c r="K49" s="3203" t="s">
        <v>3397</v>
      </c>
      <c r="L49" s="3203" t="s">
        <v>3193</v>
      </c>
      <c r="M49" s="3203">
        <v>15</v>
      </c>
      <c r="N49" s="3203" t="s">
        <v>3195</v>
      </c>
      <c r="O49" s="3204">
        <v>43999.000497685185</v>
      </c>
      <c r="P49" s="3203" t="s">
        <v>3196</v>
      </c>
      <c r="Q49" s="3203" t="s">
        <v>3398</v>
      </c>
      <c r="R49" s="3203" t="s">
        <v>3195</v>
      </c>
      <c r="S49" s="3203">
        <v>8466.58</v>
      </c>
      <c r="T49" s="3203">
        <v>236</v>
      </c>
      <c r="U49" s="3203">
        <v>1416</v>
      </c>
      <c r="V49" s="3203">
        <v>0</v>
      </c>
      <c r="W49" s="3203" t="s">
        <v>3381</v>
      </c>
      <c r="X49" s="3203" t="s">
        <v>3194</v>
      </c>
      <c r="Y49" s="3203">
        <v>6000</v>
      </c>
    </row>
    <row r="50" spans="1:26">
      <c r="A50" s="3192" t="s">
        <v>3409</v>
      </c>
      <c r="B50" s="3192" t="s">
        <v>3185</v>
      </c>
      <c r="C50" s="3192" t="s">
        <v>3410</v>
      </c>
      <c r="D50" s="3192" t="s">
        <v>3187</v>
      </c>
      <c r="E50" s="3192" t="s">
        <v>3411</v>
      </c>
      <c r="F50" s="3192" t="s">
        <v>3309</v>
      </c>
      <c r="G50" s="3192">
        <v>43750.6</v>
      </c>
      <c r="H50" s="3192">
        <v>122501.68</v>
      </c>
      <c r="I50" s="3192" t="s">
        <v>3403</v>
      </c>
      <c r="J50" s="3192" t="s">
        <v>3191</v>
      </c>
      <c r="K50" s="3192" t="s">
        <v>3412</v>
      </c>
      <c r="L50" s="3192" t="s">
        <v>3193</v>
      </c>
      <c r="M50" s="3192">
        <v>8</v>
      </c>
      <c r="N50" s="3192" t="s">
        <v>3195</v>
      </c>
      <c r="O50" s="3193">
        <v>44000.000497685185</v>
      </c>
      <c r="P50" s="3192" t="s">
        <v>3196</v>
      </c>
      <c r="Q50" s="3192" t="s">
        <v>3413</v>
      </c>
      <c r="R50" s="3192" t="s">
        <v>3204</v>
      </c>
      <c r="S50" s="3192">
        <v>32812.949999999997</v>
      </c>
      <c r="T50" s="3192">
        <v>500</v>
      </c>
      <c r="U50" s="3192">
        <v>2679</v>
      </c>
      <c r="V50" s="3192">
        <v>0</v>
      </c>
      <c r="W50" s="3192" t="s">
        <v>3381</v>
      </c>
      <c r="X50" s="3192" t="s">
        <v>3194</v>
      </c>
      <c r="Y50" s="3192" t="s">
        <v>3194</v>
      </c>
    </row>
    <row r="51" spans="1:26" s="3213" customFormat="1">
      <c r="A51" s="3213" t="s">
        <v>3414</v>
      </c>
      <c r="B51" s="3213" t="s">
        <v>3185</v>
      </c>
      <c r="C51" s="3213" t="s">
        <v>3415</v>
      </c>
      <c r="D51" s="3213" t="s">
        <v>3187</v>
      </c>
      <c r="E51" s="3213" t="s">
        <v>3416</v>
      </c>
      <c r="F51" s="3213" t="s">
        <v>3309</v>
      </c>
      <c r="G51" s="3213">
        <v>46996.5</v>
      </c>
      <c r="H51" s="3213">
        <v>117491.25</v>
      </c>
      <c r="I51" s="3213" t="s">
        <v>3190</v>
      </c>
      <c r="J51" s="3213" t="s">
        <v>3191</v>
      </c>
      <c r="K51" s="3213" t="s">
        <v>3412</v>
      </c>
      <c r="L51" s="3213" t="s">
        <v>3193</v>
      </c>
      <c r="M51" s="3213">
        <v>10</v>
      </c>
      <c r="N51" s="3213" t="s">
        <v>3195</v>
      </c>
      <c r="O51" s="3214">
        <v>44000.000497685185</v>
      </c>
      <c r="P51" s="3213" t="s">
        <v>3196</v>
      </c>
      <c r="Q51" s="3213" t="s">
        <v>3316</v>
      </c>
      <c r="R51" s="3213" t="s">
        <v>3326</v>
      </c>
      <c r="S51" s="3213">
        <v>35247.379999999997</v>
      </c>
      <c r="T51" s="3213">
        <v>500</v>
      </c>
      <c r="U51" s="3213">
        <v>3000</v>
      </c>
      <c r="V51" s="3213">
        <v>0</v>
      </c>
      <c r="W51" s="3213" t="s">
        <v>3381</v>
      </c>
      <c r="X51" s="3213" t="s">
        <v>3194</v>
      </c>
      <c r="Y51" s="3213" t="s">
        <v>3194</v>
      </c>
      <c r="Z51" s="3213" t="s">
        <v>3775</v>
      </c>
    </row>
    <row r="52" spans="1:26">
      <c r="A52" s="3192" t="s">
        <v>3417</v>
      </c>
      <c r="B52" s="3192" t="s">
        <v>3185</v>
      </c>
      <c r="C52" s="3192" t="s">
        <v>3418</v>
      </c>
      <c r="D52" s="3192" t="s">
        <v>3187</v>
      </c>
      <c r="E52" s="3192" t="s">
        <v>3419</v>
      </c>
      <c r="F52" s="3192" t="s">
        <v>3309</v>
      </c>
      <c r="G52" s="3192">
        <v>18101.2</v>
      </c>
      <c r="H52" s="3192">
        <v>45253</v>
      </c>
      <c r="I52" s="3192" t="s">
        <v>3190</v>
      </c>
      <c r="J52" s="3192" t="s">
        <v>3191</v>
      </c>
      <c r="K52" s="3192" t="s">
        <v>3412</v>
      </c>
      <c r="L52" s="3192" t="s">
        <v>3193</v>
      </c>
      <c r="M52" s="3192">
        <v>40</v>
      </c>
      <c r="N52" s="3192" t="s">
        <v>3195</v>
      </c>
      <c r="O52" s="3193">
        <v>44000.000497685185</v>
      </c>
      <c r="P52" s="3192" t="s">
        <v>3196</v>
      </c>
      <c r="Q52" s="3192" t="s">
        <v>3337</v>
      </c>
      <c r="R52" s="3192" t="s">
        <v>3420</v>
      </c>
      <c r="S52" s="3192">
        <v>13575.9</v>
      </c>
      <c r="T52" s="3192">
        <v>500</v>
      </c>
      <c r="U52" s="3192">
        <v>3000</v>
      </c>
      <c r="V52" s="3192">
        <v>0</v>
      </c>
      <c r="W52" s="3192" t="s">
        <v>3381</v>
      </c>
      <c r="X52" s="3192" t="s">
        <v>3194</v>
      </c>
      <c r="Y52" s="3192" t="s">
        <v>3194</v>
      </c>
    </row>
    <row r="53" spans="1:26">
      <c r="A53" s="3192" t="s">
        <v>3421</v>
      </c>
      <c r="B53" s="3192" t="s">
        <v>3185</v>
      </c>
      <c r="C53" s="3192" t="s">
        <v>3422</v>
      </c>
      <c r="D53" s="3192" t="s">
        <v>3187</v>
      </c>
      <c r="E53" s="3192" t="s">
        <v>3423</v>
      </c>
      <c r="F53" s="3192" t="s">
        <v>3309</v>
      </c>
      <c r="G53" s="3192">
        <v>48416.4</v>
      </c>
      <c r="H53" s="3192">
        <v>106516.08</v>
      </c>
      <c r="I53" s="3192" t="s">
        <v>3231</v>
      </c>
      <c r="J53" s="3192" t="s">
        <v>3191</v>
      </c>
      <c r="K53" s="3192" t="s">
        <v>3412</v>
      </c>
      <c r="L53" s="3192" t="s">
        <v>3193</v>
      </c>
      <c r="M53" s="3192">
        <v>20</v>
      </c>
      <c r="N53" s="3192" t="s">
        <v>3195</v>
      </c>
      <c r="O53" s="3193">
        <v>44000.000497685185</v>
      </c>
      <c r="P53" s="3192" t="s">
        <v>3196</v>
      </c>
      <c r="Q53" s="3192" t="s">
        <v>3424</v>
      </c>
      <c r="R53" s="3192" t="s">
        <v>3425</v>
      </c>
      <c r="S53" s="3192">
        <v>39943.53</v>
      </c>
      <c r="T53" s="3192">
        <v>550</v>
      </c>
      <c r="U53" s="3192">
        <v>3750</v>
      </c>
      <c r="V53" s="3192">
        <v>0</v>
      </c>
      <c r="W53" s="3192" t="s">
        <v>3381</v>
      </c>
      <c r="X53" s="3192" t="s">
        <v>3194</v>
      </c>
      <c r="Y53" s="3192" t="s">
        <v>3194</v>
      </c>
    </row>
    <row r="54" spans="1:26">
      <c r="A54" s="3192" t="s">
        <v>3426</v>
      </c>
      <c r="B54" s="3192" t="s">
        <v>3185</v>
      </c>
      <c r="C54" s="3192" t="s">
        <v>3427</v>
      </c>
      <c r="D54" s="3192" t="s">
        <v>3187</v>
      </c>
      <c r="E54" s="3192" t="s">
        <v>3428</v>
      </c>
      <c r="F54" s="3192" t="s">
        <v>3309</v>
      </c>
      <c r="G54" s="3192">
        <v>67878.3</v>
      </c>
      <c r="H54" s="3192">
        <v>108605.28</v>
      </c>
      <c r="I54" s="3192" t="s">
        <v>3305</v>
      </c>
      <c r="J54" s="3192" t="s">
        <v>3429</v>
      </c>
      <c r="K54" s="3192" t="s">
        <v>3397</v>
      </c>
      <c r="L54" s="3192" t="s">
        <v>3193</v>
      </c>
      <c r="M54" s="3192">
        <v>10</v>
      </c>
      <c r="N54" s="3192" t="s">
        <v>3195</v>
      </c>
      <c r="O54" s="3193">
        <v>43895.000497685185</v>
      </c>
      <c r="P54" s="3192" t="s">
        <v>3196</v>
      </c>
      <c r="Q54" s="3192" t="s">
        <v>3430</v>
      </c>
      <c r="R54" s="3192" t="s">
        <v>3431</v>
      </c>
      <c r="S54" s="3192">
        <v>54376.73</v>
      </c>
      <c r="T54" s="3192">
        <v>534.05999999999995</v>
      </c>
      <c r="U54" s="3192">
        <v>5007</v>
      </c>
      <c r="V54" s="3192">
        <v>6.81</v>
      </c>
      <c r="W54" s="3192" t="s">
        <v>3381</v>
      </c>
      <c r="X54" s="3192" t="s">
        <v>3194</v>
      </c>
      <c r="Y54" s="3192" t="s">
        <v>3194</v>
      </c>
    </row>
    <row r="55" spans="1:26">
      <c r="A55" s="3192" t="s">
        <v>3432</v>
      </c>
      <c r="B55" s="3192" t="s">
        <v>3185</v>
      </c>
      <c r="C55" s="3192" t="s">
        <v>3433</v>
      </c>
      <c r="D55" s="3192" t="s">
        <v>3187</v>
      </c>
      <c r="E55" s="3192" t="s">
        <v>3434</v>
      </c>
      <c r="F55" s="3192" t="s">
        <v>3189</v>
      </c>
      <c r="G55" s="3192">
        <v>102179.53</v>
      </c>
      <c r="H55" s="3192">
        <v>275884.73</v>
      </c>
      <c r="I55" s="3192" t="s">
        <v>3299</v>
      </c>
      <c r="J55" s="3192" t="s">
        <v>3191</v>
      </c>
      <c r="K55" s="3192" t="s">
        <v>3435</v>
      </c>
      <c r="L55" s="3192" t="s">
        <v>3193</v>
      </c>
      <c r="M55" s="3192" t="s">
        <v>3194</v>
      </c>
      <c r="N55" s="3192" t="s">
        <v>3195</v>
      </c>
      <c r="O55" s="3193">
        <v>43824.000497685185</v>
      </c>
      <c r="P55" s="3192" t="s">
        <v>3196</v>
      </c>
      <c r="Q55" s="3192" t="s">
        <v>3300</v>
      </c>
      <c r="R55" s="3192" t="s">
        <v>3301</v>
      </c>
      <c r="S55" s="3192">
        <v>76634.649999999994</v>
      </c>
      <c r="T55" s="3192">
        <v>500</v>
      </c>
      <c r="U55" s="3192">
        <v>2778</v>
      </c>
      <c r="V55" s="3192">
        <v>0</v>
      </c>
      <c r="W55" s="3192" t="s">
        <v>3199</v>
      </c>
      <c r="X55" s="3192" t="s">
        <v>3194</v>
      </c>
      <c r="Y55" s="3192" t="s">
        <v>3194</v>
      </c>
    </row>
    <row r="56" spans="1:26">
      <c r="A56" s="3192" t="s">
        <v>3436</v>
      </c>
      <c r="B56" s="3192" t="s">
        <v>3185</v>
      </c>
      <c r="C56" s="3192" t="s">
        <v>3437</v>
      </c>
      <c r="D56" s="3192" t="s">
        <v>3187</v>
      </c>
      <c r="E56" s="3192" t="s">
        <v>3438</v>
      </c>
      <c r="F56" s="3192" t="s">
        <v>3189</v>
      </c>
      <c r="G56" s="3192">
        <v>14204.3</v>
      </c>
      <c r="H56" s="3192">
        <v>38351.61</v>
      </c>
      <c r="I56" s="3192" t="s">
        <v>3299</v>
      </c>
      <c r="J56" s="3192" t="s">
        <v>3191</v>
      </c>
      <c r="K56" s="3192" t="s">
        <v>3435</v>
      </c>
      <c r="L56" s="3192" t="s">
        <v>3193</v>
      </c>
      <c r="M56" s="3192" t="s">
        <v>3194</v>
      </c>
      <c r="N56" s="3192" t="s">
        <v>3195</v>
      </c>
      <c r="O56" s="3193">
        <v>43824.000497685185</v>
      </c>
      <c r="P56" s="3192" t="s">
        <v>3196</v>
      </c>
      <c r="Q56" s="3192" t="s">
        <v>3439</v>
      </c>
      <c r="R56" s="3192" t="s">
        <v>3440</v>
      </c>
      <c r="S56" s="3192">
        <v>10653.23</v>
      </c>
      <c r="T56" s="3192">
        <v>500</v>
      </c>
      <c r="U56" s="3192">
        <v>2778</v>
      </c>
      <c r="V56" s="3192">
        <v>0</v>
      </c>
      <c r="W56" s="3192" t="s">
        <v>3199</v>
      </c>
      <c r="X56" s="3192" t="s">
        <v>3194</v>
      </c>
      <c r="Y56" s="3192" t="s">
        <v>3194</v>
      </c>
    </row>
    <row r="57" spans="1:26">
      <c r="A57" s="3192" t="s">
        <v>3441</v>
      </c>
      <c r="B57" s="3192" t="s">
        <v>3185</v>
      </c>
      <c r="C57" s="3192" t="s">
        <v>3442</v>
      </c>
      <c r="D57" s="3192" t="s">
        <v>3187</v>
      </c>
      <c r="E57" s="3192" t="s">
        <v>3443</v>
      </c>
      <c r="F57" s="3192" t="s">
        <v>3189</v>
      </c>
      <c r="G57" s="3192">
        <v>17907.8</v>
      </c>
      <c r="H57" s="3192">
        <v>39397.160000000003</v>
      </c>
      <c r="I57" s="3192" t="s">
        <v>3231</v>
      </c>
      <c r="J57" s="3192" t="s">
        <v>3191</v>
      </c>
      <c r="K57" s="3192" t="s">
        <v>3435</v>
      </c>
      <c r="L57" s="3192" t="s">
        <v>3193</v>
      </c>
      <c r="M57" s="3192" t="s">
        <v>3194</v>
      </c>
      <c r="N57" s="3192" t="s">
        <v>3195</v>
      </c>
      <c r="O57" s="3193">
        <v>43824.000497685185</v>
      </c>
      <c r="P57" s="3192" t="s">
        <v>3196</v>
      </c>
      <c r="Q57" s="3192" t="s">
        <v>3444</v>
      </c>
      <c r="R57" s="3192" t="s">
        <v>3445</v>
      </c>
      <c r="S57" s="3192">
        <v>13430.85</v>
      </c>
      <c r="T57" s="3192">
        <v>500</v>
      </c>
      <c r="U57" s="3192">
        <v>3409</v>
      </c>
      <c r="V57" s="3192">
        <v>0</v>
      </c>
      <c r="W57" s="3192" t="s">
        <v>3199</v>
      </c>
      <c r="X57" s="3192" t="s">
        <v>3194</v>
      </c>
      <c r="Y57" s="3192" t="s">
        <v>3194</v>
      </c>
    </row>
    <row r="58" spans="1:26">
      <c r="A58" s="3192" t="s">
        <v>3446</v>
      </c>
      <c r="B58" s="3192" t="s">
        <v>3185</v>
      </c>
      <c r="C58" s="3192" t="s">
        <v>3447</v>
      </c>
      <c r="D58" s="3192" t="s">
        <v>3187</v>
      </c>
      <c r="E58" s="3192" t="s">
        <v>3448</v>
      </c>
      <c r="F58" s="3192" t="s">
        <v>3189</v>
      </c>
      <c r="G58" s="3192">
        <v>83816.2</v>
      </c>
      <c r="H58" s="3192">
        <v>167632.4</v>
      </c>
      <c r="I58" s="3192" t="s">
        <v>3208</v>
      </c>
      <c r="J58" s="3192" t="s">
        <v>3191</v>
      </c>
      <c r="K58" s="3192" t="s">
        <v>3435</v>
      </c>
      <c r="L58" s="3192" t="s">
        <v>3193</v>
      </c>
      <c r="M58" s="3192" t="s">
        <v>3194</v>
      </c>
      <c r="N58" s="3192" t="s">
        <v>3195</v>
      </c>
      <c r="O58" s="3193">
        <v>43824.000497685185</v>
      </c>
      <c r="P58" s="3192" t="s">
        <v>3196</v>
      </c>
      <c r="Q58" s="3192" t="s">
        <v>3449</v>
      </c>
      <c r="R58" s="3192" t="s">
        <v>3450</v>
      </c>
      <c r="S58" s="3192">
        <v>32562.59</v>
      </c>
      <c r="T58" s="3192">
        <v>259</v>
      </c>
      <c r="U58" s="3192">
        <v>1943</v>
      </c>
      <c r="V58" s="3192">
        <v>0</v>
      </c>
      <c r="W58" s="3192" t="s">
        <v>3199</v>
      </c>
      <c r="X58" s="3192" t="s">
        <v>3194</v>
      </c>
      <c r="Y58" s="3192" t="s">
        <v>3194</v>
      </c>
    </row>
    <row r="59" spans="1:26">
      <c r="A59" s="3192" t="s">
        <v>3451</v>
      </c>
      <c r="B59" s="3192" t="s">
        <v>3185</v>
      </c>
      <c r="C59" s="3192" t="s">
        <v>3452</v>
      </c>
      <c r="D59" s="3192" t="s">
        <v>3187</v>
      </c>
      <c r="E59" s="3192" t="s">
        <v>3453</v>
      </c>
      <c r="F59" s="3192" t="s">
        <v>3189</v>
      </c>
      <c r="G59" s="3192">
        <v>68740</v>
      </c>
      <c r="H59" s="3192">
        <v>68740</v>
      </c>
      <c r="I59" s="3192" t="s">
        <v>3361</v>
      </c>
      <c r="J59" s="3192" t="s">
        <v>3191</v>
      </c>
      <c r="K59" s="3192" t="s">
        <v>3435</v>
      </c>
      <c r="L59" s="3192" t="s">
        <v>3193</v>
      </c>
      <c r="M59" s="3192" t="s">
        <v>3194</v>
      </c>
      <c r="N59" s="3192" t="s">
        <v>3195</v>
      </c>
      <c r="O59" s="3193">
        <v>43775.000497685185</v>
      </c>
      <c r="P59" s="3192" t="s">
        <v>3196</v>
      </c>
      <c r="Q59" s="3192" t="s">
        <v>3454</v>
      </c>
      <c r="R59" s="3192" t="s">
        <v>3455</v>
      </c>
      <c r="S59" s="3192">
        <v>51555</v>
      </c>
      <c r="T59" s="3192">
        <v>500</v>
      </c>
      <c r="U59" s="3192">
        <v>7500</v>
      </c>
      <c r="V59" s="3192">
        <v>0</v>
      </c>
      <c r="W59" s="3192" t="s">
        <v>3199</v>
      </c>
      <c r="X59" s="3192" t="s">
        <v>3194</v>
      </c>
      <c r="Y59" s="3192" t="s">
        <v>3194</v>
      </c>
    </row>
    <row r="60" spans="1:26">
      <c r="A60" s="3192" t="s">
        <v>3456</v>
      </c>
      <c r="B60" s="3192" t="s">
        <v>3185</v>
      </c>
      <c r="C60" s="3192" t="s">
        <v>3457</v>
      </c>
      <c r="D60" s="3192" t="s">
        <v>3187</v>
      </c>
      <c r="E60" s="3192" t="s">
        <v>3458</v>
      </c>
      <c r="F60" s="3192" t="s">
        <v>3189</v>
      </c>
      <c r="G60" s="3192">
        <v>36005.599999999999</v>
      </c>
      <c r="H60" s="3192">
        <v>97215.12</v>
      </c>
      <c r="I60" s="3192" t="s">
        <v>3299</v>
      </c>
      <c r="J60" s="3192" t="s">
        <v>3191</v>
      </c>
      <c r="K60" s="3192" t="s">
        <v>3435</v>
      </c>
      <c r="L60" s="3192" t="s">
        <v>3193</v>
      </c>
      <c r="M60" s="3192" t="s">
        <v>3194</v>
      </c>
      <c r="N60" s="3192" t="s">
        <v>3195</v>
      </c>
      <c r="O60" s="3193">
        <v>43775.000497685185</v>
      </c>
      <c r="P60" s="3192" t="s">
        <v>3196</v>
      </c>
      <c r="Q60" s="3192" t="s">
        <v>3459</v>
      </c>
      <c r="R60" s="3192" t="s">
        <v>3460</v>
      </c>
      <c r="S60" s="3192">
        <v>32080.42</v>
      </c>
      <c r="T60" s="3192">
        <v>593.99</v>
      </c>
      <c r="U60" s="3192">
        <v>3300</v>
      </c>
      <c r="V60" s="3192">
        <v>18.8</v>
      </c>
      <c r="W60" s="3192" t="s">
        <v>3199</v>
      </c>
      <c r="X60" s="3192" t="s">
        <v>3194</v>
      </c>
      <c r="Y60" s="3192" t="s">
        <v>3194</v>
      </c>
    </row>
    <row r="61" spans="1:26">
      <c r="A61" s="3192" t="s">
        <v>3456</v>
      </c>
      <c r="B61" s="3192" t="s">
        <v>3185</v>
      </c>
      <c r="C61" s="3192" t="s">
        <v>3461</v>
      </c>
      <c r="D61" s="3192" t="s">
        <v>3187</v>
      </c>
      <c r="E61" s="3192" t="s">
        <v>3458</v>
      </c>
      <c r="F61" s="3192" t="s">
        <v>3189</v>
      </c>
      <c r="G61" s="3192">
        <v>58736.1</v>
      </c>
      <c r="H61" s="3192">
        <v>170334.69</v>
      </c>
      <c r="I61" s="3192" t="s">
        <v>3347</v>
      </c>
      <c r="J61" s="3192" t="s">
        <v>3191</v>
      </c>
      <c r="K61" s="3192" t="s">
        <v>3435</v>
      </c>
      <c r="L61" s="3192" t="s">
        <v>3193</v>
      </c>
      <c r="M61" s="3192" t="s">
        <v>3194</v>
      </c>
      <c r="N61" s="3192" t="s">
        <v>3195</v>
      </c>
      <c r="O61" s="3193">
        <v>43775.000497685185</v>
      </c>
      <c r="P61" s="3192" t="s">
        <v>3196</v>
      </c>
      <c r="Q61" s="3192" t="s">
        <v>3462</v>
      </c>
      <c r="R61" s="3192" t="s">
        <v>3463</v>
      </c>
      <c r="S61" s="3192">
        <v>52863.08</v>
      </c>
      <c r="T61" s="3192">
        <v>600.01</v>
      </c>
      <c r="U61" s="3192">
        <v>3103</v>
      </c>
      <c r="V61" s="3192">
        <v>20</v>
      </c>
      <c r="W61" s="3192" t="s">
        <v>3199</v>
      </c>
      <c r="X61" s="3192" t="s">
        <v>3194</v>
      </c>
      <c r="Y61" s="3192" t="s">
        <v>3194</v>
      </c>
    </row>
    <row r="62" spans="1:26">
      <c r="A62" s="3192" t="s">
        <v>3456</v>
      </c>
      <c r="B62" s="3192" t="s">
        <v>3185</v>
      </c>
      <c r="C62" s="3192" t="s">
        <v>3464</v>
      </c>
      <c r="D62" s="3192" t="s">
        <v>3187</v>
      </c>
      <c r="E62" s="3192" t="s">
        <v>3458</v>
      </c>
      <c r="F62" s="3192" t="s">
        <v>3189</v>
      </c>
      <c r="G62" s="3192">
        <v>38576.6</v>
      </c>
      <c r="H62" s="3192">
        <v>104156.82</v>
      </c>
      <c r="I62" s="3192" t="s">
        <v>3299</v>
      </c>
      <c r="J62" s="3192" t="s">
        <v>3191</v>
      </c>
      <c r="K62" s="3192" t="s">
        <v>3435</v>
      </c>
      <c r="L62" s="3192" t="s">
        <v>3193</v>
      </c>
      <c r="M62" s="3192" t="s">
        <v>3194</v>
      </c>
      <c r="N62" s="3192" t="s">
        <v>3195</v>
      </c>
      <c r="O62" s="3193">
        <v>43775.000497685185</v>
      </c>
      <c r="P62" s="3192" t="s">
        <v>3196</v>
      </c>
      <c r="Q62" s="3192" t="s">
        <v>3459</v>
      </c>
      <c r="R62" s="3192" t="s">
        <v>3465</v>
      </c>
      <c r="S62" s="3192">
        <v>34384.449999999997</v>
      </c>
      <c r="T62" s="3192">
        <v>594.22</v>
      </c>
      <c r="U62" s="3192">
        <v>3301</v>
      </c>
      <c r="V62" s="3192">
        <v>18.84</v>
      </c>
      <c r="W62" s="3192" t="s">
        <v>3199</v>
      </c>
      <c r="X62" s="3192" t="s">
        <v>3194</v>
      </c>
      <c r="Y62" s="3192" t="s">
        <v>3194</v>
      </c>
    </row>
    <row r="63" spans="1:26">
      <c r="A63" s="3192" t="s">
        <v>3456</v>
      </c>
      <c r="B63" s="3192" t="s">
        <v>3185</v>
      </c>
      <c r="C63" s="3192" t="s">
        <v>3466</v>
      </c>
      <c r="D63" s="3192" t="s">
        <v>3187</v>
      </c>
      <c r="E63" s="3192" t="s">
        <v>3458</v>
      </c>
      <c r="F63" s="3192" t="s">
        <v>3189</v>
      </c>
      <c r="G63" s="3192">
        <v>68649.5</v>
      </c>
      <c r="H63" s="3192">
        <v>199083.55</v>
      </c>
      <c r="I63" s="3192" t="s">
        <v>3347</v>
      </c>
      <c r="J63" s="3192" t="s">
        <v>3191</v>
      </c>
      <c r="K63" s="3192" t="s">
        <v>3435</v>
      </c>
      <c r="L63" s="3192" t="s">
        <v>3193</v>
      </c>
      <c r="M63" s="3192" t="s">
        <v>3194</v>
      </c>
      <c r="N63" s="3192" t="s">
        <v>3195</v>
      </c>
      <c r="O63" s="3193">
        <v>43775.000497685185</v>
      </c>
      <c r="P63" s="3192" t="s">
        <v>3196</v>
      </c>
      <c r="Q63" s="3192" t="s">
        <v>3462</v>
      </c>
      <c r="R63" s="3192" t="s">
        <v>3463</v>
      </c>
      <c r="S63" s="3192">
        <v>61787.13</v>
      </c>
      <c r="T63" s="3192">
        <v>600.03</v>
      </c>
      <c r="U63" s="3192">
        <v>3104</v>
      </c>
      <c r="V63" s="3192">
        <v>20</v>
      </c>
      <c r="W63" s="3192" t="s">
        <v>3199</v>
      </c>
      <c r="X63" s="3192" t="s">
        <v>3194</v>
      </c>
      <c r="Y63" s="3192" t="s">
        <v>3194</v>
      </c>
    </row>
    <row r="64" spans="1:26">
      <c r="A64" s="3192" t="s">
        <v>3467</v>
      </c>
      <c r="B64" s="3192" t="s">
        <v>3185</v>
      </c>
      <c r="C64" s="3192" t="s">
        <v>3468</v>
      </c>
      <c r="D64" s="3192" t="s">
        <v>3187</v>
      </c>
      <c r="E64" s="3192" t="s">
        <v>3469</v>
      </c>
      <c r="F64" s="3192" t="s">
        <v>3189</v>
      </c>
      <c r="G64" s="3192">
        <v>17646.3</v>
      </c>
      <c r="H64" s="3192">
        <v>45880.38</v>
      </c>
      <c r="I64" s="3192" t="s">
        <v>3470</v>
      </c>
      <c r="J64" s="3192" t="s">
        <v>3429</v>
      </c>
      <c r="K64" s="3192" t="s">
        <v>3435</v>
      </c>
      <c r="L64" s="3192" t="s">
        <v>3193</v>
      </c>
      <c r="M64" s="3192" t="s">
        <v>3194</v>
      </c>
      <c r="N64" s="3192" t="s">
        <v>3195</v>
      </c>
      <c r="O64" s="3193">
        <v>43692.000497685185</v>
      </c>
      <c r="P64" s="3192" t="s">
        <v>3196</v>
      </c>
      <c r="Q64" s="3192" t="s">
        <v>3471</v>
      </c>
      <c r="R64" s="3192" t="s">
        <v>3472</v>
      </c>
      <c r="S64" s="3192">
        <v>13234.73</v>
      </c>
      <c r="T64" s="3192">
        <v>500</v>
      </c>
      <c r="U64" s="3192">
        <v>2885</v>
      </c>
      <c r="V64" s="3192">
        <v>0</v>
      </c>
      <c r="W64" s="3192" t="s">
        <v>3199</v>
      </c>
      <c r="X64" s="3192" t="s">
        <v>3194</v>
      </c>
      <c r="Y64" s="3192" t="s">
        <v>3194</v>
      </c>
    </row>
    <row r="65" spans="1:25">
      <c r="A65" s="3192" t="s">
        <v>3473</v>
      </c>
      <c r="B65" s="3192" t="s">
        <v>3185</v>
      </c>
      <c r="C65" s="3192" t="s">
        <v>3474</v>
      </c>
      <c r="D65" s="3192" t="s">
        <v>3187</v>
      </c>
      <c r="E65" s="3192" t="s">
        <v>3475</v>
      </c>
      <c r="F65" s="3192" t="s">
        <v>3189</v>
      </c>
      <c r="G65" s="3192">
        <v>70473.3</v>
      </c>
      <c r="H65" s="3192">
        <v>155041.26</v>
      </c>
      <c r="I65" s="3192" t="s">
        <v>3476</v>
      </c>
      <c r="J65" s="3192" t="s">
        <v>3241</v>
      </c>
      <c r="K65" s="3192" t="s">
        <v>3435</v>
      </c>
      <c r="L65" s="3192" t="s">
        <v>3193</v>
      </c>
      <c r="M65" s="3192" t="s">
        <v>3194</v>
      </c>
      <c r="N65" s="3192" t="s">
        <v>3195</v>
      </c>
      <c r="O65" s="3193">
        <v>43629.000497685185</v>
      </c>
      <c r="P65" s="3192" t="s">
        <v>3196</v>
      </c>
      <c r="Q65" s="3192" t="s">
        <v>3477</v>
      </c>
      <c r="R65" s="3192" t="s">
        <v>3478</v>
      </c>
      <c r="S65" s="3192">
        <v>52854.97</v>
      </c>
      <c r="T65" s="3192">
        <v>500</v>
      </c>
      <c r="U65" s="3192">
        <v>3409</v>
      </c>
      <c r="V65" s="3192">
        <v>0</v>
      </c>
      <c r="W65" s="3192" t="s">
        <v>3199</v>
      </c>
      <c r="X65" s="3192" t="s">
        <v>3194</v>
      </c>
      <c r="Y65" s="3192" t="s">
        <v>3194</v>
      </c>
    </row>
    <row r="66" spans="1:25" s="3194" customFormat="1">
      <c r="A66" s="3194" t="s">
        <v>3479</v>
      </c>
      <c r="B66" s="3194" t="s">
        <v>3185</v>
      </c>
      <c r="C66" s="3194" t="s">
        <v>3480</v>
      </c>
      <c r="D66" s="3194" t="s">
        <v>3187</v>
      </c>
      <c r="E66" s="3194" t="s">
        <v>3481</v>
      </c>
      <c r="F66" s="3194" t="s">
        <v>3189</v>
      </c>
      <c r="G66" s="3194">
        <v>12458.7</v>
      </c>
      <c r="H66" s="3194">
        <v>36130.230000000003</v>
      </c>
      <c r="I66" s="3194" t="s">
        <v>3482</v>
      </c>
      <c r="J66" s="3194" t="s">
        <v>3241</v>
      </c>
      <c r="K66" s="3194" t="s">
        <v>3435</v>
      </c>
      <c r="L66" s="3194" t="s">
        <v>3193</v>
      </c>
      <c r="M66" s="3194" t="s">
        <v>3194</v>
      </c>
      <c r="N66" s="3194" t="s">
        <v>3195</v>
      </c>
      <c r="O66" s="3195">
        <v>43628.000497685185</v>
      </c>
      <c r="P66" s="3194" t="s">
        <v>3196</v>
      </c>
      <c r="Q66" s="3194" t="s">
        <v>3483</v>
      </c>
      <c r="R66" s="3194" t="s">
        <v>3195</v>
      </c>
      <c r="S66" s="3194">
        <v>4391.6899999999996</v>
      </c>
      <c r="T66" s="3194">
        <v>235</v>
      </c>
      <c r="U66" s="3194">
        <v>1216</v>
      </c>
      <c r="V66" s="3194">
        <v>0</v>
      </c>
      <c r="W66" s="3194" t="s">
        <v>3199</v>
      </c>
      <c r="X66" s="3194" t="s">
        <v>3194</v>
      </c>
      <c r="Y66" s="3194" t="s">
        <v>3194</v>
      </c>
    </row>
    <row r="67" spans="1:25" s="3194" customFormat="1">
      <c r="A67" s="3194" t="s">
        <v>3484</v>
      </c>
      <c r="B67" s="3194" t="s">
        <v>3185</v>
      </c>
      <c r="C67" s="3194" t="s">
        <v>3485</v>
      </c>
      <c r="D67" s="3194" t="s">
        <v>3187</v>
      </c>
      <c r="E67" s="3194" t="s">
        <v>3486</v>
      </c>
      <c r="F67" s="3194" t="s">
        <v>3189</v>
      </c>
      <c r="G67" s="3194">
        <v>53757.04</v>
      </c>
      <c r="H67" s="3194">
        <v>139768.29999999999</v>
      </c>
      <c r="I67" s="3194" t="s">
        <v>3487</v>
      </c>
      <c r="J67" s="3194" t="s">
        <v>3241</v>
      </c>
      <c r="K67" s="3194" t="s">
        <v>3435</v>
      </c>
      <c r="L67" s="3194" t="s">
        <v>3193</v>
      </c>
      <c r="M67" s="3194" t="s">
        <v>3194</v>
      </c>
      <c r="N67" s="3194" t="s">
        <v>3195</v>
      </c>
      <c r="O67" s="3195">
        <v>43628.000497685185</v>
      </c>
      <c r="P67" s="3194" t="s">
        <v>3196</v>
      </c>
      <c r="Q67" s="3194" t="s">
        <v>3488</v>
      </c>
      <c r="R67" s="3194" t="s">
        <v>3489</v>
      </c>
      <c r="S67" s="3194">
        <v>18949.36</v>
      </c>
      <c r="T67" s="3194">
        <v>235</v>
      </c>
      <c r="U67" s="3194">
        <v>1356</v>
      </c>
      <c r="V67" s="3194">
        <v>0</v>
      </c>
      <c r="W67" s="3194" t="s">
        <v>3199</v>
      </c>
      <c r="X67" s="3194" t="s">
        <v>3194</v>
      </c>
      <c r="Y67" s="3194" t="s">
        <v>3194</v>
      </c>
    </row>
    <row r="68" spans="1:25">
      <c r="A68" s="3192" t="s">
        <v>3490</v>
      </c>
      <c r="B68" s="3192" t="s">
        <v>3185</v>
      </c>
      <c r="C68" s="3192" t="s">
        <v>3491</v>
      </c>
      <c r="D68" s="3192" t="s">
        <v>3187</v>
      </c>
      <c r="E68" s="3192" t="s">
        <v>3492</v>
      </c>
      <c r="F68" s="3192" t="s">
        <v>3189</v>
      </c>
      <c r="G68" s="3192">
        <v>92069.9</v>
      </c>
      <c r="H68" s="3192">
        <v>230174.75</v>
      </c>
      <c r="I68" s="3192" t="s">
        <v>3493</v>
      </c>
      <c r="J68" s="3192" t="s">
        <v>3241</v>
      </c>
      <c r="K68" s="3192" t="s">
        <v>3435</v>
      </c>
      <c r="L68" s="3192" t="s">
        <v>3193</v>
      </c>
      <c r="M68" s="3192" t="s">
        <v>3194</v>
      </c>
      <c r="N68" s="3192" t="s">
        <v>3195</v>
      </c>
      <c r="O68" s="3193">
        <v>43609.000497685185</v>
      </c>
      <c r="P68" s="3192" t="s">
        <v>3196</v>
      </c>
      <c r="Q68" s="3192" t="s">
        <v>3494</v>
      </c>
      <c r="R68" s="3192" t="s">
        <v>3495</v>
      </c>
      <c r="S68" s="3192">
        <v>69052.429999999993</v>
      </c>
      <c r="T68" s="3192">
        <v>500</v>
      </c>
      <c r="U68" s="3192">
        <v>3000</v>
      </c>
      <c r="V68" s="3192">
        <v>0</v>
      </c>
      <c r="W68" s="3192" t="s">
        <v>3199</v>
      </c>
      <c r="X68" s="3192" t="s">
        <v>3194</v>
      </c>
      <c r="Y68" s="3192" t="s">
        <v>3194</v>
      </c>
    </row>
    <row r="69" spans="1:25">
      <c r="A69" s="3192" t="s">
        <v>3496</v>
      </c>
      <c r="B69" s="3192" t="s">
        <v>3185</v>
      </c>
      <c r="C69" s="3192" t="s">
        <v>3497</v>
      </c>
      <c r="D69" s="3192" t="s">
        <v>3187</v>
      </c>
      <c r="E69" s="3192" t="s">
        <v>3498</v>
      </c>
      <c r="F69" s="3192" t="s">
        <v>3189</v>
      </c>
      <c r="G69" s="3192">
        <v>57463.4</v>
      </c>
      <c r="H69" s="3192">
        <v>143658.5</v>
      </c>
      <c r="I69" s="3192" t="s">
        <v>3493</v>
      </c>
      <c r="J69" s="3192" t="s">
        <v>3241</v>
      </c>
      <c r="K69" s="3192" t="s">
        <v>3435</v>
      </c>
      <c r="L69" s="3192" t="s">
        <v>3193</v>
      </c>
      <c r="M69" s="3192" t="s">
        <v>3194</v>
      </c>
      <c r="N69" s="3192" t="s">
        <v>3195</v>
      </c>
      <c r="O69" s="3193">
        <v>43609.000497685185</v>
      </c>
      <c r="P69" s="3192" t="s">
        <v>3196</v>
      </c>
      <c r="Q69" s="3192" t="s">
        <v>3499</v>
      </c>
      <c r="R69" s="3192" t="s">
        <v>3500</v>
      </c>
      <c r="S69" s="3192">
        <v>56587.08</v>
      </c>
      <c r="T69" s="3192">
        <v>656.5</v>
      </c>
      <c r="U69" s="3192">
        <v>3939</v>
      </c>
      <c r="V69" s="3192">
        <v>31.3</v>
      </c>
      <c r="W69" s="3192" t="s">
        <v>3199</v>
      </c>
      <c r="X69" s="3192" t="s">
        <v>3194</v>
      </c>
      <c r="Y69" s="3192" t="s">
        <v>3194</v>
      </c>
    </row>
    <row r="70" spans="1:25">
      <c r="A70" s="3192" t="s">
        <v>3501</v>
      </c>
      <c r="B70" s="3192" t="s">
        <v>3185</v>
      </c>
      <c r="C70" s="3192" t="s">
        <v>3502</v>
      </c>
      <c r="D70" s="3192" t="s">
        <v>3187</v>
      </c>
      <c r="E70" s="3192" t="s">
        <v>3503</v>
      </c>
      <c r="F70" s="3192" t="s">
        <v>3189</v>
      </c>
      <c r="G70" s="3192">
        <v>41487.5</v>
      </c>
      <c r="H70" s="3192">
        <v>82975</v>
      </c>
      <c r="I70" s="3192" t="s">
        <v>3504</v>
      </c>
      <c r="J70" s="3192" t="s">
        <v>3241</v>
      </c>
      <c r="K70" s="3192" t="s">
        <v>3505</v>
      </c>
      <c r="L70" s="3192" t="s">
        <v>3193</v>
      </c>
      <c r="M70" s="3192" t="s">
        <v>3194</v>
      </c>
      <c r="N70" s="3192" t="s">
        <v>3195</v>
      </c>
      <c r="O70" s="3193">
        <v>43511.000497685185</v>
      </c>
      <c r="P70" s="3192" t="s">
        <v>3196</v>
      </c>
      <c r="Q70" s="3192" t="s">
        <v>3256</v>
      </c>
      <c r="R70" s="3192" t="s">
        <v>3506</v>
      </c>
      <c r="S70" s="3192">
        <v>31115.63</v>
      </c>
      <c r="T70" s="3192">
        <v>500</v>
      </c>
      <c r="U70" s="3192">
        <v>3750</v>
      </c>
      <c r="V70" s="3192">
        <v>0</v>
      </c>
      <c r="W70" s="3192" t="s">
        <v>3199</v>
      </c>
      <c r="X70" s="3192" t="s">
        <v>3194</v>
      </c>
      <c r="Y70" s="3192" t="s">
        <v>3194</v>
      </c>
    </row>
    <row r="71" spans="1:25">
      <c r="A71" s="3192" t="s">
        <v>3507</v>
      </c>
      <c r="B71" s="3192" t="s">
        <v>3185</v>
      </c>
      <c r="C71" s="3192" t="s">
        <v>3508</v>
      </c>
      <c r="D71" s="3192" t="s">
        <v>3187</v>
      </c>
      <c r="E71" s="3192" t="s">
        <v>3509</v>
      </c>
      <c r="F71" s="3192" t="s">
        <v>3189</v>
      </c>
      <c r="G71" s="3192">
        <v>26222.1</v>
      </c>
      <c r="H71" s="3192">
        <v>57688.62</v>
      </c>
      <c r="I71" s="3192" t="s">
        <v>3476</v>
      </c>
      <c r="J71" s="3192" t="s">
        <v>3241</v>
      </c>
      <c r="K71" s="3192" t="s">
        <v>3505</v>
      </c>
      <c r="L71" s="3192" t="s">
        <v>3193</v>
      </c>
      <c r="M71" s="3192" t="s">
        <v>3194</v>
      </c>
      <c r="N71" s="3192" t="s">
        <v>3195</v>
      </c>
      <c r="O71" s="3193">
        <v>43511.000497685185</v>
      </c>
      <c r="P71" s="3192" t="s">
        <v>3196</v>
      </c>
      <c r="Q71" s="3192" t="s">
        <v>3510</v>
      </c>
      <c r="R71" s="3192" t="s">
        <v>3463</v>
      </c>
      <c r="S71" s="3192">
        <v>19666.580000000002</v>
      </c>
      <c r="T71" s="3192">
        <v>500</v>
      </c>
      <c r="U71" s="3192">
        <v>3409</v>
      </c>
      <c r="V71" s="3192">
        <v>0</v>
      </c>
      <c r="W71" s="3192" t="s">
        <v>3199</v>
      </c>
      <c r="X71" s="3192" t="s">
        <v>3194</v>
      </c>
      <c r="Y71" s="3192" t="s">
        <v>3194</v>
      </c>
    </row>
    <row r="72" spans="1:25">
      <c r="A72" s="3192" t="s">
        <v>3511</v>
      </c>
      <c r="B72" s="3192" t="s">
        <v>3185</v>
      </c>
      <c r="C72" s="3192" t="s">
        <v>3512</v>
      </c>
      <c r="D72" s="3192" t="s">
        <v>3187</v>
      </c>
      <c r="E72" s="3192" t="s">
        <v>3513</v>
      </c>
      <c r="F72" s="3192" t="s">
        <v>3189</v>
      </c>
      <c r="G72" s="3192">
        <v>24512.2</v>
      </c>
      <c r="H72" s="3192">
        <v>49024.4</v>
      </c>
      <c r="I72" s="3192" t="s">
        <v>3504</v>
      </c>
      <c r="J72" s="3192" t="s">
        <v>3241</v>
      </c>
      <c r="K72" s="3192" t="s">
        <v>3505</v>
      </c>
      <c r="L72" s="3192" t="s">
        <v>3193</v>
      </c>
      <c r="M72" s="3192" t="s">
        <v>3194</v>
      </c>
      <c r="N72" s="3192" t="s">
        <v>3195</v>
      </c>
      <c r="O72" s="3193">
        <v>43511.000497685185</v>
      </c>
      <c r="P72" s="3192" t="s">
        <v>3196</v>
      </c>
      <c r="Q72" s="3192" t="s">
        <v>3256</v>
      </c>
      <c r="R72" s="3192" t="s">
        <v>3506</v>
      </c>
      <c r="S72" s="3192">
        <v>18384.150000000001</v>
      </c>
      <c r="T72" s="3192">
        <v>500</v>
      </c>
      <c r="U72" s="3192">
        <v>3750</v>
      </c>
      <c r="V72" s="3192">
        <v>0</v>
      </c>
      <c r="W72" s="3192" t="s">
        <v>3199</v>
      </c>
      <c r="X72" s="3192" t="s">
        <v>3194</v>
      </c>
      <c r="Y72" s="3192" t="s">
        <v>3194</v>
      </c>
    </row>
    <row r="73" spans="1:25">
      <c r="A73" s="3192" t="s">
        <v>3507</v>
      </c>
      <c r="B73" s="3192" t="s">
        <v>3185</v>
      </c>
      <c r="C73" s="3192" t="s">
        <v>3514</v>
      </c>
      <c r="D73" s="3192" t="s">
        <v>3187</v>
      </c>
      <c r="E73" s="3192" t="s">
        <v>3509</v>
      </c>
      <c r="F73" s="3192" t="s">
        <v>3189</v>
      </c>
      <c r="G73" s="3192">
        <v>28425.4</v>
      </c>
      <c r="H73" s="3192">
        <v>71063.5</v>
      </c>
      <c r="I73" s="3192" t="s">
        <v>3493</v>
      </c>
      <c r="J73" s="3192" t="s">
        <v>3241</v>
      </c>
      <c r="K73" s="3192" t="s">
        <v>3505</v>
      </c>
      <c r="L73" s="3192" t="s">
        <v>3193</v>
      </c>
      <c r="M73" s="3192" t="s">
        <v>3194</v>
      </c>
      <c r="N73" s="3192" t="s">
        <v>3195</v>
      </c>
      <c r="O73" s="3193">
        <v>43511.000497685185</v>
      </c>
      <c r="P73" s="3192" t="s">
        <v>3196</v>
      </c>
      <c r="Q73" s="3192" t="s">
        <v>3510</v>
      </c>
      <c r="R73" s="3192" t="s">
        <v>3463</v>
      </c>
      <c r="S73" s="3192">
        <v>21319.05</v>
      </c>
      <c r="T73" s="3192">
        <v>500</v>
      </c>
      <c r="U73" s="3192">
        <v>3000</v>
      </c>
      <c r="V73" s="3192">
        <v>0</v>
      </c>
      <c r="W73" s="3192" t="s">
        <v>3199</v>
      </c>
      <c r="X73" s="3192" t="s">
        <v>3194</v>
      </c>
      <c r="Y73" s="3192" t="s">
        <v>3194</v>
      </c>
    </row>
    <row r="74" spans="1:25">
      <c r="A74" s="3192" t="s">
        <v>3515</v>
      </c>
      <c r="B74" s="3192" t="s">
        <v>3185</v>
      </c>
      <c r="C74" s="3192" t="s">
        <v>3516</v>
      </c>
      <c r="D74" s="3192" t="s">
        <v>3187</v>
      </c>
      <c r="E74" s="3192" t="s">
        <v>3517</v>
      </c>
      <c r="F74" s="3192" t="s">
        <v>3189</v>
      </c>
      <c r="G74" s="3192">
        <v>39042.6</v>
      </c>
      <c r="H74" s="3192">
        <v>97606.5</v>
      </c>
      <c r="I74" s="3192" t="s">
        <v>3493</v>
      </c>
      <c r="J74" s="3192" t="s">
        <v>3241</v>
      </c>
      <c r="K74" s="3192" t="s">
        <v>3505</v>
      </c>
      <c r="L74" s="3192" t="s">
        <v>3193</v>
      </c>
      <c r="M74" s="3192" t="s">
        <v>3194</v>
      </c>
      <c r="N74" s="3192" t="s">
        <v>3195</v>
      </c>
      <c r="O74" s="3193">
        <v>43511.000497685185</v>
      </c>
      <c r="P74" s="3192" t="s">
        <v>3196</v>
      </c>
      <c r="Q74" s="3192" t="s">
        <v>3518</v>
      </c>
      <c r="R74" s="3192" t="s">
        <v>3440</v>
      </c>
      <c r="S74" s="3192">
        <v>29281.95</v>
      </c>
      <c r="T74" s="3192">
        <v>500</v>
      </c>
      <c r="U74" s="3192">
        <v>3000</v>
      </c>
      <c r="V74" s="3192">
        <v>0</v>
      </c>
      <c r="W74" s="3192" t="s">
        <v>3199</v>
      </c>
      <c r="X74" s="3192" t="s">
        <v>3194</v>
      </c>
      <c r="Y74" s="3192" t="s">
        <v>3194</v>
      </c>
    </row>
    <row r="75" spans="1:25">
      <c r="A75" s="3192" t="s">
        <v>3519</v>
      </c>
      <c r="B75" s="3192" t="s">
        <v>3185</v>
      </c>
      <c r="C75" s="3192" t="s">
        <v>3520</v>
      </c>
      <c r="D75" s="3192" t="s">
        <v>3187</v>
      </c>
      <c r="E75" s="3192" t="s">
        <v>3521</v>
      </c>
      <c r="F75" s="3192" t="s">
        <v>3189</v>
      </c>
      <c r="G75" s="3192">
        <v>18287.3</v>
      </c>
      <c r="H75" s="3192">
        <v>36574.6</v>
      </c>
      <c r="I75" s="3192" t="s">
        <v>3504</v>
      </c>
      <c r="J75" s="3192" t="s">
        <v>3241</v>
      </c>
      <c r="K75" s="3192" t="s">
        <v>3505</v>
      </c>
      <c r="L75" s="3192" t="s">
        <v>3193</v>
      </c>
      <c r="M75" s="3192" t="s">
        <v>3194</v>
      </c>
      <c r="N75" s="3192" t="s">
        <v>3195</v>
      </c>
      <c r="O75" s="3193">
        <v>43511.000497685185</v>
      </c>
      <c r="P75" s="3192" t="s">
        <v>3196</v>
      </c>
      <c r="Q75" s="3192" t="s">
        <v>3256</v>
      </c>
      <c r="R75" s="3192" t="s">
        <v>3506</v>
      </c>
      <c r="S75" s="3192">
        <v>13715.48</v>
      </c>
      <c r="T75" s="3192">
        <v>500</v>
      </c>
      <c r="U75" s="3192">
        <v>3750</v>
      </c>
      <c r="V75" s="3192">
        <v>0</v>
      </c>
      <c r="W75" s="3192" t="s">
        <v>3199</v>
      </c>
      <c r="X75" s="3192" t="s">
        <v>3194</v>
      </c>
      <c r="Y75" s="3192" t="s">
        <v>3194</v>
      </c>
    </row>
    <row r="76" spans="1:25">
      <c r="A76" s="3192" t="s">
        <v>3522</v>
      </c>
      <c r="B76" s="3192" t="s">
        <v>3185</v>
      </c>
      <c r="C76" s="3192" t="s">
        <v>3523</v>
      </c>
      <c r="D76" s="3192" t="s">
        <v>3187</v>
      </c>
      <c r="E76" s="3192" t="s">
        <v>3524</v>
      </c>
      <c r="F76" s="3192" t="s">
        <v>3189</v>
      </c>
      <c r="G76" s="3192">
        <v>39587.5</v>
      </c>
      <c r="H76" s="3192">
        <v>79175</v>
      </c>
      <c r="I76" s="3192" t="s">
        <v>3504</v>
      </c>
      <c r="J76" s="3192" t="s">
        <v>3241</v>
      </c>
      <c r="K76" s="3192" t="s">
        <v>3505</v>
      </c>
      <c r="L76" s="3192" t="s">
        <v>3193</v>
      </c>
      <c r="M76" s="3192" t="s">
        <v>3194</v>
      </c>
      <c r="N76" s="3192" t="s">
        <v>3195</v>
      </c>
      <c r="O76" s="3193">
        <v>43511.000497685185</v>
      </c>
      <c r="P76" s="3192" t="s">
        <v>3196</v>
      </c>
      <c r="Q76" s="3192" t="s">
        <v>3525</v>
      </c>
      <c r="R76" s="3192" t="s">
        <v>3506</v>
      </c>
      <c r="S76" s="3192">
        <v>29690.63</v>
      </c>
      <c r="T76" s="3192">
        <v>500</v>
      </c>
      <c r="U76" s="3192">
        <v>3750</v>
      </c>
      <c r="V76" s="3192">
        <v>0</v>
      </c>
      <c r="W76" s="3192" t="s">
        <v>3199</v>
      </c>
      <c r="X76" s="3192" t="s">
        <v>3194</v>
      </c>
      <c r="Y76" s="3192" t="s">
        <v>3194</v>
      </c>
    </row>
    <row r="77" spans="1:25">
      <c r="A77" s="3192" t="s">
        <v>3526</v>
      </c>
      <c r="B77" s="3192" t="s">
        <v>3185</v>
      </c>
      <c r="C77" s="3192" t="s">
        <v>3527</v>
      </c>
      <c r="D77" s="3192" t="s">
        <v>3187</v>
      </c>
      <c r="E77" s="3192" t="s">
        <v>3528</v>
      </c>
      <c r="F77" s="3192" t="s">
        <v>3189</v>
      </c>
      <c r="G77" s="3192">
        <v>24512.2</v>
      </c>
      <c r="H77" s="3192">
        <v>49024.4</v>
      </c>
      <c r="I77" s="3192" t="s">
        <v>3504</v>
      </c>
      <c r="J77" s="3192" t="s">
        <v>3241</v>
      </c>
      <c r="K77" s="3192" t="s">
        <v>3505</v>
      </c>
      <c r="L77" s="3192" t="s">
        <v>3193</v>
      </c>
      <c r="M77" s="3192" t="s">
        <v>3194</v>
      </c>
      <c r="N77" s="3192" t="s">
        <v>3195</v>
      </c>
      <c r="O77" s="3193">
        <v>43511.000497685185</v>
      </c>
      <c r="P77" s="3192" t="s">
        <v>3196</v>
      </c>
      <c r="Q77" s="3192" t="s">
        <v>3256</v>
      </c>
      <c r="R77" s="3192" t="s">
        <v>3506</v>
      </c>
      <c r="S77" s="3192">
        <v>18384.150000000001</v>
      </c>
      <c r="T77" s="3192">
        <v>500</v>
      </c>
      <c r="U77" s="3192">
        <v>3750</v>
      </c>
      <c r="V77" s="3192">
        <v>0</v>
      </c>
      <c r="W77" s="3192" t="s">
        <v>3199</v>
      </c>
      <c r="X77" s="3192" t="s">
        <v>3194</v>
      </c>
      <c r="Y77" s="3192" t="s">
        <v>3194</v>
      </c>
    </row>
    <row r="78" spans="1:25">
      <c r="A78" s="3192" t="s">
        <v>3529</v>
      </c>
      <c r="B78" s="3192" t="s">
        <v>3185</v>
      </c>
      <c r="C78" s="3192" t="s">
        <v>3530</v>
      </c>
      <c r="D78" s="3192" t="s">
        <v>3187</v>
      </c>
      <c r="E78" s="3192" t="s">
        <v>3531</v>
      </c>
      <c r="F78" s="3192" t="s">
        <v>3189</v>
      </c>
      <c r="G78" s="3192">
        <v>41487.5</v>
      </c>
      <c r="H78" s="3192">
        <v>82975</v>
      </c>
      <c r="I78" s="3192" t="s">
        <v>3504</v>
      </c>
      <c r="J78" s="3192" t="s">
        <v>3241</v>
      </c>
      <c r="K78" s="3192" t="s">
        <v>3505</v>
      </c>
      <c r="L78" s="3192" t="s">
        <v>3193</v>
      </c>
      <c r="M78" s="3192" t="s">
        <v>3194</v>
      </c>
      <c r="N78" s="3192" t="s">
        <v>3195</v>
      </c>
      <c r="O78" s="3193">
        <v>43511.000497685185</v>
      </c>
      <c r="P78" s="3192" t="s">
        <v>3196</v>
      </c>
      <c r="Q78" s="3192" t="s">
        <v>3525</v>
      </c>
      <c r="R78" s="3192" t="s">
        <v>3506</v>
      </c>
      <c r="S78" s="3192">
        <v>31115.63</v>
      </c>
      <c r="T78" s="3192">
        <v>500</v>
      </c>
      <c r="U78" s="3192">
        <v>3750</v>
      </c>
      <c r="V78" s="3192">
        <v>0</v>
      </c>
      <c r="W78" s="3192" t="s">
        <v>3199</v>
      </c>
      <c r="X78" s="3192" t="s">
        <v>3194</v>
      </c>
      <c r="Y78" s="3192" t="s">
        <v>3194</v>
      </c>
    </row>
    <row r="79" spans="1:25">
      <c r="A79" s="3192" t="s">
        <v>3532</v>
      </c>
      <c r="B79" s="3192" t="s">
        <v>3185</v>
      </c>
      <c r="C79" s="3192" t="s">
        <v>3533</v>
      </c>
      <c r="D79" s="3192" t="s">
        <v>3187</v>
      </c>
      <c r="E79" s="3192" t="s">
        <v>3534</v>
      </c>
      <c r="F79" s="3192" t="s">
        <v>3189</v>
      </c>
      <c r="G79" s="3192">
        <v>54166.5</v>
      </c>
      <c r="H79" s="3192">
        <v>162499.5</v>
      </c>
      <c r="I79" s="3192" t="s">
        <v>3535</v>
      </c>
      <c r="J79" s="3192" t="s">
        <v>3241</v>
      </c>
      <c r="K79" s="3192" t="s">
        <v>3505</v>
      </c>
      <c r="L79" s="3192" t="s">
        <v>3193</v>
      </c>
      <c r="M79" s="3192" t="s">
        <v>3194</v>
      </c>
      <c r="N79" s="3192" t="s">
        <v>3195</v>
      </c>
      <c r="O79" s="3193">
        <v>43453.000497685185</v>
      </c>
      <c r="P79" s="3192" t="s">
        <v>3196</v>
      </c>
      <c r="Q79" s="3192" t="s">
        <v>3536</v>
      </c>
      <c r="R79" s="3192" t="s">
        <v>3195</v>
      </c>
      <c r="S79" s="3192">
        <v>40624.879999999997</v>
      </c>
      <c r="T79" s="3192">
        <v>500</v>
      </c>
      <c r="U79" s="3192">
        <v>2500</v>
      </c>
      <c r="V79" s="3192">
        <v>0</v>
      </c>
      <c r="W79" s="3192" t="s">
        <v>3199</v>
      </c>
      <c r="X79" s="3192" t="s">
        <v>3194</v>
      </c>
      <c r="Y79" s="3192" t="s">
        <v>3194</v>
      </c>
    </row>
    <row r="80" spans="1:25">
      <c r="A80" s="3192" t="s">
        <v>3537</v>
      </c>
      <c r="B80" s="3192" t="s">
        <v>3185</v>
      </c>
      <c r="C80" s="3192" t="s">
        <v>3538</v>
      </c>
      <c r="D80" s="3192" t="s">
        <v>3187</v>
      </c>
      <c r="E80" s="3192" t="s">
        <v>3539</v>
      </c>
      <c r="F80" s="3192" t="s">
        <v>3189</v>
      </c>
      <c r="G80" s="3192">
        <v>44504.76</v>
      </c>
      <c r="H80" s="3192">
        <v>111261.9</v>
      </c>
      <c r="I80" s="3192" t="s">
        <v>3493</v>
      </c>
      <c r="J80" s="3192" t="s">
        <v>3241</v>
      </c>
      <c r="K80" s="3192" t="s">
        <v>3505</v>
      </c>
      <c r="L80" s="3192" t="s">
        <v>3193</v>
      </c>
      <c r="M80" s="3192" t="s">
        <v>3194</v>
      </c>
      <c r="N80" s="3192" t="s">
        <v>3195</v>
      </c>
      <c r="O80" s="3193">
        <v>43452.000497685185</v>
      </c>
      <c r="P80" s="3192" t="s">
        <v>3196</v>
      </c>
      <c r="Q80" s="3192" t="s">
        <v>3540</v>
      </c>
      <c r="R80" s="3192" t="s">
        <v>3195</v>
      </c>
      <c r="S80" s="3192">
        <v>33378.57</v>
      </c>
      <c r="T80" s="3192">
        <v>500</v>
      </c>
      <c r="U80" s="3192">
        <v>3000</v>
      </c>
      <c r="V80" s="3192">
        <v>0</v>
      </c>
      <c r="W80" s="3192" t="s">
        <v>3199</v>
      </c>
      <c r="X80" s="3192" t="s">
        <v>3194</v>
      </c>
      <c r="Y80" s="3192" t="s">
        <v>3194</v>
      </c>
    </row>
    <row r="81" spans="1:25">
      <c r="A81" s="3192" t="s">
        <v>3541</v>
      </c>
      <c r="B81" s="3192" t="s">
        <v>3185</v>
      </c>
      <c r="C81" s="3192" t="s">
        <v>3542</v>
      </c>
      <c r="D81" s="3192" t="s">
        <v>3187</v>
      </c>
      <c r="E81" s="3192" t="s">
        <v>3543</v>
      </c>
      <c r="F81" s="3192" t="s">
        <v>3309</v>
      </c>
      <c r="G81" s="3192">
        <v>97351</v>
      </c>
      <c r="H81" s="3192">
        <v>214172.2</v>
      </c>
      <c r="I81" s="3192" t="s">
        <v>3476</v>
      </c>
      <c r="J81" s="3192" t="s">
        <v>3241</v>
      </c>
      <c r="K81" s="3192" t="s">
        <v>3505</v>
      </c>
      <c r="L81" s="3192" t="s">
        <v>3193</v>
      </c>
      <c r="M81" s="3192" t="s">
        <v>3194</v>
      </c>
      <c r="N81" s="3192" t="s">
        <v>3195</v>
      </c>
      <c r="O81" s="3193">
        <v>43385.000497685185</v>
      </c>
      <c r="P81" s="3192" t="s">
        <v>3196</v>
      </c>
      <c r="Q81" s="3192" t="s">
        <v>3544</v>
      </c>
      <c r="R81" s="3192" t="s">
        <v>3545</v>
      </c>
      <c r="S81" s="3192">
        <v>80363.25</v>
      </c>
      <c r="T81" s="3192">
        <v>550.33000000000004</v>
      </c>
      <c r="U81" s="3192">
        <v>3752</v>
      </c>
      <c r="V81" s="3192">
        <v>0</v>
      </c>
      <c r="W81" s="3192" t="s">
        <v>3546</v>
      </c>
      <c r="X81" s="3192" t="s">
        <v>3194</v>
      </c>
      <c r="Y81" s="3192" t="s">
        <v>3194</v>
      </c>
    </row>
    <row r="82" spans="1:25">
      <c r="A82" s="3192" t="s">
        <v>3547</v>
      </c>
      <c r="B82" s="3192" t="s">
        <v>3185</v>
      </c>
      <c r="C82" s="3192" t="s">
        <v>3548</v>
      </c>
      <c r="D82" s="3192" t="s">
        <v>3187</v>
      </c>
      <c r="E82" s="3192" t="s">
        <v>3549</v>
      </c>
      <c r="F82" s="3192" t="s">
        <v>3309</v>
      </c>
      <c r="G82" s="3192">
        <v>39335.9</v>
      </c>
      <c r="H82" s="3192">
        <v>98339.75</v>
      </c>
      <c r="I82" s="3192" t="s">
        <v>3493</v>
      </c>
      <c r="J82" s="3192" t="s">
        <v>3241</v>
      </c>
      <c r="K82" s="3192" t="s">
        <v>3505</v>
      </c>
      <c r="L82" s="3192" t="s">
        <v>3193</v>
      </c>
      <c r="M82" s="3192" t="s">
        <v>3194</v>
      </c>
      <c r="N82" s="3192" t="s">
        <v>3195</v>
      </c>
      <c r="O82" s="3193">
        <v>43385.000497685185</v>
      </c>
      <c r="P82" s="3192" t="s">
        <v>3196</v>
      </c>
      <c r="Q82" s="3192" t="s">
        <v>3550</v>
      </c>
      <c r="R82" s="3192" t="s">
        <v>3551</v>
      </c>
      <c r="S82" s="3192">
        <v>36041.93</v>
      </c>
      <c r="T82" s="3192">
        <v>610.84</v>
      </c>
      <c r="U82" s="3192">
        <v>3665</v>
      </c>
      <c r="V82" s="3192">
        <v>0</v>
      </c>
      <c r="W82" s="3192" t="s">
        <v>3546</v>
      </c>
      <c r="X82" s="3192" t="s">
        <v>3194</v>
      </c>
      <c r="Y82" s="3192" t="s">
        <v>3194</v>
      </c>
    </row>
    <row r="83" spans="1:25">
      <c r="A83" s="3192" t="s">
        <v>3552</v>
      </c>
      <c r="B83" s="3192" t="s">
        <v>3185</v>
      </c>
      <c r="C83" s="3192" t="s">
        <v>3553</v>
      </c>
      <c r="D83" s="3192" t="s">
        <v>3187</v>
      </c>
      <c r="E83" s="3192" t="s">
        <v>3554</v>
      </c>
      <c r="F83" s="3192" t="s">
        <v>3309</v>
      </c>
      <c r="G83" s="3192">
        <v>55299.199999999997</v>
      </c>
      <c r="H83" s="3192">
        <v>99538.559999999998</v>
      </c>
      <c r="I83" s="3192" t="s">
        <v>3555</v>
      </c>
      <c r="J83" s="3192" t="s">
        <v>3241</v>
      </c>
      <c r="K83" s="3192" t="s">
        <v>3195</v>
      </c>
      <c r="L83" s="3192" t="s">
        <v>3193</v>
      </c>
      <c r="M83" s="3192" t="s">
        <v>3194</v>
      </c>
      <c r="N83" s="3192" t="s">
        <v>3195</v>
      </c>
      <c r="O83" s="3193">
        <v>43385.000497685185</v>
      </c>
      <c r="P83" s="3192" t="s">
        <v>3196</v>
      </c>
      <c r="Q83" s="3192" t="s">
        <v>3285</v>
      </c>
      <c r="R83" s="3192" t="s">
        <v>3286</v>
      </c>
      <c r="S83" s="3192">
        <v>41474.400000000001</v>
      </c>
      <c r="T83" s="3192">
        <v>500</v>
      </c>
      <c r="U83" s="3192">
        <v>4167</v>
      </c>
      <c r="V83" s="3192">
        <v>0</v>
      </c>
      <c r="W83" s="3192" t="s">
        <v>3546</v>
      </c>
      <c r="X83" s="3192" t="s">
        <v>3194</v>
      </c>
      <c r="Y83" s="3192" t="s">
        <v>3194</v>
      </c>
    </row>
    <row r="84" spans="1:25">
      <c r="A84" s="3192" t="s">
        <v>3547</v>
      </c>
      <c r="B84" s="3192" t="s">
        <v>3185</v>
      </c>
      <c r="C84" s="3192" t="s">
        <v>3556</v>
      </c>
      <c r="D84" s="3192" t="s">
        <v>3187</v>
      </c>
      <c r="E84" s="3192" t="s">
        <v>3549</v>
      </c>
      <c r="F84" s="3192" t="s">
        <v>3309</v>
      </c>
      <c r="G84" s="3192">
        <v>44333.2</v>
      </c>
      <c r="H84" s="3192">
        <v>110833</v>
      </c>
      <c r="I84" s="3192" t="s">
        <v>3493</v>
      </c>
      <c r="J84" s="3192" t="s">
        <v>3241</v>
      </c>
      <c r="K84" s="3192" t="s">
        <v>3505</v>
      </c>
      <c r="L84" s="3192" t="s">
        <v>3193</v>
      </c>
      <c r="M84" s="3192" t="s">
        <v>3194</v>
      </c>
      <c r="N84" s="3192" t="s">
        <v>3195</v>
      </c>
      <c r="O84" s="3193">
        <v>43385.000497685185</v>
      </c>
      <c r="P84" s="3192" t="s">
        <v>3196</v>
      </c>
      <c r="Q84" s="3192" t="s">
        <v>3550</v>
      </c>
      <c r="R84" s="3192" t="s">
        <v>3551</v>
      </c>
      <c r="S84" s="3192">
        <v>40619.9</v>
      </c>
      <c r="T84" s="3192">
        <v>610.83000000000004</v>
      </c>
      <c r="U84" s="3192">
        <v>3665</v>
      </c>
      <c r="V84" s="3192">
        <v>0</v>
      </c>
      <c r="W84" s="3192" t="s">
        <v>3546</v>
      </c>
      <c r="X84" s="3192" t="s">
        <v>3194</v>
      </c>
      <c r="Y84" s="3192" t="s">
        <v>3194</v>
      </c>
    </row>
    <row r="85" spans="1:25">
      <c r="A85" s="3192" t="s">
        <v>3557</v>
      </c>
      <c r="B85" s="3192" t="s">
        <v>3185</v>
      </c>
      <c r="C85" s="3192" t="s">
        <v>3558</v>
      </c>
      <c r="D85" s="3192" t="s">
        <v>3187</v>
      </c>
      <c r="E85" s="3192" t="s">
        <v>3559</v>
      </c>
      <c r="F85" s="3192" t="s">
        <v>3309</v>
      </c>
      <c r="G85" s="3192">
        <v>89137.7</v>
      </c>
      <c r="H85" s="3192">
        <v>222844.3</v>
      </c>
      <c r="I85" s="3192" t="s">
        <v>3493</v>
      </c>
      <c r="J85" s="3192" t="s">
        <v>3241</v>
      </c>
      <c r="K85" s="3192" t="s">
        <v>3195</v>
      </c>
      <c r="L85" s="3192" t="s">
        <v>3193</v>
      </c>
      <c r="M85" s="3192" t="s">
        <v>3194</v>
      </c>
      <c r="N85" s="3192" t="s">
        <v>3195</v>
      </c>
      <c r="O85" s="3193">
        <v>43385.000497685185</v>
      </c>
      <c r="P85" s="3192" t="s">
        <v>3196</v>
      </c>
      <c r="Q85" s="3192" t="s">
        <v>3560</v>
      </c>
      <c r="R85" s="3192" t="s">
        <v>3561</v>
      </c>
      <c r="S85" s="3192">
        <v>66853.27</v>
      </c>
      <c r="T85" s="3192">
        <v>500</v>
      </c>
      <c r="U85" s="3192">
        <v>3000</v>
      </c>
      <c r="V85" s="3192">
        <v>0</v>
      </c>
      <c r="W85" s="3192" t="s">
        <v>3546</v>
      </c>
      <c r="X85" s="3192" t="s">
        <v>3194</v>
      </c>
      <c r="Y85" s="3192" t="s">
        <v>3194</v>
      </c>
    </row>
    <row r="86" spans="1:25">
      <c r="A86" s="3192" t="s">
        <v>3562</v>
      </c>
      <c r="B86" s="3192" t="s">
        <v>3185</v>
      </c>
      <c r="C86" s="3192" t="s">
        <v>3563</v>
      </c>
      <c r="D86" s="3192" t="s">
        <v>3187</v>
      </c>
      <c r="E86" s="3192" t="s">
        <v>3564</v>
      </c>
      <c r="F86" s="3192" t="s">
        <v>3309</v>
      </c>
      <c r="G86" s="3192">
        <v>37535.599999999999</v>
      </c>
      <c r="H86" s="3192">
        <v>71317.64</v>
      </c>
      <c r="I86" s="3192" t="s">
        <v>3565</v>
      </c>
      <c r="J86" s="3192" t="s">
        <v>3241</v>
      </c>
      <c r="K86" s="3192" t="s">
        <v>3505</v>
      </c>
      <c r="L86" s="3192" t="s">
        <v>3193</v>
      </c>
      <c r="M86" s="3192" t="s">
        <v>3194</v>
      </c>
      <c r="N86" s="3192" t="s">
        <v>3195</v>
      </c>
      <c r="O86" s="3193">
        <v>43385.000497685185</v>
      </c>
      <c r="P86" s="3192" t="s">
        <v>3196</v>
      </c>
      <c r="Q86" s="3192" t="s">
        <v>3566</v>
      </c>
      <c r="R86" s="3192" t="s">
        <v>3195</v>
      </c>
      <c r="S86" s="3192">
        <v>28151.7</v>
      </c>
      <c r="T86" s="3192">
        <v>500</v>
      </c>
      <c r="U86" s="3192">
        <v>3947</v>
      </c>
      <c r="V86" s="3192">
        <v>0</v>
      </c>
      <c r="W86" s="3192" t="s">
        <v>3546</v>
      </c>
      <c r="X86" s="3192" t="s">
        <v>3194</v>
      </c>
      <c r="Y86" s="3192" t="s">
        <v>3194</v>
      </c>
    </row>
    <row r="87" spans="1:25">
      <c r="A87" s="3192" t="s">
        <v>3567</v>
      </c>
      <c r="B87" s="3192" t="s">
        <v>3185</v>
      </c>
      <c r="C87" s="3192" t="s">
        <v>3568</v>
      </c>
      <c r="D87" s="3192" t="s">
        <v>3187</v>
      </c>
      <c r="E87" s="3192" t="s">
        <v>3569</v>
      </c>
      <c r="F87" s="3192" t="s">
        <v>3309</v>
      </c>
      <c r="G87" s="3192">
        <v>57842.3</v>
      </c>
      <c r="H87" s="3192">
        <v>144605.79999999999</v>
      </c>
      <c r="I87" s="3192" t="s">
        <v>3493</v>
      </c>
      <c r="J87" s="3192" t="s">
        <v>3241</v>
      </c>
      <c r="K87" s="3192" t="s">
        <v>3505</v>
      </c>
      <c r="L87" s="3192" t="s">
        <v>3193</v>
      </c>
      <c r="M87" s="3192" t="s">
        <v>3194</v>
      </c>
      <c r="N87" s="3192" t="s">
        <v>3195</v>
      </c>
      <c r="O87" s="3193">
        <v>43385.000497685185</v>
      </c>
      <c r="P87" s="3192" t="s">
        <v>3196</v>
      </c>
      <c r="Q87" s="3192" t="s">
        <v>3570</v>
      </c>
      <c r="R87" s="3192" t="s">
        <v>3571</v>
      </c>
      <c r="S87" s="3192">
        <v>43468.73</v>
      </c>
      <c r="T87" s="3192">
        <v>501</v>
      </c>
      <c r="U87" s="3192">
        <v>3006</v>
      </c>
      <c r="V87" s="3192">
        <v>0</v>
      </c>
      <c r="W87" s="3192" t="s">
        <v>3546</v>
      </c>
      <c r="X87" s="3192" t="s">
        <v>3194</v>
      </c>
      <c r="Y87" s="3192" t="s">
        <v>3194</v>
      </c>
    </row>
    <row r="88" spans="1:25">
      <c r="A88" s="3192" t="s">
        <v>3572</v>
      </c>
      <c r="B88" s="3192" t="s">
        <v>3185</v>
      </c>
      <c r="C88" s="3192" t="s">
        <v>3573</v>
      </c>
      <c r="D88" s="3192" t="s">
        <v>3187</v>
      </c>
      <c r="E88" s="3192" t="s">
        <v>3574</v>
      </c>
      <c r="F88" s="3192" t="s">
        <v>3189</v>
      </c>
      <c r="G88" s="3192">
        <v>59545.2</v>
      </c>
      <c r="H88" s="3192">
        <v>148863</v>
      </c>
      <c r="I88" s="3192" t="s">
        <v>3493</v>
      </c>
      <c r="J88" s="3192" t="s">
        <v>3241</v>
      </c>
      <c r="K88" s="3192" t="s">
        <v>3505</v>
      </c>
      <c r="L88" s="3192" t="s">
        <v>3193</v>
      </c>
      <c r="M88" s="3192" t="s">
        <v>3194</v>
      </c>
      <c r="N88" s="3192" t="s">
        <v>3195</v>
      </c>
      <c r="O88" s="3193">
        <v>43348.000497685185</v>
      </c>
      <c r="P88" s="3192" t="s">
        <v>3196</v>
      </c>
      <c r="Q88" s="3192" t="s">
        <v>3575</v>
      </c>
      <c r="R88" s="3192" t="s">
        <v>3195</v>
      </c>
      <c r="S88" s="3192">
        <v>45378.9</v>
      </c>
      <c r="T88" s="3192">
        <v>508.06</v>
      </c>
      <c r="U88" s="3192">
        <v>3048</v>
      </c>
      <c r="V88" s="3192">
        <v>0</v>
      </c>
      <c r="W88" s="3192" t="s">
        <v>3199</v>
      </c>
      <c r="X88" s="3192" t="s">
        <v>3194</v>
      </c>
      <c r="Y88" s="3192" t="s">
        <v>3194</v>
      </c>
    </row>
    <row r="89" spans="1:25">
      <c r="A89" s="3192" t="s">
        <v>3576</v>
      </c>
      <c r="B89" s="3192" t="s">
        <v>3185</v>
      </c>
      <c r="C89" s="3192" t="s">
        <v>3577</v>
      </c>
      <c r="D89" s="3192" t="s">
        <v>3187</v>
      </c>
      <c r="E89" s="3192" t="s">
        <v>3578</v>
      </c>
      <c r="F89" s="3192" t="s">
        <v>3189</v>
      </c>
      <c r="G89" s="3192">
        <v>38540.949999999997</v>
      </c>
      <c r="H89" s="3192">
        <v>104060.6</v>
      </c>
      <c r="I89" s="3192" t="s">
        <v>3579</v>
      </c>
      <c r="J89" s="3192" t="s">
        <v>3191</v>
      </c>
      <c r="K89" s="3192" t="s">
        <v>3505</v>
      </c>
      <c r="L89" s="3192" t="s">
        <v>3193</v>
      </c>
      <c r="M89" s="3192" t="s">
        <v>3194</v>
      </c>
      <c r="N89" s="3192" t="s">
        <v>3195</v>
      </c>
      <c r="O89" s="3193">
        <v>43343.000497685185</v>
      </c>
      <c r="P89" s="3192" t="s">
        <v>3196</v>
      </c>
      <c r="Q89" s="3192" t="s">
        <v>3580</v>
      </c>
      <c r="R89" s="3192" t="s">
        <v>3489</v>
      </c>
      <c r="S89" s="3192">
        <v>13585.68</v>
      </c>
      <c r="T89" s="3192">
        <v>235</v>
      </c>
      <c r="U89" s="3192">
        <v>1306</v>
      </c>
      <c r="V89" s="3192">
        <v>0</v>
      </c>
      <c r="W89" s="3192" t="s">
        <v>3199</v>
      </c>
      <c r="X89" s="3192" t="s">
        <v>3194</v>
      </c>
      <c r="Y89" s="3192" t="s">
        <v>3194</v>
      </c>
    </row>
    <row r="90" spans="1:25">
      <c r="A90" s="3192" t="s">
        <v>3581</v>
      </c>
      <c r="B90" s="3192" t="s">
        <v>3185</v>
      </c>
      <c r="C90" s="3192" t="s">
        <v>3582</v>
      </c>
      <c r="D90" s="3192" t="s">
        <v>3187</v>
      </c>
      <c r="E90" s="3192" t="s">
        <v>3583</v>
      </c>
      <c r="F90" s="3192" t="s">
        <v>3189</v>
      </c>
      <c r="G90" s="3192">
        <v>48843.69</v>
      </c>
      <c r="H90" s="3192">
        <v>131878</v>
      </c>
      <c r="I90" s="3192" t="s">
        <v>3579</v>
      </c>
      <c r="J90" s="3192" t="s">
        <v>3191</v>
      </c>
      <c r="K90" s="3192" t="s">
        <v>3505</v>
      </c>
      <c r="L90" s="3192" t="s">
        <v>3193</v>
      </c>
      <c r="M90" s="3192" t="s">
        <v>3194</v>
      </c>
      <c r="N90" s="3192" t="s">
        <v>3195</v>
      </c>
      <c r="O90" s="3193">
        <v>43343.000497685185</v>
      </c>
      <c r="P90" s="3192" t="s">
        <v>3196</v>
      </c>
      <c r="Q90" s="3192" t="s">
        <v>3580</v>
      </c>
      <c r="R90" s="3192" t="s">
        <v>3489</v>
      </c>
      <c r="S90" s="3192">
        <v>17217.400000000001</v>
      </c>
      <c r="T90" s="3192">
        <v>235</v>
      </c>
      <c r="U90" s="3192">
        <v>1306</v>
      </c>
      <c r="V90" s="3192">
        <v>0</v>
      </c>
      <c r="W90" s="3192" t="s">
        <v>3199</v>
      </c>
      <c r="X90" s="3192" t="s">
        <v>3194</v>
      </c>
      <c r="Y90" s="3192" t="s">
        <v>3194</v>
      </c>
    </row>
    <row r="91" spans="1:25">
      <c r="A91" s="3192" t="s">
        <v>3584</v>
      </c>
      <c r="B91" s="3192" t="s">
        <v>3185</v>
      </c>
      <c r="C91" s="3192" t="s">
        <v>3585</v>
      </c>
      <c r="D91" s="3192" t="s">
        <v>3187</v>
      </c>
      <c r="E91" s="3192" t="s">
        <v>3586</v>
      </c>
      <c r="F91" s="3192" t="s">
        <v>3189</v>
      </c>
      <c r="G91" s="3192">
        <v>25967.200000000001</v>
      </c>
      <c r="H91" s="3192">
        <v>64918</v>
      </c>
      <c r="I91" s="3192" t="s">
        <v>3493</v>
      </c>
      <c r="J91" s="3192" t="s">
        <v>3241</v>
      </c>
      <c r="K91" s="3192" t="s">
        <v>3505</v>
      </c>
      <c r="L91" s="3192" t="s">
        <v>3193</v>
      </c>
      <c r="M91" s="3192" t="s">
        <v>3194</v>
      </c>
      <c r="N91" s="3192" t="s">
        <v>3195</v>
      </c>
      <c r="O91" s="3193">
        <v>43327.000497685185</v>
      </c>
      <c r="P91" s="3192" t="s">
        <v>3196</v>
      </c>
      <c r="Q91" s="3192" t="s">
        <v>3471</v>
      </c>
      <c r="R91" s="3192" t="s">
        <v>3195</v>
      </c>
      <c r="S91" s="3192">
        <v>19475.400000000001</v>
      </c>
      <c r="T91" s="3192">
        <v>500</v>
      </c>
      <c r="U91" s="3192">
        <v>3000</v>
      </c>
      <c r="V91" s="3192">
        <v>0</v>
      </c>
      <c r="W91" s="3192" t="s">
        <v>3199</v>
      </c>
      <c r="X91" s="3192" t="s">
        <v>3194</v>
      </c>
      <c r="Y91" s="3192" t="s">
        <v>3194</v>
      </c>
    </row>
    <row r="95" spans="1:25" ht="13.5">
      <c r="A95" s="3205" t="s">
        <v>3606</v>
      </c>
    </row>
    <row r="136" spans="1:1">
      <c r="A136" s="3192" t="s">
        <v>3137</v>
      </c>
    </row>
    <row r="323" spans="1:1">
      <c r="A323" s="3192" t="s">
        <v>3144</v>
      </c>
    </row>
  </sheetData>
  <phoneticPr fontId="225" type="noConversion"/>
  <hyperlinks>
    <hyperlink ref="A95"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36" sqref="C36"/>
    </sheetView>
  </sheetViews>
  <sheetFormatPr defaultColWidth="6.625" defaultRowHeight="12.75"/>
  <cols>
    <col min="1" max="1" width="9.625" style="1844" customWidth="1"/>
    <col min="2" max="2" width="25.62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7</v>
      </c>
      <c r="L1" s="242"/>
      <c r="M1" s="242"/>
      <c r="N1" s="242"/>
      <c r="O1" s="242"/>
      <c r="P1" s="242"/>
      <c r="Q1" s="242"/>
      <c r="R1" s="242"/>
      <c r="S1" s="242"/>
      <c r="T1" s="242"/>
      <c r="U1" s="242"/>
      <c r="V1" s="242"/>
      <c r="W1" s="242"/>
      <c r="X1" s="242"/>
      <c r="Y1" s="242"/>
      <c r="Z1" s="242"/>
    </row>
    <row r="2" spans="1:31" s="1766" customFormat="1" ht="18" customHeight="1">
      <c r="A2" s="1821" t="s">
        <v>461</v>
      </c>
      <c r="B2" s="1825">
        <f ca="1">C36</f>
        <v>30452</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1483</v>
      </c>
      <c r="B3" s="1827">
        <f ca="1">ROUND(B2*10000/IF(B1="",'数据-汇总表'!E3,INDIRECT("'数据-取费表'!K"&amp;$K$1)),0)</f>
        <v>2179</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5665</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378</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1641</v>
      </c>
      <c r="B6" s="2288"/>
      <c r="C6" s="2289">
        <f>SUM(C10:K10)</f>
        <v>86628</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3148</v>
      </c>
      <c r="D7" s="411" t="s">
        <v>3150</v>
      </c>
      <c r="E7" s="411" t="s">
        <v>3151</v>
      </c>
      <c r="F7" s="411"/>
      <c r="G7" s="411"/>
      <c r="H7" s="411"/>
      <c r="I7" s="411"/>
      <c r="J7" s="411"/>
      <c r="K7" s="412"/>
      <c r="L7" s="1833">
        <f>E10/105</f>
        <v>0</v>
      </c>
      <c r="AA7" s="1832"/>
      <c r="AB7" s="1832"/>
      <c r="AC7" s="1832"/>
      <c r="AD7" s="1832"/>
      <c r="AE7" s="1832"/>
    </row>
    <row r="8" spans="1:31" s="1835" customFormat="1" ht="13.5" customHeight="1">
      <c r="A8" s="743" t="s">
        <v>1644</v>
      </c>
      <c r="B8" s="246" t="s">
        <v>466</v>
      </c>
      <c r="C8" s="2293">
        <f>'不动产比较法-住宅'!B3</f>
        <v>6198</v>
      </c>
      <c r="D8" s="2293"/>
      <c r="E8" s="2293"/>
      <c r="F8" s="2293"/>
      <c r="G8" s="2293"/>
      <c r="H8" s="2293"/>
      <c r="I8" s="2293"/>
      <c r="J8" s="2293"/>
      <c r="K8" s="2294"/>
      <c r="AA8" s="1834"/>
      <c r="AB8" s="1834"/>
      <c r="AC8" s="1834"/>
      <c r="AD8" s="1834"/>
      <c r="AE8" s="1834"/>
    </row>
    <row r="9" spans="1:31" s="1835" customFormat="1" ht="13.5" customHeight="1">
      <c r="A9" s="743" t="s">
        <v>1645</v>
      </c>
      <c r="B9" s="246" t="s">
        <v>467</v>
      </c>
      <c r="C9" s="416">
        <f>SUMIF('数据-汇总表'!$C19:$C33,'剩余法-待开发'!C7,'数据-汇总表'!$E19:$E33)</f>
        <v>139768.29999999999</v>
      </c>
      <c r="D9" s="416">
        <f>SUMIF('数据-汇总表'!$C19:$C33,'剩余法-待开发'!D7,'数据-汇总表'!$E19:$E33)</f>
        <v>0</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1646</v>
      </c>
      <c r="B10" s="2281" t="s">
        <v>468</v>
      </c>
      <c r="C10" s="2470">
        <f>'不动产比较法-住宅'!B2</f>
        <v>86628</v>
      </c>
      <c r="D10" s="2470"/>
      <c r="E10" s="2470"/>
      <c r="F10" s="2296"/>
      <c r="G10" s="2296"/>
      <c r="H10" s="2296"/>
      <c r="I10" s="2296"/>
      <c r="J10" s="2296"/>
      <c r="K10" s="2297"/>
      <c r="AA10" s="1834"/>
      <c r="AB10" s="1834"/>
      <c r="AC10" s="1834"/>
      <c r="AD10" s="1834"/>
      <c r="AE10" s="1834"/>
    </row>
    <row r="11" spans="1:31" s="1831" customFormat="1" ht="16.5" customHeight="1">
      <c r="A11" s="2298" t="s">
        <v>1642</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1647</v>
      </c>
      <c r="B13" s="2302" t="s">
        <v>473</v>
      </c>
      <c r="C13" s="424">
        <f ca="1">IF(B1="",'数据-取费表'!P16,INDIRECT("'数据-取费表'!p"&amp;$K$1)+INDIRECT("'数据-取费表'!t"&amp;$K$1))</f>
        <v>27954</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1648</v>
      </c>
      <c r="B14" s="2302" t="s">
        <v>474</v>
      </c>
      <c r="C14" s="51">
        <f ca="1">ROUND(C13*F14,0)</f>
        <v>839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1649</v>
      </c>
      <c r="B15" s="2302" t="s">
        <v>476</v>
      </c>
      <c r="C15" s="51">
        <f ca="1">ROUND(IF(B1="",SUMIF('数据-取费表'!C:C,"住宅",'数据-取费表'!P:P)*F15,IF(INDIRECT("'数据-取费表'!c"&amp;$K$1)="住宅",INDIRECT("'数据-取费表'!P"&amp;$K$1)*F15,0)),0)</f>
        <v>1677</v>
      </c>
      <c r="D15" s="2303"/>
      <c r="E15" s="344"/>
      <c r="F15" s="2305">
        <f>'数据-取费表'!B34</f>
        <v>0.06</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1650</v>
      </c>
      <c r="B16" s="2302" t="s">
        <v>478</v>
      </c>
      <c r="C16" s="51">
        <f ca="1">ROUND(D16*E16/10000,0)</f>
        <v>2795</v>
      </c>
      <c r="D16" s="2303">
        <f ca="1">IF(B1="",'数据-汇总表'!E3,INDIRECT("'数据-取费表'!K"&amp;$K$1)+INDIRECT("'数据-取费表'!S"&amp;$K$1))</f>
        <v>139768.29999999999</v>
      </c>
      <c r="E16" s="51">
        <f>'数据-取费表'!B35</f>
        <v>200</v>
      </c>
      <c r="F16" s="2305"/>
      <c r="G16" s="2275"/>
      <c r="H16" s="2276"/>
      <c r="I16" s="2276"/>
      <c r="J16" s="2276"/>
      <c r="K16" s="2277"/>
      <c r="AA16" s="1836"/>
      <c r="AB16" s="1836"/>
      <c r="AC16" s="1836"/>
      <c r="AD16" s="1836"/>
      <c r="AE16" s="1836"/>
    </row>
    <row r="17" spans="1:26" s="1836" customFormat="1" ht="13.5" customHeight="1">
      <c r="A17" s="2301" t="s">
        <v>1651</v>
      </c>
      <c r="B17" s="2302" t="s">
        <v>479</v>
      </c>
      <c r="C17" s="2306">
        <f ca="1">ROUND(C13*F17,0)</f>
        <v>419</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1652</v>
      </c>
      <c r="B18" s="2309" t="s">
        <v>481</v>
      </c>
      <c r="C18" s="2310">
        <f ca="1">SUM(C13:C17)</f>
        <v>33684</v>
      </c>
      <c r="D18" s="2311"/>
      <c r="E18" s="442"/>
      <c r="F18" s="442"/>
      <c r="G18" s="1088" t="s">
        <v>2215</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1653</v>
      </c>
      <c r="B19" s="2309" t="s">
        <v>482</v>
      </c>
      <c r="C19" s="1743">
        <f ca="1">ROUND(D19*E19/10000,0)</f>
        <v>0</v>
      </c>
      <c r="D19" s="2312">
        <f ca="1">D16</f>
        <v>139768.29999999999</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1654</v>
      </c>
      <c r="B20" s="2309" t="s">
        <v>484</v>
      </c>
      <c r="C20" s="1743">
        <f ca="1">C21+C22-IF(B1="",'数据-取费表'!B29,IF(G20="已全部缴纳",C21+C22,H20))</f>
        <v>1677</v>
      </c>
      <c r="D20" s="2312"/>
      <c r="E20" s="1743"/>
      <c r="F20" s="2313"/>
      <c r="G20" s="2499"/>
      <c r="H20" s="2273"/>
      <c r="I20" s="2274" t="s">
        <v>2366</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1655</v>
      </c>
      <c r="B21" s="2302" t="s">
        <v>485</v>
      </c>
      <c r="C21" s="51">
        <f ca="1">ROUND(D21*E21/10000,0)</f>
        <v>1677</v>
      </c>
      <c r="D21" s="2303">
        <f ca="1">IF(B1="",'数据-汇总表'!E5,IF(INDIRECT("'数据-取费表'!c"&amp;$K$1)="住宅",INDIRECT("'数据-取费表'!k"&amp;$K$1),0))</f>
        <v>139768.29999999999</v>
      </c>
      <c r="E21" s="51">
        <f>'数据-取费表'!B27</f>
        <v>120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1656</v>
      </c>
      <c r="B22" s="2302" t="s">
        <v>486</v>
      </c>
      <c r="C22" s="51">
        <f ca="1">ROUND(D22*E22/10000,0)</f>
        <v>0</v>
      </c>
      <c r="D22" s="2303">
        <f ca="1">IF(B1="",'数据-汇总表'!E6,IF(INDIRECT("'数据-取费表'!c"&amp;$K$1)="住宅",INDIRECT("'数据-取费表'!s"&amp;$K$1),INDIRECT("'数据-取费表'!k"&amp;$K$1)+INDIRECT("'数据-取费表'!s"&amp;$K$1)))</f>
        <v>0</v>
      </c>
      <c r="E22" s="51">
        <f>'数据-取费表'!B28</f>
        <v>120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1657</v>
      </c>
      <c r="B23" s="2474" t="s">
        <v>2546</v>
      </c>
      <c r="C23" s="2310">
        <f ca="1">ROUND((C18+C19+C20)*F23,0)</f>
        <v>707</v>
      </c>
      <c r="D23" s="442"/>
      <c r="E23" s="442"/>
      <c r="F23" s="2314">
        <f>'数据-取费表'!B37</f>
        <v>0.02</v>
      </c>
      <c r="G23" s="2275" t="s">
        <v>2216</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1658</v>
      </c>
      <c r="B24" s="2474" t="s">
        <v>2549</v>
      </c>
      <c r="C24" s="2310">
        <f>ROUND(C6*F24,0)</f>
        <v>1733</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1659</v>
      </c>
      <c r="B25" s="2474" t="s">
        <v>2547</v>
      </c>
      <c r="C25" s="441">
        <f>ROUND(F25/(1+'数据-取费表'!C42),4)</f>
        <v>3.8600000000000002E-2</v>
      </c>
      <c r="D25" s="436" t="s">
        <v>2542</v>
      </c>
      <c r="E25" s="443"/>
      <c r="F25" s="2314">
        <f>IF(项目基本情况!B8="出让",0,'数据-取费表'!B48+'数据-取费表'!B49)</f>
        <v>4.0500000000000001E-2</v>
      </c>
      <c r="G25" s="2279" t="s">
        <v>2079</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1660</v>
      </c>
      <c r="B26" s="2475" t="s">
        <v>2548</v>
      </c>
      <c r="C26" s="2315">
        <f ca="1">C28</f>
        <v>1569</v>
      </c>
      <c r="D26" s="441">
        <f ca="1">C27</f>
        <v>8.7999999999999995E-2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1655</v>
      </c>
      <c r="B27" s="2316" t="s">
        <v>490</v>
      </c>
      <c r="C27" s="2317">
        <f ca="1">ROUND(IF('数据-取费表'!B22&lt;=1,(1+C25)*F26*'数据-取费表'!B24,(1+C25)*(POWER((1+F26),'数据-取费表'!B24)-1)),4)</f>
        <v>8.7999999999999995E-2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1656</v>
      </c>
      <c r="B28" s="2316" t="s">
        <v>2550</v>
      </c>
      <c r="C28" s="2318">
        <f ca="1">ROUND(IF('数据-取费表'!B22&lt;=1,(C18+C19+C20+C23+C24)*F26*'数据-取费表'!B24/2,(C18+C19+C20+C23+C24)*(POWER((1+F26),'数据-取费表'!B24/2)-1)),0)</f>
        <v>1569</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1661</v>
      </c>
      <c r="B29" s="2309" t="s">
        <v>491</v>
      </c>
      <c r="C29" s="2310">
        <f>ROUND(C6*F29/(1+'数据-取费表'!C42),0)</f>
        <v>4620</v>
      </c>
      <c r="D29" s="442"/>
      <c r="E29" s="442"/>
      <c r="F29" s="2476">
        <f>'数据-取费表'!B41</f>
        <v>5.6000000000000001E-2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1662</v>
      </c>
      <c r="B30" s="2320" t="s">
        <v>494</v>
      </c>
      <c r="C30" s="2315">
        <f ca="1">C31</f>
        <v>43990</v>
      </c>
      <c r="D30" s="451">
        <f ca="1">C32</f>
        <v>0.12659999999999999</v>
      </c>
      <c r="E30" s="443" t="s">
        <v>489</v>
      </c>
      <c r="F30" s="445"/>
      <c r="G30" s="2279" t="s">
        <v>2665</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1655</v>
      </c>
      <c r="B31" s="2316"/>
      <c r="C31" s="424">
        <f ca="1">C18+C19+C20+C23+C24+C26+C29</f>
        <v>43990</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1656</v>
      </c>
      <c r="B32" s="2316"/>
      <c r="C32" s="51">
        <f ca="1">ROUND(C25+D26,4)</f>
        <v>0.12659999999999999</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2545</v>
      </c>
      <c r="B33" s="2471" t="s">
        <v>2543</v>
      </c>
      <c r="C33" s="452">
        <f ca="1">C35</f>
        <v>4536</v>
      </c>
      <c r="D33" s="441">
        <f ca="1">C34</f>
        <v>0.1246</v>
      </c>
      <c r="E33" s="443" t="s">
        <v>489</v>
      </c>
      <c r="F33" s="453">
        <f ca="1">IF(B1="",'数据-取费表'!Q16,INDIRECT("'数据-取费表'!q"&amp;$K$1))</f>
        <v>0.12</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1655</v>
      </c>
      <c r="B34" s="2321" t="s">
        <v>495</v>
      </c>
      <c r="C34" s="446">
        <f ca="1">ROUND((1+C25)*F33,4)</f>
        <v>0.1246</v>
      </c>
      <c r="D34" s="446"/>
      <c r="E34" s="447"/>
      <c r="F34" s="454"/>
      <c r="G34" s="246" t="s">
        <v>2080</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1656</v>
      </c>
      <c r="B35" s="2472" t="s">
        <v>2551</v>
      </c>
      <c r="C35" s="1425">
        <f ca="1">ROUND((C18+C19+C20+C23+C24)*F33,0)</f>
        <v>4536</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1643</v>
      </c>
      <c r="B36" s="2285"/>
      <c r="C36" s="2323">
        <f ca="1">ROUND((C6-C30-C33)/(1+D30+D33),0)</f>
        <v>30452</v>
      </c>
      <c r="D36" s="2285"/>
      <c r="E36" s="2285"/>
      <c r="F36" s="2285"/>
      <c r="G36" s="2284" t="s">
        <v>2552</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62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7</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1483</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2367</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2"/>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1644</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1645</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1646</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1663</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1647</v>
      </c>
      <c r="B13" s="423" t="s">
        <v>473</v>
      </c>
      <c r="C13" s="424">
        <f ca="1">IF(B1="",'数据-取费表'!M16,INDIRECT("'数据-取费表'!M"&amp;$K$1)+INDIRECT("'数据-取费表'!t"&amp;$K$1))</f>
        <v>27954</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1648</v>
      </c>
      <c r="B14" s="423" t="s">
        <v>474</v>
      </c>
      <c r="C14" s="51">
        <f ca="1">ROUND(C13*F14,0)</f>
        <v>839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1649</v>
      </c>
      <c r="B15" s="423" t="s">
        <v>476</v>
      </c>
      <c r="C15" s="51">
        <f ca="1">ROUND(IF(B1="",SUMIF('数据-取费表'!C:C,"住宅",'数据-取费表'!M:M)*F15,IF(INDIRECT("'数据-取费表'!c"&amp;$K$1)="住宅",INDIRECT("'数据-取费表'!M"&amp;$K$1)*F15,0)),0)</f>
        <v>1677</v>
      </c>
      <c r="D15" s="425"/>
      <c r="E15" s="344"/>
      <c r="F15" s="427">
        <f>'数据-取费表'!B34</f>
        <v>0.06</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1650</v>
      </c>
      <c r="B16" s="423" t="s">
        <v>478</v>
      </c>
      <c r="C16" s="51">
        <f ca="1">ROUND(D16*E16/10000,0)</f>
        <v>2795</v>
      </c>
      <c r="D16" s="425">
        <f ca="1">IF(B1="",'数据-汇总表'!E3,INDIRECT("'数据-取费表'!K"&amp;$K$1)+INDIRECT("'数据-取费表'!S"&amp;$K$1))</f>
        <v>139768.29999999999</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1651</v>
      </c>
      <c r="B17" s="423" t="s">
        <v>479</v>
      </c>
      <c r="C17" s="428">
        <f ca="1">ROUND(C13*F17,0)</f>
        <v>419</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1652</v>
      </c>
      <c r="B18" s="433" t="s">
        <v>481</v>
      </c>
      <c r="C18" s="434">
        <f ca="1">SUM(C13:C17)</f>
        <v>33684</v>
      </c>
      <c r="D18" s="435"/>
      <c r="E18" s="436"/>
      <c r="F18" s="436"/>
      <c r="G18" s="1176" t="s">
        <v>2217</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1653</v>
      </c>
      <c r="B19" s="433" t="s">
        <v>487</v>
      </c>
      <c r="C19" s="434">
        <f ca="1">ROUND(C18*F19,0)</f>
        <v>674</v>
      </c>
      <c r="D19" s="435"/>
      <c r="E19" s="436"/>
      <c r="F19" s="440">
        <f>'数据-取费表'!B37</f>
        <v>0.02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1654</v>
      </c>
      <c r="B20" s="435" t="s">
        <v>488</v>
      </c>
      <c r="C20" s="444">
        <f ca="1">ROUND(IF('数据-取费表'!B22&lt;=1,(C18+C19)*F20*'数据-取费表'!B20/2,(C18+C19)*(POWER((1+F20),'数据-取费表'!B20/2)-1)),0)</f>
        <v>1426</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2234</v>
      </c>
      <c r="M20" s="2875"/>
      <c r="N20" s="2875"/>
      <c r="O20" s="2875"/>
      <c r="P20" s="2875"/>
      <c r="Q20" s="2868"/>
      <c r="R20" s="2868"/>
      <c r="S20" s="2868"/>
      <c r="T20" s="2868"/>
      <c r="U20" s="2868"/>
      <c r="V20" s="2868"/>
      <c r="W20" s="2868"/>
      <c r="X20" s="2868"/>
      <c r="Y20" s="2868"/>
      <c r="Z20" s="2868"/>
    </row>
    <row r="21" spans="1:26" s="1840" customFormat="1" ht="13.5" customHeight="1">
      <c r="A21" s="1431" t="s">
        <v>2736</v>
      </c>
      <c r="B21" s="2471" t="s">
        <v>2544</v>
      </c>
      <c r="C21" s="452">
        <f ca="1">ROUND((C18+C19)*F21,0)</f>
        <v>4123</v>
      </c>
      <c r="D21" s="2944"/>
      <c r="E21" s="436"/>
      <c r="F21" s="453">
        <f ca="1">IF(B1="",'数据-取费表'!Q16,INDIRECT("'数据-取费表'!q"&amp;$K$1))</f>
        <v>0.12</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1658</v>
      </c>
      <c r="B22" s="450" t="s">
        <v>498</v>
      </c>
      <c r="C22" s="455"/>
      <c r="D22" s="455"/>
      <c r="E22" s="456"/>
      <c r="F22" s="2946">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7" t="s">
        <v>1659</v>
      </c>
      <c r="B23" s="2948" t="s">
        <v>2737</v>
      </c>
      <c r="C23" s="2949">
        <f ca="1">ROUND((C18+C19+C20+C21)*F22,0)</f>
        <v>0</v>
      </c>
      <c r="D23" s="2950"/>
      <c r="E23" s="2951"/>
      <c r="F23" s="457"/>
      <c r="G23" s="410"/>
      <c r="H23" s="2952"/>
      <c r="I23" s="2952"/>
      <c r="J23" s="2952"/>
      <c r="K23" s="2953"/>
      <c r="L23" s="2868"/>
      <c r="M23" s="2868"/>
      <c r="N23" s="2868"/>
      <c r="O23" s="2868"/>
      <c r="P23" s="2868"/>
      <c r="Q23" s="2868"/>
      <c r="R23" s="2868"/>
      <c r="S23" s="2868"/>
      <c r="T23" s="2868"/>
      <c r="U23" s="2868"/>
      <c r="V23" s="2868"/>
      <c r="W23" s="2868"/>
      <c r="X23" s="2868"/>
      <c r="Y23" s="2868"/>
      <c r="Z23" s="2868"/>
    </row>
    <row r="24" spans="1:26" s="1841" customFormat="1" ht="13.5" customHeight="1" thickBot="1">
      <c r="A24" s="3439" t="s">
        <v>1664</v>
      </c>
      <c r="B24" s="3440"/>
      <c r="C24" s="2954">
        <f>ROUND(C6*F24/(1+'数据-取费表'!B42),0)</f>
        <v>0</v>
      </c>
      <c r="D24" s="2955"/>
      <c r="E24" s="2956"/>
      <c r="F24" s="2957">
        <f>'数据-取费表'!B41</f>
        <v>5.6000000000000001E-2</v>
      </c>
      <c r="G24" s="2958"/>
      <c r="H24" s="2958"/>
      <c r="I24" s="2958"/>
      <c r="J24" s="2958"/>
      <c r="K24" s="2959"/>
      <c r="L24" s="2868"/>
      <c r="M24" s="2868"/>
      <c r="N24" s="2868"/>
      <c r="O24" s="2868"/>
      <c r="P24" s="2868"/>
      <c r="Q24" s="2868"/>
      <c r="R24" s="2868"/>
      <c r="S24" s="2868"/>
      <c r="T24" s="2868"/>
      <c r="U24" s="2868"/>
      <c r="V24" s="2868"/>
      <c r="W24" s="2868"/>
      <c r="X24" s="2868"/>
      <c r="Y24" s="2868"/>
      <c r="Z24" s="2868"/>
    </row>
    <row r="25" spans="1:26" s="1841" customFormat="1" ht="13.5" customHeight="1" thickBot="1">
      <c r="A25" s="3439" t="s">
        <v>2734</v>
      </c>
      <c r="B25" s="3440"/>
      <c r="C25" s="2954">
        <f>ROUND(C6*F25,0)</f>
        <v>0</v>
      </c>
      <c r="D25" s="2955"/>
      <c r="E25" s="2956"/>
      <c r="F25" s="2960">
        <f>'数据-取费表'!B38</f>
        <v>0.02</v>
      </c>
      <c r="G25" s="2961"/>
      <c r="H25" s="2958"/>
      <c r="I25" s="2958"/>
      <c r="J25" s="2958"/>
      <c r="K25" s="2959"/>
      <c r="L25" s="2868"/>
      <c r="M25" s="2868"/>
      <c r="N25" s="2868"/>
      <c r="O25" s="2868"/>
      <c r="P25" s="2868"/>
      <c r="Q25" s="2868"/>
      <c r="R25" s="2868"/>
      <c r="S25" s="2868"/>
      <c r="T25" s="2868"/>
      <c r="U25" s="2868"/>
      <c r="V25" s="2868"/>
      <c r="W25" s="2868"/>
      <c r="X25" s="2868"/>
      <c r="Y25" s="2868"/>
      <c r="Z25" s="2868"/>
    </row>
    <row r="26" spans="1:26" s="1846" customFormat="1" ht="13.5" customHeight="1" thickBot="1">
      <c r="A26" s="3439" t="s">
        <v>2735</v>
      </c>
      <c r="B26" s="3440"/>
      <c r="C26" s="2966"/>
      <c r="D26" s="2967"/>
      <c r="E26" s="2967"/>
      <c r="F26" s="2968">
        <f>'数据-取费表'!B48+'数据-取费表'!B49</f>
        <v>4.0500000000000001E-2</v>
      </c>
      <c r="G26" s="2969"/>
      <c r="H26" s="2969"/>
      <c r="I26" s="2969"/>
      <c r="J26" s="2970"/>
      <c r="K26" s="2971"/>
      <c r="L26" s="2873"/>
      <c r="M26" s="2873"/>
      <c r="N26" s="2873"/>
      <c r="O26" s="2873"/>
      <c r="P26" s="2873"/>
      <c r="Q26" s="2873"/>
      <c r="R26" s="2873"/>
      <c r="S26" s="2873"/>
      <c r="T26" s="2873"/>
      <c r="U26" s="2873"/>
      <c r="V26" s="2873"/>
      <c r="W26" s="2873"/>
      <c r="X26" s="2873"/>
      <c r="Y26" s="2873"/>
      <c r="Z26" s="2873"/>
    </row>
    <row r="27" spans="1:26" s="2945" customFormat="1" ht="13.5" customHeight="1" thickBot="1">
      <c r="A27" s="3441" t="s">
        <v>2733</v>
      </c>
      <c r="B27" s="3442"/>
      <c r="C27" s="2962">
        <f ca="1">(C6-C23-C24-C25)/((1+F26)*(1+D20+F21))</f>
        <v>0</v>
      </c>
      <c r="D27" s="2963"/>
      <c r="E27" s="2963"/>
      <c r="F27" s="2963"/>
      <c r="G27" s="2964" t="s">
        <v>2666</v>
      </c>
      <c r="H27" s="2963"/>
      <c r="I27" s="2963"/>
      <c r="J27" s="2963"/>
      <c r="K27" s="2965"/>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1484</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422" t="s">
        <v>505</v>
      </c>
      <c r="D6" s="3423"/>
      <c r="E6" s="3448" t="s">
        <v>506</v>
      </c>
      <c r="F6" s="3449"/>
      <c r="G6" s="3422" t="s">
        <v>507</v>
      </c>
      <c r="H6" s="3423"/>
      <c r="I6" s="3422" t="s">
        <v>508</v>
      </c>
      <c r="J6" s="3423"/>
      <c r="K6" s="470" t="s">
        <v>509</v>
      </c>
      <c r="L6" s="1853"/>
      <c r="M6" s="1854"/>
      <c r="N6" s="1854"/>
      <c r="O6" s="1854"/>
      <c r="P6" s="3424" t="s">
        <v>510</v>
      </c>
      <c r="Q6" s="3425"/>
      <c r="R6" s="3408" t="s">
        <v>506</v>
      </c>
      <c r="S6" s="3409"/>
      <c r="T6" s="3408" t="s">
        <v>507</v>
      </c>
      <c r="U6" s="3409"/>
      <c r="V6" s="3430" t="s">
        <v>508</v>
      </c>
      <c r="W6" s="3430"/>
      <c r="X6" s="1377"/>
      <c r="Y6" s="3408" t="s">
        <v>510</v>
      </c>
      <c r="Z6" s="3409"/>
      <c r="AA6" s="3403" t="s">
        <v>506</v>
      </c>
      <c r="AB6" s="3404" t="s">
        <v>507</v>
      </c>
      <c r="AC6" s="3403" t="s">
        <v>508</v>
      </c>
    </row>
    <row r="7" spans="1:29" ht="15">
      <c r="A7" s="471"/>
      <c r="B7" s="472"/>
      <c r="C7" s="3433" t="s">
        <v>2627</v>
      </c>
      <c r="D7" s="3434"/>
      <c r="E7" s="3450" t="s">
        <v>2628</v>
      </c>
      <c r="F7" s="3451"/>
      <c r="G7" s="3433" t="s">
        <v>2629</v>
      </c>
      <c r="H7" s="3434"/>
      <c r="I7" s="3433" t="s">
        <v>2630</v>
      </c>
      <c r="J7" s="3434"/>
      <c r="K7" s="470"/>
      <c r="L7" s="1853"/>
      <c r="M7" s="1854"/>
      <c r="N7" s="1854"/>
      <c r="O7" s="1854"/>
      <c r="P7" s="3426"/>
      <c r="Q7" s="3427"/>
      <c r="R7" s="3410"/>
      <c r="S7" s="3411"/>
      <c r="T7" s="3410"/>
      <c r="U7" s="3411"/>
      <c r="V7" s="3430"/>
      <c r="W7" s="3430"/>
      <c r="X7" s="1377"/>
      <c r="Y7" s="3410"/>
      <c r="Z7" s="3411"/>
      <c r="AA7" s="3404"/>
      <c r="AB7" s="3404"/>
      <c r="AC7" s="3404"/>
    </row>
    <row r="8" spans="1:29" ht="15.75" thickBot="1">
      <c r="A8" s="473"/>
      <c r="B8" s="474"/>
      <c r="C8" s="3431" t="s">
        <v>2631</v>
      </c>
      <c r="D8" s="3432"/>
      <c r="E8" s="3452" t="s">
        <v>2631</v>
      </c>
      <c r="F8" s="3453"/>
      <c r="G8" s="3431" t="s">
        <v>2631</v>
      </c>
      <c r="H8" s="3432"/>
      <c r="I8" s="3431" t="s">
        <v>2631</v>
      </c>
      <c r="J8" s="3432"/>
      <c r="K8" s="470" t="s">
        <v>511</v>
      </c>
      <c r="L8" s="1853"/>
      <c r="M8" s="1854"/>
      <c r="N8" s="1854"/>
      <c r="O8" s="1854"/>
      <c r="P8" s="3428"/>
      <c r="Q8" s="3429"/>
      <c r="R8" s="3410"/>
      <c r="S8" s="3411"/>
      <c r="T8" s="3412"/>
      <c r="U8" s="3413"/>
      <c r="V8" s="3430"/>
      <c r="W8" s="3430"/>
      <c r="X8" s="1377"/>
      <c r="Y8" s="3412"/>
      <c r="Z8" s="3413"/>
      <c r="AA8" s="3405"/>
      <c r="AB8" s="3405"/>
      <c r="AC8" s="3405"/>
    </row>
    <row r="9" spans="1:29" s="1106" customFormat="1" ht="15.75" thickBot="1">
      <c r="A9" s="2362"/>
      <c r="B9" s="2369" t="s">
        <v>512</v>
      </c>
      <c r="C9" s="475">
        <f>'数据-取费表'!B2</f>
        <v>44895</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06" t="s">
        <v>513</v>
      </c>
      <c r="Q9" s="3415"/>
      <c r="R9" s="1378" t="s">
        <v>8</v>
      </c>
      <c r="S9" s="1379">
        <f t="shared" ref="S9:S17" si="0">F9</f>
        <v>0</v>
      </c>
      <c r="T9" s="1378" t="s">
        <v>8</v>
      </c>
      <c r="U9" s="1379">
        <f t="shared" ref="U9:U17" si="1">H9</f>
        <v>0</v>
      </c>
      <c r="V9" s="1378" t="s">
        <v>8</v>
      </c>
      <c r="W9" s="1379">
        <f t="shared" ref="W9:W17" si="2">J9</f>
        <v>0</v>
      </c>
      <c r="X9" s="1380"/>
      <c r="Y9" s="3406" t="s">
        <v>513</v>
      </c>
      <c r="Z9" s="3407"/>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06" t="s">
        <v>516</v>
      </c>
      <c r="Q10" s="3407"/>
      <c r="R10" s="1378" t="s">
        <v>8</v>
      </c>
      <c r="S10" s="1379">
        <f t="shared" si="0"/>
        <v>0</v>
      </c>
      <c r="T10" s="1378" t="s">
        <v>8</v>
      </c>
      <c r="U10" s="1379">
        <f t="shared" si="1"/>
        <v>0</v>
      </c>
      <c r="V10" s="1378" t="s">
        <v>8</v>
      </c>
      <c r="W10" s="1379">
        <f t="shared" si="2"/>
        <v>0</v>
      </c>
      <c r="X10" s="1380"/>
      <c r="Y10" s="3406" t="s">
        <v>516</v>
      </c>
      <c r="Z10" s="3407"/>
      <c r="AA10" s="1042" t="e">
        <f t="shared" ref="AA10:AA42" si="3">D10/F10</f>
        <v>#DIV/0!</v>
      </c>
      <c r="AB10" s="1042" t="e">
        <f t="shared" ref="AB10:AB42" si="4">D10/H10</f>
        <v>#DIV/0!</v>
      </c>
      <c r="AC10" s="1042" t="e">
        <f t="shared" ref="AC10:AC42" si="5">D10/J10</f>
        <v>#DIV/0!</v>
      </c>
    </row>
    <row r="11" spans="1:29" s="1106" customFormat="1" ht="15">
      <c r="A11" s="2364"/>
      <c r="B11" s="2371" t="s">
        <v>2471</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414" t="s">
        <v>518</v>
      </c>
      <c r="Q11" s="824" t="str">
        <f t="shared" ref="Q11:Q17" si="6">B11</f>
        <v>用途</v>
      </c>
      <c r="R11" s="1378" t="s">
        <v>8</v>
      </c>
      <c r="S11" s="1379">
        <f t="shared" si="0"/>
        <v>100</v>
      </c>
      <c r="T11" s="1378" t="s">
        <v>8</v>
      </c>
      <c r="U11" s="1379">
        <f t="shared" si="1"/>
        <v>100</v>
      </c>
      <c r="V11" s="1378" t="s">
        <v>8</v>
      </c>
      <c r="W11" s="1379">
        <f t="shared" si="2"/>
        <v>100</v>
      </c>
      <c r="X11" s="1380"/>
      <c r="Y11" s="3362" t="s">
        <v>519</v>
      </c>
      <c r="Z11" s="1042" t="str">
        <f t="shared" ref="Z11:Z17" si="7">Q11</f>
        <v>用途</v>
      </c>
      <c r="AA11" s="1042">
        <f t="shared" si="3"/>
        <v>1</v>
      </c>
      <c r="AB11" s="1042">
        <f t="shared" si="4"/>
        <v>1</v>
      </c>
      <c r="AC11" s="1042">
        <f t="shared" si="5"/>
        <v>1</v>
      </c>
    </row>
    <row r="12" spans="1:29" s="1179" customFormat="1" ht="27">
      <c r="A12" s="2365"/>
      <c r="B12" s="2370" t="s">
        <v>2472</v>
      </c>
      <c r="C12" s="483"/>
      <c r="D12" s="240">
        <v>100</v>
      </c>
      <c r="E12" s="483"/>
      <c r="F12" s="240">
        <f>ROUND(100/'数据-取费表'!G16,0)</f>
        <v>101</v>
      </c>
      <c r="G12" s="483"/>
      <c r="H12" s="240">
        <f>ROUND(100/'数据-取费表'!G16,0)</f>
        <v>101</v>
      </c>
      <c r="I12" s="483"/>
      <c r="J12" s="240">
        <f>ROUND(100/'数据-取费表'!G16,0)</f>
        <v>101</v>
      </c>
      <c r="K12" s="486"/>
      <c r="L12" s="1857"/>
      <c r="M12" s="1890"/>
      <c r="N12" s="1890"/>
      <c r="O12" s="1858"/>
      <c r="P12" s="3414"/>
      <c r="Q12" s="824" t="str">
        <f t="shared" si="6"/>
        <v>土地使用年限（年）</v>
      </c>
      <c r="R12" s="1378" t="s">
        <v>8</v>
      </c>
      <c r="S12" s="1379">
        <f t="shared" si="0"/>
        <v>101</v>
      </c>
      <c r="T12" s="1378" t="s">
        <v>8</v>
      </c>
      <c r="U12" s="1379">
        <f t="shared" si="1"/>
        <v>101</v>
      </c>
      <c r="V12" s="1378" t="s">
        <v>8</v>
      </c>
      <c r="W12" s="1379">
        <f t="shared" si="2"/>
        <v>101</v>
      </c>
      <c r="X12" s="1380"/>
      <c r="Y12" s="3362"/>
      <c r="Z12" s="1042" t="str">
        <f t="shared" si="7"/>
        <v>土地使用年限（年）</v>
      </c>
      <c r="AA12" s="1042">
        <f t="shared" si="3"/>
        <v>0.99009900990099009</v>
      </c>
      <c r="AB12" s="1042">
        <f t="shared" si="4"/>
        <v>0.99009900990099009</v>
      </c>
      <c r="AC12" s="1042">
        <f t="shared" si="5"/>
        <v>0.99009900990099009</v>
      </c>
    </row>
    <row r="13" spans="1:29" ht="15">
      <c r="A13" s="2366"/>
      <c r="B13" s="2370" t="s">
        <v>2473</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414"/>
      <c r="Q13" s="824" t="str">
        <f t="shared" si="6"/>
        <v>容积率</v>
      </c>
      <c r="R13" s="1378" t="s">
        <v>8</v>
      </c>
      <c r="S13" s="1379" t="e">
        <f t="shared" si="0"/>
        <v>#N/A</v>
      </c>
      <c r="T13" s="1378" t="s">
        <v>8</v>
      </c>
      <c r="U13" s="1379" t="e">
        <f t="shared" si="1"/>
        <v>#N/A</v>
      </c>
      <c r="V13" s="1378" t="s">
        <v>8</v>
      </c>
      <c r="W13" s="1379" t="e">
        <f t="shared" si="2"/>
        <v>#N/A</v>
      </c>
      <c r="X13" s="1380"/>
      <c r="Y13" s="3362"/>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414"/>
      <c r="Q14" s="824">
        <f t="shared" si="6"/>
        <v>111</v>
      </c>
      <c r="R14" s="1378" t="s">
        <v>8</v>
      </c>
      <c r="S14" s="1379">
        <f t="shared" si="0"/>
        <v>100</v>
      </c>
      <c r="T14" s="1378" t="s">
        <v>8</v>
      </c>
      <c r="U14" s="1379">
        <f t="shared" si="1"/>
        <v>100</v>
      </c>
      <c r="V14" s="1378" t="s">
        <v>8</v>
      </c>
      <c r="W14" s="1379">
        <f t="shared" si="2"/>
        <v>100</v>
      </c>
      <c r="X14" s="1380"/>
      <c r="Y14" s="3362"/>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414"/>
      <c r="Q15" s="824">
        <f t="shared" si="6"/>
        <v>111</v>
      </c>
      <c r="R15" s="1378" t="s">
        <v>8</v>
      </c>
      <c r="S15" s="1379">
        <f t="shared" si="0"/>
        <v>100</v>
      </c>
      <c r="T15" s="1378" t="s">
        <v>8</v>
      </c>
      <c r="U15" s="1379">
        <f t="shared" si="1"/>
        <v>100</v>
      </c>
      <c r="V15" s="1378" t="s">
        <v>8</v>
      </c>
      <c r="W15" s="1379">
        <f t="shared" si="2"/>
        <v>100</v>
      </c>
      <c r="X15" s="1380"/>
      <c r="Y15" s="3362"/>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414"/>
      <c r="Q16" s="824">
        <f t="shared" si="6"/>
        <v>111</v>
      </c>
      <c r="R16" s="1378" t="s">
        <v>8</v>
      </c>
      <c r="S16" s="1379">
        <f t="shared" si="0"/>
        <v>100</v>
      </c>
      <c r="T16" s="1378" t="s">
        <v>8</v>
      </c>
      <c r="U16" s="1379">
        <f t="shared" si="1"/>
        <v>100</v>
      </c>
      <c r="V16" s="1378" t="s">
        <v>8</v>
      </c>
      <c r="W16" s="1379">
        <f t="shared" si="2"/>
        <v>100</v>
      </c>
      <c r="X16" s="1380"/>
      <c r="Y16" s="3362"/>
      <c r="Z16" s="1042">
        <f t="shared" si="7"/>
        <v>111</v>
      </c>
      <c r="AA16" s="1042">
        <f t="shared" si="3"/>
        <v>1</v>
      </c>
      <c r="AB16" s="1042">
        <f t="shared" si="4"/>
        <v>1</v>
      </c>
      <c r="AC16" s="1042">
        <f t="shared" si="5"/>
        <v>1</v>
      </c>
    </row>
    <row r="17" spans="1:29" ht="57">
      <c r="A17" s="2360" t="s">
        <v>2469</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16" t="s">
        <v>523</v>
      </c>
      <c r="Q17" s="1381" t="str">
        <f t="shared" si="6"/>
        <v>产业集聚程度</v>
      </c>
      <c r="R17" s="1382" t="s">
        <v>8</v>
      </c>
      <c r="S17" s="1383">
        <f t="shared" si="0"/>
        <v>100</v>
      </c>
      <c r="T17" s="1382" t="s">
        <v>8</v>
      </c>
      <c r="U17" s="1383">
        <f t="shared" si="1"/>
        <v>100</v>
      </c>
      <c r="V17" s="1382" t="s">
        <v>8</v>
      </c>
      <c r="W17" s="1383">
        <f t="shared" si="2"/>
        <v>100</v>
      </c>
      <c r="X17" s="1377"/>
      <c r="Y17" s="3416"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17"/>
      <c r="Q18" s="1381"/>
      <c r="R18" s="1382"/>
      <c r="S18" s="1383"/>
      <c r="T18" s="1382"/>
      <c r="U18" s="1383"/>
      <c r="V18" s="1382"/>
      <c r="W18" s="1383"/>
      <c r="X18" s="1377"/>
      <c r="Y18" s="3417"/>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17"/>
      <c r="Q19" s="1381" t="str">
        <f>B19</f>
        <v>交通便捷度</v>
      </c>
      <c r="R19" s="1382" t="s">
        <v>8</v>
      </c>
      <c r="S19" s="1383">
        <f>F19</f>
        <v>100</v>
      </c>
      <c r="T19" s="1382" t="s">
        <v>8</v>
      </c>
      <c r="U19" s="1383">
        <f>H19</f>
        <v>100</v>
      </c>
      <c r="V19" s="1382" t="s">
        <v>8</v>
      </c>
      <c r="W19" s="1383">
        <f>J19</f>
        <v>100</v>
      </c>
      <c r="X19" s="1377"/>
      <c r="Y19" s="3417"/>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17"/>
      <c r="Q20" s="1381"/>
      <c r="R20" s="1382"/>
      <c r="S20" s="1383"/>
      <c r="T20" s="1382"/>
      <c r="U20" s="1383"/>
      <c r="V20" s="1382"/>
      <c r="W20" s="1383"/>
      <c r="X20" s="1377"/>
      <c r="Y20" s="3417"/>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17"/>
      <c r="Q21" s="1381" t="str">
        <f t="shared" ref="Q21:Q35" si="8">B21</f>
        <v>区域土地利用方向</v>
      </c>
      <c r="R21" s="1382" t="s">
        <v>8</v>
      </c>
      <c r="S21" s="1383">
        <f>F21</f>
        <v>100</v>
      </c>
      <c r="T21" s="1382" t="s">
        <v>8</v>
      </c>
      <c r="U21" s="1383">
        <f>H21</f>
        <v>100</v>
      </c>
      <c r="V21" s="1382" t="s">
        <v>8</v>
      </c>
      <c r="W21" s="1383">
        <f>J21</f>
        <v>100</v>
      </c>
      <c r="X21" s="1377"/>
      <c r="Y21" s="3417"/>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17"/>
      <c r="Q22" s="1381"/>
      <c r="R22" s="1382"/>
      <c r="S22" s="1383"/>
      <c r="T22" s="1382"/>
      <c r="U22" s="1383"/>
      <c r="V22" s="1382"/>
      <c r="W22" s="1383"/>
      <c r="X22" s="1377"/>
      <c r="Y22" s="3417"/>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17"/>
      <c r="Q23" s="1381" t="str">
        <f t="shared" si="8"/>
        <v>环境状况</v>
      </c>
      <c r="R23" s="1382" t="s">
        <v>8</v>
      </c>
      <c r="S23" s="1383">
        <f>F23</f>
        <v>100</v>
      </c>
      <c r="T23" s="1382" t="s">
        <v>8</v>
      </c>
      <c r="U23" s="1383">
        <f>H23</f>
        <v>100</v>
      </c>
      <c r="V23" s="1382" t="s">
        <v>8</v>
      </c>
      <c r="W23" s="1383">
        <f>J23</f>
        <v>100</v>
      </c>
      <c r="X23" s="1377"/>
      <c r="Y23" s="3417"/>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17"/>
      <c r="Q24" s="1381"/>
      <c r="R24" s="1382"/>
      <c r="S24" s="1383"/>
      <c r="T24" s="1382"/>
      <c r="U24" s="1383"/>
      <c r="V24" s="1382"/>
      <c r="W24" s="1383"/>
      <c r="X24" s="1377"/>
      <c r="Y24" s="3417"/>
      <c r="Z24" s="1384"/>
      <c r="AA24" s="1384">
        <v>1</v>
      </c>
      <c r="AB24" s="1384">
        <v>1</v>
      </c>
      <c r="AC24" s="1384">
        <v>1</v>
      </c>
    </row>
    <row r="25" spans="1:29" s="1106" customFormat="1" ht="42.75">
      <c r="A25" s="532"/>
      <c r="B25" s="2205" t="s">
        <v>2265</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17"/>
      <c r="Q25" s="824" t="str">
        <f t="shared" si="8"/>
        <v>公共配套设施</v>
      </c>
      <c r="R25" s="1378" t="s">
        <v>8</v>
      </c>
      <c r="S25" s="1379">
        <f>F25</f>
        <v>100</v>
      </c>
      <c r="T25" s="1378" t="s">
        <v>8</v>
      </c>
      <c r="U25" s="1379">
        <f>H25</f>
        <v>100</v>
      </c>
      <c r="V25" s="1378" t="s">
        <v>8</v>
      </c>
      <c r="W25" s="1379">
        <f>J25</f>
        <v>100</v>
      </c>
      <c r="X25" s="1380"/>
      <c r="Y25" s="3417"/>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17"/>
      <c r="Q26" s="824"/>
      <c r="R26" s="1378"/>
      <c r="S26" s="1379"/>
      <c r="T26" s="1378"/>
      <c r="U26" s="1379"/>
      <c r="V26" s="1378"/>
      <c r="W26" s="1379"/>
      <c r="X26" s="1380"/>
      <c r="Y26" s="3417"/>
      <c r="Z26" s="1042"/>
      <c r="AA26" s="1042">
        <v>1</v>
      </c>
      <c r="AB26" s="1042">
        <v>1</v>
      </c>
      <c r="AC26" s="1042">
        <v>1</v>
      </c>
    </row>
    <row r="27" spans="1:29" s="1106" customFormat="1" ht="28.5">
      <c r="A27" s="532"/>
      <c r="B27" s="2205" t="s">
        <v>2266</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17"/>
      <c r="Q27" s="824" t="str">
        <f t="shared" ref="Q27" si="9">B27</f>
        <v>基础设施水平</v>
      </c>
      <c r="R27" s="1378" t="s">
        <v>8</v>
      </c>
      <c r="S27" s="1379">
        <f>F27</f>
        <v>100</v>
      </c>
      <c r="T27" s="1378" t="s">
        <v>8</v>
      </c>
      <c r="U27" s="1379">
        <f>H27</f>
        <v>100</v>
      </c>
      <c r="V27" s="1378" t="s">
        <v>8</v>
      </c>
      <c r="W27" s="1379">
        <f>J27</f>
        <v>100</v>
      </c>
      <c r="X27" s="1380"/>
      <c r="Y27" s="3417"/>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17"/>
      <c r="Q28" s="824"/>
      <c r="R28" s="1378"/>
      <c r="S28" s="1379"/>
      <c r="T28" s="1378"/>
      <c r="U28" s="1379"/>
      <c r="V28" s="1378"/>
      <c r="W28" s="1379"/>
      <c r="X28" s="1380"/>
      <c r="Y28" s="3417"/>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17"/>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17"/>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17"/>
      <c r="Q30" s="1381" t="str">
        <f t="shared" si="8"/>
        <v>毗邻道路的类型与等级</v>
      </c>
      <c r="R30" s="1382" t="s">
        <v>8</v>
      </c>
      <c r="S30" s="1383">
        <f t="shared" si="10"/>
        <v>100</v>
      </c>
      <c r="T30" s="1382" t="s">
        <v>8</v>
      </c>
      <c r="U30" s="1383">
        <f t="shared" si="11"/>
        <v>100</v>
      </c>
      <c r="V30" s="1382" t="s">
        <v>8</v>
      </c>
      <c r="W30" s="1383">
        <f t="shared" si="12"/>
        <v>100</v>
      </c>
      <c r="X30" s="1377"/>
      <c r="Y30" s="3417"/>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17"/>
      <c r="Q31" s="1381"/>
      <c r="R31" s="1382"/>
      <c r="S31" s="1383"/>
      <c r="T31" s="1382"/>
      <c r="U31" s="1383"/>
      <c r="V31" s="1382"/>
      <c r="W31" s="1383"/>
      <c r="X31" s="1377"/>
      <c r="Y31" s="3417"/>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17"/>
      <c r="Q32" s="1381" t="str">
        <f t="shared" si="8"/>
        <v>土地级别</v>
      </c>
      <c r="R32" s="1382" t="s">
        <v>8</v>
      </c>
      <c r="S32" s="1383">
        <f t="shared" si="10"/>
        <v>100</v>
      </c>
      <c r="T32" s="1382" t="s">
        <v>8</v>
      </c>
      <c r="U32" s="1383">
        <f t="shared" si="11"/>
        <v>100</v>
      </c>
      <c r="V32" s="1382" t="s">
        <v>8</v>
      </c>
      <c r="W32" s="1383">
        <f t="shared" si="12"/>
        <v>100</v>
      </c>
      <c r="X32" s="1377"/>
      <c r="Y32" s="3417"/>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17"/>
      <c r="Q33" s="1381">
        <f t="shared" si="8"/>
        <v>111</v>
      </c>
      <c r="R33" s="1382" t="s">
        <v>8</v>
      </c>
      <c r="S33" s="1383">
        <f t="shared" si="10"/>
        <v>100</v>
      </c>
      <c r="T33" s="1382" t="s">
        <v>8</v>
      </c>
      <c r="U33" s="1383">
        <f t="shared" si="11"/>
        <v>100</v>
      </c>
      <c r="V33" s="1382" t="s">
        <v>8</v>
      </c>
      <c r="W33" s="1383">
        <f t="shared" si="12"/>
        <v>100</v>
      </c>
      <c r="X33" s="1377"/>
      <c r="Y33" s="3417"/>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18" t="s">
        <v>533</v>
      </c>
      <c r="Q34" s="1381">
        <f t="shared" si="8"/>
        <v>111</v>
      </c>
      <c r="R34" s="1382" t="s">
        <v>8</v>
      </c>
      <c r="S34" s="1383">
        <f t="shared" si="10"/>
        <v>100</v>
      </c>
      <c r="T34" s="1382" t="s">
        <v>8</v>
      </c>
      <c r="U34" s="1383">
        <f t="shared" si="11"/>
        <v>100</v>
      </c>
      <c r="V34" s="1382" t="s">
        <v>8</v>
      </c>
      <c r="W34" s="1383">
        <f t="shared" si="12"/>
        <v>100</v>
      </c>
      <c r="X34" s="1377"/>
      <c r="Y34" s="3419"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19"/>
      <c r="Q35" s="1381">
        <f t="shared" si="8"/>
        <v>111</v>
      </c>
      <c r="R35" s="1385" t="s">
        <v>8</v>
      </c>
      <c r="S35" s="1386">
        <f t="shared" si="10"/>
        <v>100</v>
      </c>
      <c r="T35" s="1385" t="s">
        <v>8</v>
      </c>
      <c r="U35" s="1386">
        <f t="shared" si="11"/>
        <v>100</v>
      </c>
      <c r="V35" s="1385" t="s">
        <v>8</v>
      </c>
      <c r="W35" s="1386">
        <f t="shared" si="12"/>
        <v>100</v>
      </c>
      <c r="X35" s="1387"/>
      <c r="Y35" s="3419"/>
      <c r="Z35" s="1388">
        <f t="shared" si="13"/>
        <v>111</v>
      </c>
      <c r="AA35" s="1384">
        <f t="shared" si="3"/>
        <v>1</v>
      </c>
      <c r="AB35" s="1384">
        <f t="shared" si="4"/>
        <v>1</v>
      </c>
      <c r="AC35" s="1384">
        <f t="shared" si="5"/>
        <v>1</v>
      </c>
    </row>
    <row r="36" spans="1:29" ht="15">
      <c r="A36" s="2357" t="s">
        <v>2470</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19"/>
      <c r="Q36" s="1381" t="str">
        <f>B36</f>
        <v>宗地面积</v>
      </c>
      <c r="R36" s="1382" t="s">
        <v>8</v>
      </c>
      <c r="S36" s="1383" t="e">
        <f t="shared" si="10"/>
        <v>#N/A</v>
      </c>
      <c r="T36" s="1382" t="s">
        <v>8</v>
      </c>
      <c r="U36" s="1383" t="e">
        <f t="shared" si="11"/>
        <v>#N/A</v>
      </c>
      <c r="V36" s="1382" t="s">
        <v>8</v>
      </c>
      <c r="W36" s="1383" t="e">
        <f t="shared" si="12"/>
        <v>#N/A</v>
      </c>
      <c r="X36" s="1377"/>
      <c r="Y36" s="3419"/>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19"/>
      <c r="Q37" s="1381" t="str">
        <f t="shared" ref="Q37:Q42" si="14">B37</f>
        <v>宗地形状</v>
      </c>
      <c r="R37" s="1382" t="s">
        <v>8</v>
      </c>
      <c r="S37" s="1383">
        <f t="shared" si="10"/>
        <v>100</v>
      </c>
      <c r="T37" s="1382" t="s">
        <v>8</v>
      </c>
      <c r="U37" s="1383">
        <f t="shared" si="11"/>
        <v>100</v>
      </c>
      <c r="V37" s="1382" t="s">
        <v>8</v>
      </c>
      <c r="W37" s="1383">
        <f t="shared" si="12"/>
        <v>100</v>
      </c>
      <c r="X37" s="1377"/>
      <c r="Y37" s="3419"/>
      <c r="Z37" s="1384" t="str">
        <f t="shared" si="13"/>
        <v>宗地形状</v>
      </c>
      <c r="AA37" s="1384">
        <f t="shared" si="3"/>
        <v>1</v>
      </c>
      <c r="AB37" s="1384">
        <f t="shared" si="4"/>
        <v>1</v>
      </c>
      <c r="AC37" s="1384">
        <f t="shared" si="5"/>
        <v>1</v>
      </c>
    </row>
    <row r="38" spans="1:29" s="1106" customFormat="1" ht="15">
      <c r="A38" s="554"/>
      <c r="B38" s="1666" t="s">
        <v>2210</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19"/>
      <c r="Q38" s="1381" t="str">
        <f t="shared" si="14"/>
        <v>宗地开发程度</v>
      </c>
      <c r="R38" s="1378" t="s">
        <v>8</v>
      </c>
      <c r="S38" s="1379">
        <f t="shared" si="10"/>
        <v>100</v>
      </c>
      <c r="T38" s="1378" t="s">
        <v>8</v>
      </c>
      <c r="U38" s="1379">
        <f t="shared" si="11"/>
        <v>100</v>
      </c>
      <c r="V38" s="1378" t="s">
        <v>8</v>
      </c>
      <c r="W38" s="1379">
        <f t="shared" si="12"/>
        <v>100</v>
      </c>
      <c r="X38" s="1380"/>
      <c r="Y38" s="3419"/>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19" t="s">
        <v>583</v>
      </c>
      <c r="Q39" s="1381" t="str">
        <f t="shared" si="14"/>
        <v>工程地质条件</v>
      </c>
      <c r="R39" s="1382" t="s">
        <v>8</v>
      </c>
      <c r="S39" s="1383">
        <f t="shared" si="10"/>
        <v>100</v>
      </c>
      <c r="T39" s="1382" t="s">
        <v>8</v>
      </c>
      <c r="U39" s="1383">
        <f t="shared" si="11"/>
        <v>100</v>
      </c>
      <c r="V39" s="1382" t="s">
        <v>8</v>
      </c>
      <c r="W39" s="1383">
        <f t="shared" si="12"/>
        <v>100</v>
      </c>
      <c r="X39" s="1377"/>
      <c r="Y39" s="3419"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19"/>
      <c r="Q40" s="1381">
        <f t="shared" si="14"/>
        <v>111</v>
      </c>
      <c r="R40" s="1382" t="s">
        <v>8</v>
      </c>
      <c r="S40" s="1383">
        <f t="shared" si="10"/>
        <v>100</v>
      </c>
      <c r="T40" s="1382" t="s">
        <v>8</v>
      </c>
      <c r="U40" s="1383">
        <f t="shared" si="11"/>
        <v>100</v>
      </c>
      <c r="V40" s="1382" t="s">
        <v>8</v>
      </c>
      <c r="W40" s="1383">
        <f t="shared" si="12"/>
        <v>100</v>
      </c>
      <c r="X40" s="1377"/>
      <c r="Y40" s="3419"/>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19"/>
      <c r="Q41" s="1381">
        <f t="shared" si="14"/>
        <v>111</v>
      </c>
      <c r="R41" s="1382" t="s">
        <v>8</v>
      </c>
      <c r="S41" s="1383">
        <f t="shared" si="10"/>
        <v>100</v>
      </c>
      <c r="T41" s="1382" t="s">
        <v>8</v>
      </c>
      <c r="U41" s="1383">
        <f t="shared" si="11"/>
        <v>100</v>
      </c>
      <c r="V41" s="1382" t="s">
        <v>8</v>
      </c>
      <c r="W41" s="1383">
        <f t="shared" si="12"/>
        <v>100</v>
      </c>
      <c r="X41" s="1377"/>
      <c r="Y41" s="3419"/>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19"/>
      <c r="Q42" s="1381">
        <f t="shared" si="14"/>
        <v>111</v>
      </c>
      <c r="R42" s="1385" t="s">
        <v>8</v>
      </c>
      <c r="S42" s="1386">
        <f t="shared" si="10"/>
        <v>100</v>
      </c>
      <c r="T42" s="1385" t="s">
        <v>8</v>
      </c>
      <c r="U42" s="1386">
        <f t="shared" si="11"/>
        <v>100</v>
      </c>
      <c r="V42" s="1385" t="s">
        <v>8</v>
      </c>
      <c r="W42" s="1386">
        <f t="shared" si="12"/>
        <v>100</v>
      </c>
      <c r="X42" s="1387"/>
      <c r="Y42" s="3419"/>
      <c r="Z42" s="1388">
        <f t="shared" si="13"/>
        <v>111</v>
      </c>
      <c r="AA42" s="1384">
        <f t="shared" si="3"/>
        <v>1</v>
      </c>
      <c r="AB42" s="1384">
        <f t="shared" si="4"/>
        <v>1</v>
      </c>
      <c r="AC42" s="1384">
        <f t="shared" si="5"/>
        <v>1</v>
      </c>
    </row>
    <row r="43" spans="1:29" ht="15">
      <c r="A43" s="561" t="s">
        <v>539</v>
      </c>
      <c r="B43" s="562" t="s">
        <v>2632</v>
      </c>
      <c r="C43" s="563" t="s">
        <v>1</v>
      </c>
      <c r="D43" s="564"/>
      <c r="E43" s="565"/>
      <c r="F43" s="566"/>
      <c r="G43" s="567"/>
      <c r="H43" s="568"/>
      <c r="I43" s="565"/>
      <c r="J43" s="568"/>
      <c r="K43" s="1181"/>
      <c r="L43" s="1863"/>
      <c r="M43" s="1854"/>
      <c r="N43" s="1854"/>
      <c r="O43" s="1854"/>
      <c r="P43" s="3414" t="str">
        <f>A43</f>
        <v>成交单价</v>
      </c>
      <c r="Q43" s="3414"/>
      <c r="R43" s="3430">
        <f>E43</f>
        <v>0</v>
      </c>
      <c r="S43" s="3430"/>
      <c r="T43" s="3430">
        <f>G43</f>
        <v>0</v>
      </c>
      <c r="U43" s="3430"/>
      <c r="V43" s="3430">
        <f>I43</f>
        <v>0</v>
      </c>
      <c r="W43" s="3430"/>
      <c r="X43" s="806"/>
      <c r="Y43" s="1389"/>
      <c r="Z43" s="806"/>
      <c r="AA43" s="806"/>
      <c r="AB43" s="806"/>
      <c r="AC43" s="806"/>
    </row>
    <row r="44" spans="1:29" ht="15.75" thickBot="1">
      <c r="A44" s="569" t="s">
        <v>2408</v>
      </c>
      <c r="B44" s="570"/>
      <c r="C44" s="571" t="e">
        <f>R45</f>
        <v>#DIV/0!</v>
      </c>
      <c r="D44" s="2709" t="s">
        <v>2698</v>
      </c>
      <c r="E44" s="571" t="e">
        <f>R44</f>
        <v>#DIV/0!</v>
      </c>
      <c r="F44" s="2710"/>
      <c r="G44" s="572" t="e">
        <f>T44</f>
        <v>#DIV/0!</v>
      </c>
      <c r="H44" s="2710"/>
      <c r="I44" s="571" t="e">
        <f>V44</f>
        <v>#DIV/0!</v>
      </c>
      <c r="J44" s="2710"/>
      <c r="K44" s="2711">
        <f>F44+H44+J44</f>
        <v>0</v>
      </c>
      <c r="L44" s="1863"/>
      <c r="M44" s="1854"/>
      <c r="N44" s="1854"/>
      <c r="O44" s="1854"/>
      <c r="P44" s="3414" t="str">
        <f>A44</f>
        <v>比较价格（元/平方米）</v>
      </c>
      <c r="Q44" s="3414"/>
      <c r="R44" s="3438" t="e">
        <f>ROUND(PRODUCT(R43,AA9:AA42),0)</f>
        <v>#DIV/0!</v>
      </c>
      <c r="S44" s="3438"/>
      <c r="T44" s="3438" t="e">
        <f>ROUND(PRODUCT(T43,AB9:AB42),0)</f>
        <v>#DIV/0!</v>
      </c>
      <c r="U44" s="3438"/>
      <c r="V44" s="3438" t="e">
        <f>ROUND(PRODUCT(V43,AC9:AC42),0)</f>
        <v>#DIV/0!</v>
      </c>
      <c r="W44" s="3438"/>
      <c r="X44" s="806"/>
      <c r="Y44" s="806"/>
      <c r="Z44" s="806"/>
      <c r="AA44" s="806"/>
      <c r="AB44" s="806"/>
      <c r="AC44" s="806"/>
    </row>
    <row r="45" spans="1:29" ht="15.75" thickBot="1">
      <c r="A45" s="573" t="s">
        <v>2633</v>
      </c>
      <c r="B45" s="574"/>
      <c r="C45" s="575" t="e">
        <f>R45</f>
        <v>#DIV/0!</v>
      </c>
      <c r="D45" s="575"/>
      <c r="E45" s="575"/>
      <c r="F45" s="575"/>
      <c r="G45" s="575"/>
      <c r="H45" s="575"/>
      <c r="I45" s="575"/>
      <c r="J45" s="575"/>
      <c r="K45" s="1182"/>
      <c r="L45" s="1863"/>
      <c r="M45" s="1854"/>
      <c r="N45" s="1854"/>
      <c r="O45" s="1854"/>
      <c r="P45" s="3420" t="str">
        <f>A45</f>
        <v>估价对象XX用房的比较价格（楼面单价，元/平方米）</v>
      </c>
      <c r="Q45" s="3421"/>
      <c r="R45" s="3447" t="e">
        <f>ROUND(IF(D44="简单平均",AVERAGE(R44:W44),R44*F44+T44*H44+V44*J44),0)</f>
        <v>#DIV/0!</v>
      </c>
      <c r="S45" s="3447"/>
      <c r="T45" s="3447"/>
      <c r="U45" s="3447"/>
      <c r="V45" s="3447"/>
      <c r="W45" s="3447"/>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1523</v>
      </c>
      <c r="D52" s="1935" t="s">
        <v>2082</v>
      </c>
      <c r="E52" s="583" t="s">
        <v>545</v>
      </c>
      <c r="F52" s="1722" t="s">
        <v>546</v>
      </c>
      <c r="G52" s="3443" t="s">
        <v>2074</v>
      </c>
      <c r="H52" s="3444"/>
      <c r="I52" s="1723" t="s">
        <v>1736</v>
      </c>
      <c r="J52" s="1372" t="str">
        <f>项目基本情况!F41</f>
        <v>河南省</v>
      </c>
      <c r="K52" s="1871" t="s">
        <v>1522</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139768.29999999999</v>
      </c>
      <c r="F53" s="1721" t="e">
        <f t="shared" ref="F53:F61" si="15">ROUND(B53*E53/10000,0)</f>
        <v>#DIV/0!</v>
      </c>
      <c r="G53" s="3445"/>
      <c r="H53" s="3446"/>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7" t="s">
        <v>2075</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8"/>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8"/>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2117</v>
      </c>
      <c r="B57" s="590" t="e">
        <f t="shared" si="17"/>
        <v>#DIV/0!</v>
      </c>
      <c r="C57" s="353">
        <f t="shared" si="16"/>
        <v>0</v>
      </c>
      <c r="D57" s="1937">
        <v>0.25</v>
      </c>
      <c r="E57" s="593">
        <f>'数据-汇总表'!E11</f>
        <v>0</v>
      </c>
      <c r="F57" s="1721" t="e">
        <f t="shared" si="15"/>
        <v>#DIV/0!</v>
      </c>
      <c r="G57" s="1727" t="s">
        <v>2076</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1476</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0</v>
      </c>
      <c r="F59" s="1721" t="e">
        <f t="shared" si="15"/>
        <v>#DIV/0!</v>
      </c>
      <c r="G59" s="1717" t="s">
        <v>901</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2075</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2076</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2083</v>
      </c>
      <c r="E62" s="595">
        <f>IF(B43="楼面地价",SUM(E53:E61),'数据-汇总表'!D3)</f>
        <v>53757.04</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2022-11-1</v>
      </c>
      <c r="D64" s="2264">
        <f>EDATE(C64,-3)</f>
        <v>44774</v>
      </c>
      <c r="E64" s="2264">
        <f t="shared" ref="E64:N64" si="18">EDATE(D64,-3)</f>
        <v>44682</v>
      </c>
      <c r="F64" s="2264">
        <f t="shared" si="18"/>
        <v>44593</v>
      </c>
      <c r="G64" s="2264">
        <f t="shared" si="18"/>
        <v>44501</v>
      </c>
      <c r="H64" s="2264">
        <f t="shared" si="18"/>
        <v>44409</v>
      </c>
      <c r="I64" s="2264">
        <f t="shared" si="18"/>
        <v>44317</v>
      </c>
      <c r="J64" s="2264">
        <f t="shared" si="18"/>
        <v>44228</v>
      </c>
      <c r="K64" s="2264">
        <f t="shared" si="18"/>
        <v>44136</v>
      </c>
      <c r="L64" s="2264">
        <f t="shared" si="18"/>
        <v>44044</v>
      </c>
      <c r="M64" s="2264">
        <f t="shared" si="18"/>
        <v>43952</v>
      </c>
      <c r="N64" s="2264">
        <f t="shared" si="18"/>
        <v>43862</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2250</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2364</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2265</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2267</v>
      </c>
      <c r="C94" s="2210" t="s">
        <v>2268</v>
      </c>
      <c r="D94" s="2210" t="s">
        <v>2269</v>
      </c>
      <c r="E94" s="2210" t="s">
        <v>2270</v>
      </c>
      <c r="F94" s="2210" t="s">
        <v>2271</v>
      </c>
      <c r="G94" s="2210" t="s">
        <v>2272</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2211</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62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1493</v>
      </c>
      <c r="B1" s="1232"/>
      <c r="C1" s="1238" t="s">
        <v>2212</v>
      </c>
      <c r="D1" s="1340">
        <f>SUM(D29:D30,D33:D39)</f>
        <v>0</v>
      </c>
      <c r="E1" s="1238" t="s">
        <v>2213</v>
      </c>
      <c r="F1" s="1323"/>
      <c r="G1" s="1233"/>
      <c r="H1" s="1233"/>
      <c r="I1" s="1233"/>
      <c r="J1" s="1233"/>
      <c r="K1" s="1901"/>
      <c r="L1" s="1653" t="s">
        <v>2029</v>
      </c>
      <c r="M1" s="1654">
        <f>SUMPRODUCT((区片价!B5:B9=I2)*(区片价!C3:F3=E2)*(区片价!C5:F9))</f>
        <v>0</v>
      </c>
      <c r="N1" s="1655">
        <f>SUMPRODUCT((因素修正幅度!B5:B9=I2)*(因素修正幅度!C3:F3=E2)*(因素修正幅度!C5:F9))</f>
        <v>0</v>
      </c>
      <c r="O1" s="1901"/>
      <c r="P1" s="1901"/>
      <c r="Q1" s="1901"/>
      <c r="R1" s="2386" t="s">
        <v>2476</v>
      </c>
      <c r="S1" s="2386" t="s">
        <v>2477</v>
      </c>
      <c r="T1" s="2386" t="s">
        <v>2498</v>
      </c>
      <c r="U1" s="2386" t="s">
        <v>2499</v>
      </c>
      <c r="V1" s="2386" t="s">
        <v>2500</v>
      </c>
      <c r="W1" s="1901"/>
      <c r="X1" s="1901"/>
      <c r="Y1" s="1901"/>
      <c r="Z1" s="1901"/>
      <c r="AA1" s="1901"/>
      <c r="AB1" s="1901"/>
      <c r="AC1" s="1902"/>
    </row>
    <row r="2" spans="1:39" ht="15.75">
      <c r="A2" s="1238" t="s">
        <v>898</v>
      </c>
      <c r="B2" s="955" t="e">
        <f>C26</f>
        <v>#DIV/0!</v>
      </c>
      <c r="C2" s="1239" t="s">
        <v>899</v>
      </c>
      <c r="D2" s="1240" t="s">
        <v>900</v>
      </c>
      <c r="E2" s="1241"/>
      <c r="F2" s="1240" t="s">
        <v>902</v>
      </c>
      <c r="G2" s="1448">
        <f>IF(E2="商业",项目基本情况!B43,IF(E2="办公",项目基本情况!C43,IF(E2="住宅",项目基本情况!D43,项目基本情况!E43)))</f>
        <v>0</v>
      </c>
      <c r="H2" s="1240" t="s">
        <v>904</v>
      </c>
      <c r="I2" s="965">
        <f>IF(E2="商业",项目基本情况!B44,IF(E2="办公",项目基本情况!C44,IF(E2="住宅",项目基本情况!D44,项目基本情况!E44)))</f>
        <v>0</v>
      </c>
      <c r="J2" s="1233"/>
      <c r="K2" s="1901"/>
      <c r="L2" s="1656" t="s">
        <v>2030</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1486</v>
      </c>
      <c r="B3" s="955" t="e">
        <f>ROUND(B2*10000/D1,0)</f>
        <v>#DIV/0!</v>
      </c>
      <c r="C3" s="1239" t="s">
        <v>905</v>
      </c>
      <c r="D3" s="1240" t="s">
        <v>906</v>
      </c>
      <c r="E3" s="1243"/>
      <c r="F3" s="1244"/>
      <c r="G3" s="956">
        <f>IF(F3="宗地容积率",'数据-汇总表'!I4,IF(F3="估价对象容积率",'数据-汇总表'!I6,'数据-汇总表'!I7))</f>
        <v>2.6</v>
      </c>
      <c r="H3" s="1240" t="s">
        <v>907</v>
      </c>
      <c r="I3" s="957">
        <v>8</v>
      </c>
      <c r="J3" s="1233" t="s">
        <v>908</v>
      </c>
      <c r="K3" s="1901"/>
      <c r="L3" s="1656" t="s">
        <v>2031</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2070</v>
      </c>
      <c r="B4" s="2121" t="e">
        <f>ROUND(B2*10000/F1,0)</f>
        <v>#DIV/0!</v>
      </c>
      <c r="C4" s="1665" t="s">
        <v>2045</v>
      </c>
      <c r="D4" s="1665" t="e">
        <f>ROUND(B2/(F1/666.67),0)</f>
        <v>#DIV/0!</v>
      </c>
      <c r="E4" s="1665" t="s">
        <v>2046</v>
      </c>
      <c r="F4" s="1663"/>
      <c r="G4" s="1663"/>
      <c r="H4" s="1663"/>
      <c r="I4" s="1663"/>
      <c r="J4" s="1664"/>
      <c r="K4" s="2897"/>
      <c r="L4" s="1656" t="s">
        <v>2032</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1622</v>
      </c>
      <c r="B5" s="1245" t="s">
        <v>909</v>
      </c>
      <c r="C5" s="958" t="e">
        <f>ROUND(IF(E2="商业",C6*C7+C16,(IF(E2="住宅",C6*C12+C16,C6+C16))),0)</f>
        <v>#DIV/0!</v>
      </c>
      <c r="D5" s="2515" t="e">
        <f>ROUND(C6+C16,0)</f>
        <v>#DIV/0!</v>
      </c>
      <c r="E5" s="2515"/>
      <c r="F5" s="1246"/>
      <c r="G5" s="1247"/>
      <c r="H5" s="1247"/>
      <c r="I5" s="1247"/>
      <c r="J5" s="1248"/>
      <c r="K5" s="2898"/>
      <c r="L5" s="1656" t="s">
        <v>2033</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1665</v>
      </c>
      <c r="B6" s="1252" t="s">
        <v>909</v>
      </c>
      <c r="C6" s="959">
        <f>SUMIF(L1:L12,基准地价!G2,M1:M12)</f>
        <v>0</v>
      </c>
      <c r="D6" s="1253" t="s">
        <v>1494</v>
      </c>
      <c r="E6" s="1254"/>
      <c r="F6" s="1254"/>
      <c r="G6" s="1255"/>
      <c r="H6" s="1255"/>
      <c r="I6" s="1255"/>
      <c r="J6" s="1256"/>
      <c r="K6" s="1901"/>
      <c r="L6" s="1656" t="s">
        <v>2034</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55" t="str">
        <f>IF(E2="商业",IF(C8="不临58条商业街","",2),"")</f>
        <v/>
      </c>
      <c r="B7" s="1257" t="s">
        <v>910</v>
      </c>
      <c r="C7" s="960" t="e">
        <f>IF(C8="不临58条商业街",1,ROUND(1+(1.6*E8+1.2*E9+0.8*E10+0.4*E11)*C9,4))</f>
        <v>#DIV/0!</v>
      </c>
      <c r="D7" s="1258" t="s">
        <v>911</v>
      </c>
      <c r="E7" s="961"/>
      <c r="F7" s="1259"/>
      <c r="G7" s="1260"/>
      <c r="H7" s="1260"/>
      <c r="I7" s="1260"/>
      <c r="J7" s="1261"/>
      <c r="K7" s="1901"/>
      <c r="L7" s="1656" t="s">
        <v>2035</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2479</v>
      </c>
      <c r="X7" s="2377">
        <f>G2</f>
        <v>0</v>
      </c>
      <c r="Y7" s="2377" t="s">
        <v>2480</v>
      </c>
      <c r="Z7" s="2378">
        <f>G3</f>
        <v>2.6</v>
      </c>
      <c r="AA7" s="1904"/>
      <c r="AB7" s="1904"/>
      <c r="AC7" s="1905"/>
      <c r="AD7" s="2379"/>
      <c r="AE7" s="2379"/>
      <c r="AF7" s="2379"/>
      <c r="AG7" s="2379"/>
      <c r="AH7" s="2379"/>
      <c r="AI7" s="2379"/>
      <c r="AJ7" s="2380"/>
    </row>
    <row r="8" spans="1:39" ht="15">
      <c r="A8" s="3456"/>
      <c r="B8" s="1240" t="s">
        <v>912</v>
      </c>
      <c r="C8" s="1348"/>
      <c r="D8" s="962" t="s">
        <v>913</v>
      </c>
      <c r="E8" s="963" t="e">
        <f>ROUND(C11/E7,4)</f>
        <v>#DIV/0!</v>
      </c>
      <c r="F8" s="1262" t="s">
        <v>914</v>
      </c>
      <c r="G8" s="1263"/>
      <c r="H8" s="1263"/>
      <c r="I8" s="1263"/>
      <c r="J8" s="1264"/>
      <c r="K8" s="1901"/>
      <c r="L8" s="1656" t="s">
        <v>2036</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66" t="s">
        <v>2497</v>
      </c>
      <c r="X8" s="3467"/>
      <c r="Y8" s="1620" t="s">
        <v>2481</v>
      </c>
      <c r="Z8" s="1620" t="s">
        <v>2482</v>
      </c>
      <c r="AA8" s="1620" t="s">
        <v>2483</v>
      </c>
      <c r="AB8" s="1620" t="s">
        <v>2484</v>
      </c>
      <c r="AC8" s="1620" t="s">
        <v>2485</v>
      </c>
      <c r="AD8" s="1620" t="s">
        <v>2486</v>
      </c>
      <c r="AE8" s="1620" t="s">
        <v>2487</v>
      </c>
      <c r="AF8" s="1620" t="s">
        <v>2488</v>
      </c>
      <c r="AG8" s="1620" t="s">
        <v>2489</v>
      </c>
      <c r="AH8" s="1620" t="s">
        <v>2490</v>
      </c>
      <c r="AI8" s="1620" t="s">
        <v>2491</v>
      </c>
      <c r="AJ8" s="1620" t="s">
        <v>2492</v>
      </c>
    </row>
    <row r="9" spans="1:39" ht="15">
      <c r="A9" s="3456"/>
      <c r="B9" s="1240" t="s">
        <v>915</v>
      </c>
      <c r="C9" s="964">
        <f>SUMIF(修正!C71:C139,C8,修正!E71:E139)</f>
        <v>0</v>
      </c>
      <c r="D9" s="965" t="s">
        <v>916</v>
      </c>
      <c r="E9" s="965" t="e">
        <f>ROUND(C11/E7,4)</f>
        <v>#DIV/0!</v>
      </c>
      <c r="F9" s="1262" t="s">
        <v>917</v>
      </c>
      <c r="G9" s="1263"/>
      <c r="H9" s="1263"/>
      <c r="I9" s="1263"/>
      <c r="J9" s="1264"/>
      <c r="K9" s="1901"/>
      <c r="L9" s="1656" t="s">
        <v>2037</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65" t="s">
        <v>2493</v>
      </c>
      <c r="X9" s="2381" t="s">
        <v>2494</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56"/>
      <c r="B10" s="1240" t="s">
        <v>918</v>
      </c>
      <c r="C10" s="965">
        <f>SUMIF(修正!C71:C139,C8,修正!F71:F139)</f>
        <v>0</v>
      </c>
      <c r="D10" s="965" t="s">
        <v>919</v>
      </c>
      <c r="E10" s="965" t="e">
        <f>ROUND(C11/E7,4)</f>
        <v>#DIV/0!</v>
      </c>
      <c r="F10" s="1262" t="s">
        <v>920</v>
      </c>
      <c r="G10" s="1263"/>
      <c r="H10" s="1263"/>
      <c r="I10" s="1263"/>
      <c r="J10" s="1264"/>
      <c r="K10" s="1901"/>
      <c r="L10" s="1656" t="s">
        <v>2038</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65"/>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56"/>
      <c r="B11" s="1265" t="s">
        <v>921</v>
      </c>
      <c r="C11" s="966">
        <f>C10/4</f>
        <v>0</v>
      </c>
      <c r="D11" s="966" t="s">
        <v>922</v>
      </c>
      <c r="E11" s="966" t="e">
        <f>ROUND(C11/E7,4)</f>
        <v>#DIV/0!</v>
      </c>
      <c r="F11" s="1266" t="s">
        <v>923</v>
      </c>
      <c r="G11" s="1267"/>
      <c r="H11" s="1267"/>
      <c r="I11" s="1267"/>
      <c r="J11" s="1268"/>
      <c r="K11" s="1901"/>
      <c r="L11" s="1656" t="s">
        <v>2039</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65" t="s">
        <v>2495</v>
      </c>
      <c r="X11" s="965" t="s">
        <v>2480</v>
      </c>
      <c r="Y11" s="965">
        <f>$G$3</f>
        <v>2.6</v>
      </c>
      <c r="Z11" s="965">
        <f t="shared" ref="Z11:AJ11" si="3">$G$3</f>
        <v>2.6</v>
      </c>
      <c r="AA11" s="965">
        <f t="shared" si="3"/>
        <v>2.6</v>
      </c>
      <c r="AB11" s="965">
        <f t="shared" si="3"/>
        <v>2.6</v>
      </c>
      <c r="AC11" s="965">
        <f t="shared" si="3"/>
        <v>2.6</v>
      </c>
      <c r="AD11" s="965">
        <f t="shared" si="3"/>
        <v>2.6</v>
      </c>
      <c r="AE11" s="965">
        <f t="shared" si="3"/>
        <v>2.6</v>
      </c>
      <c r="AF11" s="965">
        <f t="shared" si="3"/>
        <v>2.6</v>
      </c>
      <c r="AG11" s="965">
        <f t="shared" si="3"/>
        <v>2.6</v>
      </c>
      <c r="AH11" s="965">
        <f t="shared" si="3"/>
        <v>2.6</v>
      </c>
      <c r="AI11" s="965">
        <f t="shared" si="3"/>
        <v>2.6</v>
      </c>
      <c r="AJ11" s="965">
        <f t="shared" si="3"/>
        <v>2.6</v>
      </c>
    </row>
    <row r="12" spans="1:39" ht="25.5" thickBot="1">
      <c r="A12" s="3455" t="s">
        <v>1666</v>
      </c>
      <c r="B12" s="1269" t="s">
        <v>924</v>
      </c>
      <c r="C12" s="960">
        <f>ROUND(C15*D15*E15*F15*G15*H15*I15*J15,4)</f>
        <v>1</v>
      </c>
      <c r="D12" s="1270" t="s">
        <v>925</v>
      </c>
      <c r="E12" s="1271"/>
      <c r="F12" s="1271"/>
      <c r="G12" s="1272"/>
      <c r="H12" s="1272"/>
      <c r="I12" s="1272"/>
      <c r="J12" s="1273"/>
      <c r="K12" s="1901"/>
      <c r="L12" s="1659" t="s">
        <v>2040</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65"/>
      <c r="X12" s="2384" t="s">
        <v>2496</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57"/>
      <c r="B13" s="1274" t="s">
        <v>1495</v>
      </c>
      <c r="C13" s="1275" t="s">
        <v>1496</v>
      </c>
      <c r="D13" s="1002" t="s">
        <v>1497</v>
      </c>
      <c r="E13" s="1002" t="s">
        <v>1498</v>
      </c>
      <c r="F13" s="1276" t="s">
        <v>926</v>
      </c>
      <c r="G13" s="1277" t="s">
        <v>1442</v>
      </c>
      <c r="H13" s="1278" t="s">
        <v>1442</v>
      </c>
      <c r="I13" s="1278" t="s">
        <v>1442</v>
      </c>
      <c r="J13" s="1279" t="s">
        <v>1442</v>
      </c>
      <c r="K13" s="1902"/>
      <c r="L13" s="1902"/>
      <c r="M13" s="1902"/>
      <c r="N13" s="1902"/>
      <c r="O13" s="1902"/>
      <c r="P13" s="1901"/>
      <c r="Q13" s="1901"/>
      <c r="R13" s="2387">
        <v>12</v>
      </c>
      <c r="S13" s="2376"/>
      <c r="T13" s="2387" t="e">
        <f t="shared" si="0"/>
        <v>#DIV/0!</v>
      </c>
      <c r="U13" s="2376"/>
      <c r="V13" s="2387" t="e">
        <f t="shared" si="1"/>
        <v>#DIV/0!</v>
      </c>
      <c r="W13" s="3465"/>
      <c r="X13" s="2384"/>
      <c r="Y13" s="2383">
        <f>(-0.163*(Y12^2)-0.59*Y12+7617)*(10^(-4))/Y11</f>
        <v>0.2929615384615385</v>
      </c>
      <c r="Z13" s="2383">
        <f t="shared" ref="Z13:AJ13" si="5">(-0.163*(Z12^2)-0.59*Z12+7617)*(10^(-4))/Z11</f>
        <v>0.2929615384615385</v>
      </c>
      <c r="AA13" s="2383">
        <f t="shared" si="5"/>
        <v>0.2929615384615385</v>
      </c>
      <c r="AB13" s="2383">
        <f t="shared" si="5"/>
        <v>0.2929615384615385</v>
      </c>
      <c r="AC13" s="2383">
        <f t="shared" si="5"/>
        <v>0.2929615384615385</v>
      </c>
      <c r="AD13" s="2383">
        <f t="shared" si="5"/>
        <v>0.2929615384615385</v>
      </c>
      <c r="AE13" s="2383">
        <f t="shared" si="5"/>
        <v>0.2929615384615385</v>
      </c>
      <c r="AF13" s="2383">
        <f t="shared" si="5"/>
        <v>0.2929615384615385</v>
      </c>
      <c r="AG13" s="2383">
        <f t="shared" si="5"/>
        <v>0.2929615384615385</v>
      </c>
      <c r="AH13" s="2383">
        <f t="shared" si="5"/>
        <v>0.2929615384615385</v>
      </c>
      <c r="AI13" s="2383">
        <f t="shared" si="5"/>
        <v>0.2929615384615385</v>
      </c>
      <c r="AJ13" s="2383">
        <f t="shared" si="5"/>
        <v>0.2929615384615385</v>
      </c>
    </row>
    <row r="14" spans="1:39" ht="12.75" customHeight="1">
      <c r="A14" s="3457"/>
      <c r="B14" s="1280"/>
      <c r="C14" s="1281"/>
      <c r="D14" s="1282"/>
      <c r="E14" s="1282"/>
      <c r="F14" s="1283"/>
      <c r="G14" s="1284" t="s">
        <v>927</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58"/>
      <c r="B15" s="2565" t="s">
        <v>1499</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55" t="s">
        <v>1637</v>
      </c>
      <c r="B16" s="1257" t="s">
        <v>928</v>
      </c>
      <c r="C16" s="969" t="e">
        <f>ROUND(IF(F17="与级别开发程度一致",0,(G17-E17)/C17),0)</f>
        <v>#DIV/0!</v>
      </c>
      <c r="D16" s="3473" t="s">
        <v>932</v>
      </c>
      <c r="E16" s="3474"/>
      <c r="F16" s="3473" t="s">
        <v>929</v>
      </c>
      <c r="G16" s="3474"/>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59"/>
      <c r="B17" s="2571" t="s">
        <v>931</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1628</v>
      </c>
      <c r="B18" s="2566" t="s">
        <v>933</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1634</v>
      </c>
      <c r="B19" s="1290" t="s">
        <v>934</v>
      </c>
      <c r="C19" s="970">
        <f>ROUND(IF(H19="按公示增长率计算",SUMPRODUCT((地价!A3:A41=YEAR(G19)&amp;"-"&amp;ROUNDUP(MONTH(G19)/3,0))*(地价!X2:AB2=E2)*(地价!X3:AB41)),IF(H19="地价指数",M20/M19,(1+I19)^O19)),4)</f>
        <v>0</v>
      </c>
      <c r="D19" s="1294" t="s">
        <v>935</v>
      </c>
      <c r="E19" s="971">
        <v>41640</v>
      </c>
      <c r="F19" s="1294" t="s">
        <v>936</v>
      </c>
      <c r="G19" s="972">
        <f>'数据-取费表'!B2</f>
        <v>44895</v>
      </c>
      <c r="H19" s="1295" t="s">
        <v>2683</v>
      </c>
      <c r="I19" s="2254" t="str">
        <f>IF(H19="季度增幅（自定义）",SUMIF(N21:N24,E2,O21:O24),"")</f>
        <v/>
      </c>
      <c r="J19" s="1291"/>
      <c r="K19" s="2898"/>
      <c r="L19" s="2478" t="s">
        <v>2553</v>
      </c>
      <c r="M19" s="2479">
        <f>ROUND(SUMIF(地价!B2:F2,E2,地价!B41:F41),0)</f>
        <v>0</v>
      </c>
      <c r="N19" s="2256" t="s">
        <v>1475</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1635</v>
      </c>
      <c r="B20" s="2249" t="s">
        <v>949</v>
      </c>
      <c r="C20" s="2250" t="e">
        <f>ROUND(POWER(1+G20,J20-I20)*(POWER(1+G20,I20)-1)/(POWER(1+G20,J20)-1),4)</f>
        <v>#DIV/0!</v>
      </c>
      <c r="D20" s="2251" t="s">
        <v>950</v>
      </c>
      <c r="E20" s="2505">
        <f>存贷款利率!E22/100</f>
        <v>4.3499999999999997E-2</v>
      </c>
      <c r="F20" s="2251" t="s">
        <v>951</v>
      </c>
      <c r="G20" s="2252">
        <f>SUMIF(M26:P26,E2,M28:P28)</f>
        <v>0</v>
      </c>
      <c r="H20" s="2251" t="s">
        <v>952</v>
      </c>
      <c r="I20" s="2247" t="e">
        <f>SUMIF('数据-取费表'!C6:C15,E2,'数据-取费表'!F6:F15)/COUNTIF('数据-取费表'!C6:C15,E2)</f>
        <v>#DIV/0!</v>
      </c>
      <c r="J20" s="2253">
        <f>IF(E2="住宅",70,IF(E2="商业",40,50))</f>
        <v>50</v>
      </c>
      <c r="K20" s="1905"/>
      <c r="L20" s="2480" t="s">
        <v>2554</v>
      </c>
      <c r="M20" s="2556">
        <f>ROUND(SUMPRODUCT((地价!A4:A41=YEAR(G19)&amp;"-"&amp;ROUNDUP(MONTH(G19)/3,0))*(地价!B2:F2=E2)*(地价!B4:F41)),0)</f>
        <v>0</v>
      </c>
      <c r="N20" s="2259" t="s">
        <v>2361</v>
      </c>
      <c r="O20" s="2257" t="s">
        <v>2360</v>
      </c>
      <c r="P20" s="2258" t="s">
        <v>2365</v>
      </c>
      <c r="Q20" s="2375"/>
      <c r="R20" s="1907"/>
      <c r="S20" s="1907"/>
      <c r="T20" s="1907"/>
      <c r="U20" s="1907"/>
      <c r="V20" s="1907"/>
      <c r="W20" s="1907"/>
      <c r="X20" s="1907"/>
      <c r="Y20" s="1292"/>
      <c r="Z20" s="1292"/>
      <c r="AA20" s="1292"/>
      <c r="AB20" s="1292"/>
      <c r="AC20" s="1292"/>
      <c r="AD20" s="1292"/>
    </row>
    <row r="21" spans="1:40" s="1251" customFormat="1" ht="14.25">
      <c r="A21" s="1438" t="s">
        <v>1636</v>
      </c>
      <c r="B21" s="1300" t="s">
        <v>2716</v>
      </c>
      <c r="C21" s="1049" t="b">
        <f>IF(B21="容积率修正",IF(G3&lt;=10,D22,J22),C23)</f>
        <v>0</v>
      </c>
      <c r="D21" s="1301"/>
      <c r="E21" s="1301"/>
      <c r="F21" s="1301"/>
      <c r="G21" s="1301"/>
      <c r="H21" s="1301"/>
      <c r="I21" s="1301"/>
      <c r="J21" s="1302"/>
      <c r="K21" s="2898"/>
      <c r="L21" s="1301"/>
      <c r="M21" s="1301"/>
      <c r="N21" s="1298" t="s">
        <v>953</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1665</v>
      </c>
      <c r="B22" s="1303" t="s">
        <v>954</v>
      </c>
      <c r="C22" s="973" t="s">
        <v>1501</v>
      </c>
      <c r="D22" s="973" t="b">
        <f>IF(E22=G22,F22,IF(G3&lt;=10,ROUND(F22+(H22-F22)*(G3-E22)/(G22-E22),4),"——"))</f>
        <v>0</v>
      </c>
      <c r="E22" s="956">
        <f>ROUNDDOWN(G3,1)</f>
        <v>2.6</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2.6</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955</v>
      </c>
      <c r="J22" s="973" t="str">
        <f>IF(G3&gt;10,D113,"——")</f>
        <v>——</v>
      </c>
      <c r="K22" s="2375"/>
      <c r="L22" s="1301"/>
      <c r="M22" s="1301"/>
      <c r="N22" s="1298" t="s">
        <v>956</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1666</v>
      </c>
      <c r="B23" s="1303" t="s">
        <v>957</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901</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1667</v>
      </c>
      <c r="B24" s="1245" t="s">
        <v>958</v>
      </c>
      <c r="C24" s="975">
        <f>SUMIF(A44:A87,E2,B44:B87)</f>
        <v>0</v>
      </c>
      <c r="D24" s="1354"/>
      <c r="E24" s="1355"/>
      <c r="F24" s="1355"/>
      <c r="G24" s="1355"/>
      <c r="H24" s="1355"/>
      <c r="I24" s="1355"/>
      <c r="J24" s="1355"/>
      <c r="K24" s="1907"/>
      <c r="L24" s="1301"/>
      <c r="M24" s="1301"/>
      <c r="N24" s="1298" t="s">
        <v>959</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1668</v>
      </c>
      <c r="B25" s="1305" t="s">
        <v>960</v>
      </c>
      <c r="C25" s="1306"/>
      <c r="D25" s="1260"/>
      <c r="E25" s="1260"/>
      <c r="F25" s="1307"/>
      <c r="G25" s="1260"/>
      <c r="H25" s="1260"/>
      <c r="I25" s="1260"/>
      <c r="J25" s="1261"/>
      <c r="K25" s="1901"/>
      <c r="L25" s="1907"/>
      <c r="M25" s="1907"/>
      <c r="N25" s="2557" t="s">
        <v>2363</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964</v>
      </c>
      <c r="C26" s="2712" t="e">
        <f>IF(B21="容积率修正",E29+SUM(E33:E39),SUM(V2:V16)+SUM(E33:E39))</f>
        <v>#DIV/0!</v>
      </c>
      <c r="D26" s="1309"/>
      <c r="E26" s="1233"/>
      <c r="F26" s="1310"/>
      <c r="G26" s="1233"/>
      <c r="H26" s="1233"/>
      <c r="I26" s="1233"/>
      <c r="J26" s="1311"/>
      <c r="K26" s="1901"/>
      <c r="L26" s="1401" t="s">
        <v>876</v>
      </c>
      <c r="M26" s="1258" t="s">
        <v>961</v>
      </c>
      <c r="N26" s="1258" t="s">
        <v>962</v>
      </c>
      <c r="O26" s="1258" t="s">
        <v>880</v>
      </c>
      <c r="P26" s="1296" t="s">
        <v>963</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966</v>
      </c>
      <c r="C27" s="977" t="e">
        <f>E30+SUM(I33:I39)</f>
        <v>#DIV/0!</v>
      </c>
      <c r="D27" s="1313"/>
      <c r="E27" s="1314"/>
      <c r="F27" s="1315"/>
      <c r="G27" s="1314"/>
      <c r="H27" s="1314"/>
      <c r="I27" s="1314"/>
      <c r="J27" s="1316"/>
      <c r="K27" s="1901"/>
      <c r="L27" s="1288" t="s">
        <v>965</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967</v>
      </c>
      <c r="C28" s="1318" t="s">
        <v>968</v>
      </c>
      <c r="D28" s="1318" t="s">
        <v>969</v>
      </c>
      <c r="E28" s="1319" t="s">
        <v>970</v>
      </c>
      <c r="F28" s="1320"/>
      <c r="G28" s="1272"/>
      <c r="H28" s="1272"/>
      <c r="I28" s="1272"/>
      <c r="J28" s="1273"/>
      <c r="K28" s="1901"/>
      <c r="L28" s="1289" t="s">
        <v>951</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971</v>
      </c>
      <c r="C29" s="976" t="e">
        <f>ROUND(C5*C18*C19*C20*C21*C24,0)</f>
        <v>#DIV/0!</v>
      </c>
      <c r="D29" s="1323"/>
      <c r="E29" s="1620" t="e">
        <f>ROUND(C29*D29/10000,0)</f>
        <v>#DIV/0!</v>
      </c>
      <c r="F29" s="1324" t="s">
        <v>1500</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972</v>
      </c>
      <c r="C30" s="968" t="e">
        <f>ROUND(IF(E2="工业",C29*M39,C29*M38),0)</f>
        <v>#DIV/0!</v>
      </c>
      <c r="D30" s="1329"/>
      <c r="E30" s="1620" t="e">
        <f>ROUND(C30*D30/10000,0)</f>
        <v>#DIV/0!</v>
      </c>
      <c r="F30" s="1330" t="s">
        <v>973</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974</v>
      </c>
      <c r="C31" s="1335" t="s">
        <v>975</v>
      </c>
      <c r="D31" s="1272"/>
      <c r="E31" s="1335"/>
      <c r="F31" s="1335"/>
      <c r="G31" s="1270" t="s">
        <v>973</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968</v>
      </c>
      <c r="D32" s="1339" t="s">
        <v>969</v>
      </c>
      <c r="E32" s="1339" t="s">
        <v>970</v>
      </c>
      <c r="F32" s="1340" t="s">
        <v>976</v>
      </c>
      <c r="G32" s="1299" t="s">
        <v>968</v>
      </c>
      <c r="H32" s="1299" t="s">
        <v>969</v>
      </c>
      <c r="I32" s="1299" t="s">
        <v>970</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62"/>
      <c r="B33" s="1343" t="s">
        <v>977</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62" t="s">
        <v>2720</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63"/>
      <c r="B34" s="1275" t="s">
        <v>978</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63"/>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63"/>
      <c r="B35" s="1275" t="s">
        <v>979</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63"/>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64"/>
      <c r="B36" s="1275" t="s">
        <v>980</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64"/>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981</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1502</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982</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1504</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983</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1503</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2678</v>
      </c>
      <c r="C41" s="778" t="e">
        <f>ROUND(POWER(1+E41,H41-G41)*(POWER(1+E41,G41)-1)/(POWER(1+E41,H41)-1),4)</f>
        <v>#DIV/0!</v>
      </c>
      <c r="D41" s="353" t="s">
        <v>2676</v>
      </c>
      <c r="E41" s="2552">
        <f>G20</f>
        <v>0</v>
      </c>
      <c r="F41" s="353" t="s">
        <v>2677</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984</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985</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986</v>
      </c>
      <c r="B46" s="981" t="s">
        <v>987</v>
      </c>
      <c r="C46" s="2101" t="s">
        <v>988</v>
      </c>
      <c r="D46" s="2102" t="s">
        <v>989</v>
      </c>
      <c r="E46" s="2103" t="s">
        <v>991</v>
      </c>
      <c r="F46" s="2104" t="s">
        <v>2041</v>
      </c>
      <c r="G46" s="2102" t="s">
        <v>992</v>
      </c>
      <c r="H46" s="2086" t="s">
        <v>2204</v>
      </c>
      <c r="I46" s="2102" t="s">
        <v>990</v>
      </c>
      <c r="J46" s="2105" t="s">
        <v>993</v>
      </c>
      <c r="K46" s="2105" t="s">
        <v>994</v>
      </c>
      <c r="L46" s="2105" t="s">
        <v>995</v>
      </c>
      <c r="M46" s="2105" t="s">
        <v>996</v>
      </c>
      <c r="N46" s="2105" t="s">
        <v>997</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998</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999</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1000</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1001</v>
      </c>
      <c r="B50" s="2507" t="s">
        <v>2635</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1002</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1003</v>
      </c>
      <c r="B52" s="2506" t="s">
        <v>2634</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1004</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1005</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1006</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1007</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986</v>
      </c>
      <c r="B57" s="981"/>
      <c r="C57" s="2101" t="s">
        <v>988</v>
      </c>
      <c r="D57" s="2102" t="s">
        <v>989</v>
      </c>
      <c r="E57" s="2103" t="s">
        <v>991</v>
      </c>
      <c r="F57" s="2104" t="s">
        <v>2042</v>
      </c>
      <c r="G57" s="2102" t="s">
        <v>992</v>
      </c>
      <c r="H57" s="2086" t="s">
        <v>2204</v>
      </c>
      <c r="I57" s="2102" t="s">
        <v>990</v>
      </c>
      <c r="J57" s="2105" t="s">
        <v>993</v>
      </c>
      <c r="K57" s="2105" t="s">
        <v>994</v>
      </c>
      <c r="L57" s="2105" t="s">
        <v>995</v>
      </c>
      <c r="M57" s="2105" t="s">
        <v>996</v>
      </c>
      <c r="N57" s="2105" t="s">
        <v>997</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1008</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999</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1000</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1001</v>
      </c>
      <c r="B61" s="2507" t="s">
        <v>2636</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1002</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1003</v>
      </c>
      <c r="B63" s="2506" t="s">
        <v>2634</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1004</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1005</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1006</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1009</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986</v>
      </c>
      <c r="B68" s="981"/>
      <c r="C68" s="2101" t="s">
        <v>988</v>
      </c>
      <c r="D68" s="2102" t="s">
        <v>989</v>
      </c>
      <c r="E68" s="2103" t="s">
        <v>991</v>
      </c>
      <c r="F68" s="2104" t="s">
        <v>2043</v>
      </c>
      <c r="G68" s="2102" t="s">
        <v>992</v>
      </c>
      <c r="H68" s="2086" t="s">
        <v>2204</v>
      </c>
      <c r="I68" s="2102" t="s">
        <v>990</v>
      </c>
      <c r="J68" s="2105" t="s">
        <v>993</v>
      </c>
      <c r="K68" s="2105" t="s">
        <v>994</v>
      </c>
      <c r="L68" s="2105" t="s">
        <v>995</v>
      </c>
      <c r="M68" s="2105" t="s">
        <v>996</v>
      </c>
      <c r="N68" s="2105" t="s">
        <v>997</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1010</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1011</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1000</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1012</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1004</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1005</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1003</v>
      </c>
      <c r="B75" s="2506" t="s">
        <v>2634</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1006</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1013</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1014</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986</v>
      </c>
      <c r="B79" s="981"/>
      <c r="C79" s="2101" t="s">
        <v>988</v>
      </c>
      <c r="D79" s="2102" t="s">
        <v>989</v>
      </c>
      <c r="E79" s="2103" t="s">
        <v>991</v>
      </c>
      <c r="F79" s="2104" t="s">
        <v>2044</v>
      </c>
      <c r="G79" s="2102" t="s">
        <v>992</v>
      </c>
      <c r="H79" s="2086" t="s">
        <v>2204</v>
      </c>
      <c r="I79" s="2102" t="s">
        <v>990</v>
      </c>
      <c r="J79" s="2105" t="s">
        <v>993</v>
      </c>
      <c r="K79" s="2105" t="s">
        <v>994</v>
      </c>
      <c r="L79" s="2105" t="s">
        <v>995</v>
      </c>
      <c r="M79" s="2105" t="s">
        <v>996</v>
      </c>
      <c r="N79" s="2105" t="s">
        <v>997</v>
      </c>
      <c r="AC79" s="1237"/>
      <c r="AD79" s="1236"/>
      <c r="AJ79" s="1235"/>
      <c r="AN79" s="1236"/>
    </row>
    <row r="80" spans="1:40" ht="36">
      <c r="A80" s="980" t="s">
        <v>1015</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1011</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1000</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1012</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1004</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1005</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1003</v>
      </c>
      <c r="B86" s="2506" t="s">
        <v>2634</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1016</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60" t="s">
        <v>1433</v>
      </c>
      <c r="B90" s="3460"/>
      <c r="C90" s="3460"/>
      <c r="D90" s="3460"/>
      <c r="E90" s="3460"/>
      <c r="F90" s="3460"/>
      <c r="G90" s="3460"/>
      <c r="H90" s="3460"/>
      <c r="I90" s="3460"/>
      <c r="J90" s="3460"/>
      <c r="K90" s="1046"/>
      <c r="L90" s="1046"/>
      <c r="M90" s="1046"/>
      <c r="N90" s="1046"/>
    </row>
    <row r="91" spans="1:40">
      <c r="A91" s="3461" t="s">
        <v>1421</v>
      </c>
      <c r="B91" s="3461" t="s">
        <v>1434</v>
      </c>
      <c r="C91" s="1032" t="s">
        <v>1435</v>
      </c>
      <c r="D91" s="1033"/>
      <c r="E91" s="1033"/>
      <c r="F91" s="1033"/>
      <c r="G91" s="1033"/>
      <c r="H91" s="1033"/>
      <c r="I91" s="1033"/>
      <c r="J91" s="1034"/>
      <c r="K91" s="1027"/>
      <c r="L91" s="1027"/>
      <c r="M91" s="1027"/>
      <c r="N91" s="1027"/>
    </row>
    <row r="92" spans="1:40">
      <c r="A92" s="3461"/>
      <c r="B92" s="3461"/>
      <c r="C92" s="1045" t="s">
        <v>885</v>
      </c>
      <c r="D92" s="1045" t="s">
        <v>863</v>
      </c>
      <c r="E92" s="1045" t="s">
        <v>864</v>
      </c>
      <c r="F92" s="1045" t="s">
        <v>888</v>
      </c>
      <c r="G92" s="1045" t="s">
        <v>866</v>
      </c>
      <c r="H92" s="1045" t="s">
        <v>867</v>
      </c>
      <c r="I92" s="1045" t="s">
        <v>868</v>
      </c>
      <c r="J92" s="1045" t="s">
        <v>869</v>
      </c>
      <c r="K92" s="1045" t="s">
        <v>893</v>
      </c>
      <c r="L92" s="1045" t="s">
        <v>871</v>
      </c>
      <c r="M92" s="1045" t="s">
        <v>872</v>
      </c>
      <c r="N92" s="1045" t="s">
        <v>896</v>
      </c>
    </row>
    <row r="93" spans="1:40">
      <c r="A93" s="3468" t="s">
        <v>2478</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69"/>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69"/>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69"/>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69"/>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69"/>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69"/>
      <c r="B99" s="1035" t="s">
        <v>1436</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70"/>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68" t="s">
        <v>1437</v>
      </c>
      <c r="B101" s="1039" t="s">
        <v>884</v>
      </c>
      <c r="C101" s="1040">
        <f>$G$3</f>
        <v>2.6</v>
      </c>
      <c r="D101" s="1040">
        <f t="shared" ref="D101:N101" si="31">$G$3</f>
        <v>2.6</v>
      </c>
      <c r="E101" s="1040">
        <f t="shared" si="31"/>
        <v>2.6</v>
      </c>
      <c r="F101" s="1040">
        <f t="shared" si="31"/>
        <v>2.6</v>
      </c>
      <c r="G101" s="1040">
        <f t="shared" si="31"/>
        <v>2.6</v>
      </c>
      <c r="H101" s="1040">
        <f t="shared" si="31"/>
        <v>2.6</v>
      </c>
      <c r="I101" s="1040">
        <f t="shared" si="31"/>
        <v>2.6</v>
      </c>
      <c r="J101" s="1040">
        <f t="shared" si="31"/>
        <v>2.6</v>
      </c>
      <c r="K101" s="1040">
        <f t="shared" si="31"/>
        <v>2.6</v>
      </c>
      <c r="L101" s="1040">
        <f t="shared" si="31"/>
        <v>2.6</v>
      </c>
      <c r="M101" s="1040">
        <f t="shared" si="31"/>
        <v>2.6</v>
      </c>
      <c r="N101" s="1040">
        <f t="shared" si="31"/>
        <v>2.6</v>
      </c>
    </row>
    <row r="102" spans="1:14">
      <c r="A102" s="3469"/>
      <c r="B102" s="1035">
        <v>1</v>
      </c>
      <c r="C102" s="1036">
        <f>1.9362/C101</f>
        <v>0.74469230769230765</v>
      </c>
      <c r="D102" s="1036">
        <f>1.9362/D101</f>
        <v>0.74469230769230765</v>
      </c>
      <c r="E102" s="1036">
        <f>1.8629/E101</f>
        <v>0.71650000000000003</v>
      </c>
      <c r="F102" s="1036">
        <f>1.8629/F101</f>
        <v>0.71650000000000003</v>
      </c>
      <c r="G102" s="1036">
        <f>1.8629/G101</f>
        <v>0.71650000000000003</v>
      </c>
      <c r="H102" s="1036">
        <f>1.8629/H101</f>
        <v>0.71650000000000003</v>
      </c>
      <c r="I102" s="1036">
        <f>1.8629/I101</f>
        <v>0.71650000000000003</v>
      </c>
      <c r="J102" s="1036">
        <f>1.942/J101</f>
        <v>0.74692307692307691</v>
      </c>
      <c r="K102" s="1036">
        <f>1.942/K101</f>
        <v>0.74692307692307691</v>
      </c>
      <c r="L102" s="1036">
        <f>1.942/L101</f>
        <v>0.74692307692307691</v>
      </c>
      <c r="M102" s="1036">
        <f>1.942/M101</f>
        <v>0.74692307692307691</v>
      </c>
      <c r="N102" s="1036">
        <f>1.942/N101</f>
        <v>0.74692307692307691</v>
      </c>
    </row>
    <row r="103" spans="1:14">
      <c r="A103" s="3469"/>
      <c r="B103" s="1035">
        <v>2</v>
      </c>
      <c r="C103" s="1036">
        <f>1.4198/C101</f>
        <v>0.54607692307692302</v>
      </c>
      <c r="D103" s="1036">
        <f>1.4198/D101</f>
        <v>0.54607692307692302</v>
      </c>
      <c r="E103" s="1036">
        <f>1.3372/E101</f>
        <v>0.51430769230769224</v>
      </c>
      <c r="F103" s="1036">
        <f>1.3372/F101</f>
        <v>0.51430769230769224</v>
      </c>
      <c r="G103" s="1036">
        <f>1.3372/G101</f>
        <v>0.51430769230769224</v>
      </c>
      <c r="H103" s="1036">
        <f>1.3372/H101</f>
        <v>0.51430769230769224</v>
      </c>
      <c r="I103" s="1036">
        <f>1.3372/I101</f>
        <v>0.51430769230769224</v>
      </c>
      <c r="J103" s="1036">
        <f>1.2799/J101</f>
        <v>0.49226923076923079</v>
      </c>
      <c r="K103" s="1036">
        <f>1.2799/K101</f>
        <v>0.49226923076923079</v>
      </c>
      <c r="L103" s="1036">
        <f>1.2799/L101</f>
        <v>0.49226923076923079</v>
      </c>
      <c r="M103" s="1036">
        <f>1.2799/M101</f>
        <v>0.49226923076923079</v>
      </c>
      <c r="N103" s="1036">
        <f>1.2799/N101</f>
        <v>0.49226923076923079</v>
      </c>
    </row>
    <row r="104" spans="1:14">
      <c r="A104" s="3469"/>
      <c r="B104" s="1035">
        <v>3</v>
      </c>
      <c r="C104" s="1036">
        <f>1.1594/C101</f>
        <v>0.44592307692307692</v>
      </c>
      <c r="D104" s="1036">
        <f>1.1594/D101</f>
        <v>0.44592307692307692</v>
      </c>
      <c r="E104" s="1036">
        <f>1.0788/E101</f>
        <v>0.41492307692307689</v>
      </c>
      <c r="F104" s="1036">
        <f>1.0788/F101</f>
        <v>0.41492307692307689</v>
      </c>
      <c r="G104" s="1036">
        <f>1.0788/G101</f>
        <v>0.41492307692307689</v>
      </c>
      <c r="H104" s="1036">
        <f>1.0788/H101</f>
        <v>0.41492307692307689</v>
      </c>
      <c r="I104" s="1036">
        <f>1.0788/I101</f>
        <v>0.41492307692307689</v>
      </c>
      <c r="J104" s="1036">
        <f>1.0072/J101</f>
        <v>0.38738461538461538</v>
      </c>
      <c r="K104" s="1036">
        <f>1.0072/K101</f>
        <v>0.38738461538461538</v>
      </c>
      <c r="L104" s="1036">
        <f>1.0072/L101</f>
        <v>0.38738461538461538</v>
      </c>
      <c r="M104" s="1036">
        <f>1.0072/M101</f>
        <v>0.38738461538461538</v>
      </c>
      <c r="N104" s="1036">
        <f>1.0072/N101</f>
        <v>0.38738461538461538</v>
      </c>
    </row>
    <row r="105" spans="1:14">
      <c r="A105" s="3469"/>
      <c r="B105" s="1035">
        <v>4</v>
      </c>
      <c r="C105" s="1036">
        <f>0.9622/C101</f>
        <v>0.37007692307692308</v>
      </c>
      <c r="D105" s="1036">
        <f>0.9622/D101</f>
        <v>0.37007692307692308</v>
      </c>
      <c r="E105" s="1036">
        <f>0.8656/E101</f>
        <v>0.33292307692307693</v>
      </c>
      <c r="F105" s="1036">
        <f>0.8656/F101</f>
        <v>0.33292307692307693</v>
      </c>
      <c r="G105" s="1036">
        <f>0.8656/G101</f>
        <v>0.33292307692307693</v>
      </c>
      <c r="H105" s="1036">
        <f>0.8656/H101</f>
        <v>0.33292307692307693</v>
      </c>
      <c r="I105" s="1036">
        <f>0.8656/I101</f>
        <v>0.33292307692307693</v>
      </c>
      <c r="J105" s="1036">
        <f>0.7525/J101</f>
        <v>0.28942307692307689</v>
      </c>
      <c r="K105" s="1036">
        <f>0.7525/K101</f>
        <v>0.28942307692307689</v>
      </c>
      <c r="L105" s="1036">
        <f>0.7525/L101</f>
        <v>0.28942307692307689</v>
      </c>
      <c r="M105" s="1036">
        <f>0.7525/M101</f>
        <v>0.28942307692307689</v>
      </c>
      <c r="N105" s="1036">
        <f>0.7525/N101</f>
        <v>0.28942307692307689</v>
      </c>
    </row>
    <row r="106" spans="1:14">
      <c r="A106" s="3469"/>
      <c r="B106" s="1035">
        <v>5</v>
      </c>
      <c r="C106" s="1036">
        <f>0.8417/C101</f>
        <v>0.32373076923076921</v>
      </c>
      <c r="D106" s="1036">
        <f>0.8417/D101</f>
        <v>0.32373076923076921</v>
      </c>
      <c r="E106" s="1036">
        <f>0.7371/E101</f>
        <v>0.28349999999999997</v>
      </c>
      <c r="F106" s="1036">
        <f>0.7371/F101</f>
        <v>0.28349999999999997</v>
      </c>
      <c r="G106" s="1036">
        <f>0.7371/G101</f>
        <v>0.28349999999999997</v>
      </c>
      <c r="H106" s="1036">
        <f>0.7371/H101</f>
        <v>0.28349999999999997</v>
      </c>
      <c r="I106" s="1036">
        <f>0.7371/I101</f>
        <v>0.28349999999999997</v>
      </c>
      <c r="J106" s="1036">
        <f>0.5659/J101</f>
        <v>0.21765384615384614</v>
      </c>
      <c r="K106" s="1036">
        <f>0.5659/K101</f>
        <v>0.21765384615384614</v>
      </c>
      <c r="L106" s="1036">
        <f>0.5659/L101</f>
        <v>0.21765384615384614</v>
      </c>
      <c r="M106" s="1036">
        <f>0.5659/M101</f>
        <v>0.21765384615384614</v>
      </c>
      <c r="N106" s="1036">
        <f>0.5659/N101</f>
        <v>0.21765384615384614</v>
      </c>
    </row>
    <row r="107" spans="1:14">
      <c r="A107" s="3469"/>
      <c r="B107" s="1035">
        <v>6</v>
      </c>
      <c r="C107" s="1036">
        <f>0.7608/C101</f>
        <v>0.29261538461538461</v>
      </c>
      <c r="D107" s="1036">
        <f>0.7608/D101</f>
        <v>0.29261538461538461</v>
      </c>
      <c r="E107" s="1036">
        <f>0.6482/E101</f>
        <v>0.24930769230769229</v>
      </c>
      <c r="F107" s="1036">
        <f>0.6482/F101</f>
        <v>0.24930769230769229</v>
      </c>
      <c r="G107" s="1036">
        <f>0.6482/G101</f>
        <v>0.24930769230769229</v>
      </c>
      <c r="H107" s="1036">
        <f>0.6482/H101</f>
        <v>0.24930769230769229</v>
      </c>
      <c r="I107" s="1036">
        <f>0.6482/I101</f>
        <v>0.24930769230769229</v>
      </c>
      <c r="J107" s="1036">
        <f>0.4525/J101</f>
        <v>0.17403846153846153</v>
      </c>
      <c r="K107" s="1036">
        <f>0.4525/K101</f>
        <v>0.17403846153846153</v>
      </c>
      <c r="L107" s="1036">
        <f>0.4525/L101</f>
        <v>0.17403846153846153</v>
      </c>
      <c r="M107" s="1036">
        <f>0.4525/M101</f>
        <v>0.17403846153846153</v>
      </c>
      <c r="N107" s="1036">
        <f>0.4525/N101</f>
        <v>0.17403846153846153</v>
      </c>
    </row>
    <row r="108" spans="1:14">
      <c r="A108" s="3469"/>
      <c r="B108" s="3471" t="s">
        <v>1438</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70"/>
      <c r="B109" s="3472"/>
      <c r="C109" s="1038">
        <f>(-0.163*(C108^2)-0.59*C108+7617)*(10^(-4))/C101</f>
        <v>0.29237876923076922</v>
      </c>
      <c r="D109" s="1038">
        <f>(-0.163*(D108^2)-0.59*D108+7617)*(10^(-4))/D101</f>
        <v>0.29237876923076922</v>
      </c>
      <c r="E109" s="1038">
        <f>(-0.161*(E108^2)-7.509*E108+6533)*(10^(-4))/E101</f>
        <v>0.24856246153846154</v>
      </c>
      <c r="F109" s="1038">
        <f>(-0.161*(F108^2)-7.509*F108+6533)*(10^(-4))/F101</f>
        <v>0.24856246153846154</v>
      </c>
      <c r="G109" s="1038">
        <f>(-0.161*(G108^2)-7.509*G108+6533)*(10^(-4))/G101</f>
        <v>0.24856246153846154</v>
      </c>
      <c r="H109" s="1038">
        <f>(-0.161*(H108^2)-7.509*H108+6533)*(10^(-4))/H101</f>
        <v>0.24856246153846154</v>
      </c>
      <c r="I109" s="1038">
        <f>(-0.161*(I108^2)-7.509*I108+6533)*(10^(-4))/I101</f>
        <v>0.24856246153846154</v>
      </c>
      <c r="J109" s="1038">
        <f>(-0.214*(J108^2)-21.991*J108+4665)*(10^(-4))/J101</f>
        <v>0.17212984615384616</v>
      </c>
      <c r="K109" s="1038">
        <f>(-0.214*(K108^2)-21.991*K108+4665)*(10^(-4))/K101</f>
        <v>0.17212984615384616</v>
      </c>
      <c r="L109" s="1038">
        <f>(-0.214*(L108^2)-21.991*L108+4665)*(10^(-4))/L101</f>
        <v>0.17212984615384616</v>
      </c>
      <c r="M109" s="1038">
        <f>(-0.214*(M108^2)-21.991*M108+4665)*(10^(-4))/M101</f>
        <v>0.17212984615384616</v>
      </c>
      <c r="N109" s="1038">
        <f>(-0.214*(N108^2)-21.991*N108+4665)*(10^(-4))/N101</f>
        <v>0.17212984615384616</v>
      </c>
    </row>
    <row r="110" spans="1:14">
      <c r="A110" s="3454" t="s">
        <v>1439</v>
      </c>
      <c r="B110" s="3454"/>
      <c r="C110" s="3454"/>
      <c r="D110" s="3454"/>
      <c r="E110" s="3454"/>
      <c r="F110" s="3454"/>
      <c r="G110" s="3454"/>
      <c r="H110" s="3454"/>
      <c r="I110" s="3454"/>
      <c r="J110" s="3454"/>
      <c r="K110" s="2119"/>
      <c r="L110" s="2119"/>
      <c r="M110" s="2119"/>
      <c r="N110" s="2119"/>
    </row>
    <row r="112" spans="1:14" ht="12.75" thickBot="1"/>
    <row r="113" spans="1:13" ht="25.5" thickBot="1">
      <c r="A113" s="934" t="s">
        <v>874</v>
      </c>
      <c r="B113" s="2120">
        <f>G3</f>
        <v>2.6</v>
      </c>
      <c r="C113" s="935" t="s">
        <v>875</v>
      </c>
      <c r="D113" s="936">
        <f>SUMPRODUCT((A115:A118=F113)*(B114:M114=H113)*B115:M118)</f>
        <v>0</v>
      </c>
      <c r="E113" s="937" t="s">
        <v>876</v>
      </c>
      <c r="F113" s="938">
        <f>E2</f>
        <v>0</v>
      </c>
      <c r="G113" s="937" t="s">
        <v>877</v>
      </c>
      <c r="H113" s="938">
        <f>G2</f>
        <v>0</v>
      </c>
      <c r="I113" s="937"/>
      <c r="J113" s="929"/>
      <c r="K113" s="929"/>
      <c r="L113" s="929"/>
      <c r="M113" s="929"/>
    </row>
    <row r="114" spans="1:13" ht="12.75">
      <c r="A114" s="940"/>
      <c r="B114" s="941" t="s">
        <v>862</v>
      </c>
      <c r="C114" s="941" t="s">
        <v>863</v>
      </c>
      <c r="D114" s="941" t="s">
        <v>864</v>
      </c>
      <c r="E114" s="942" t="s">
        <v>865</v>
      </c>
      <c r="F114" s="942" t="s">
        <v>866</v>
      </c>
      <c r="G114" s="942" t="s">
        <v>867</v>
      </c>
      <c r="H114" s="943" t="s">
        <v>868</v>
      </c>
      <c r="I114" s="943" t="s">
        <v>869</v>
      </c>
      <c r="J114" s="944" t="s">
        <v>870</v>
      </c>
      <c r="K114" s="944" t="s">
        <v>871</v>
      </c>
      <c r="L114" s="944" t="s">
        <v>872</v>
      </c>
      <c r="M114" s="945" t="s">
        <v>873</v>
      </c>
    </row>
    <row r="115" spans="1:13" ht="12.75">
      <c r="A115" s="946" t="s">
        <v>878</v>
      </c>
      <c r="B115" s="947">
        <f>ROUND(0.9335-0.0094*B113,4)</f>
        <v>0.90910000000000002</v>
      </c>
      <c r="C115" s="947">
        <f>B115</f>
        <v>0.90910000000000002</v>
      </c>
      <c r="D115" s="947">
        <f>ROUND(0.8331-0.0109*B113,4)</f>
        <v>0.80479999999999996</v>
      </c>
      <c r="E115" s="947">
        <f>D115</f>
        <v>0.80479999999999996</v>
      </c>
      <c r="F115" s="947">
        <f>E115</f>
        <v>0.80479999999999996</v>
      </c>
      <c r="G115" s="947">
        <f>F115</f>
        <v>0.80479999999999996</v>
      </c>
      <c r="H115" s="947">
        <f>G115</f>
        <v>0.80479999999999996</v>
      </c>
      <c r="I115" s="947">
        <f>ROUND(0.689-0.0155*B113,4)</f>
        <v>0.64870000000000005</v>
      </c>
      <c r="J115" s="947">
        <f t="shared" ref="J115:M118" si="33">I115</f>
        <v>0.64870000000000005</v>
      </c>
      <c r="K115" s="947">
        <f t="shared" si="33"/>
        <v>0.64870000000000005</v>
      </c>
      <c r="L115" s="947">
        <f t="shared" si="33"/>
        <v>0.64870000000000005</v>
      </c>
      <c r="M115" s="948">
        <f t="shared" si="33"/>
        <v>0.64870000000000005</v>
      </c>
    </row>
    <row r="116" spans="1:13" ht="12.75">
      <c r="A116" s="946" t="s">
        <v>879</v>
      </c>
      <c r="B116" s="947">
        <f>ROUND(0.949-0.012*B113,4)</f>
        <v>0.91779999999999995</v>
      </c>
      <c r="C116" s="947">
        <f>B116</f>
        <v>0.91779999999999995</v>
      </c>
      <c r="D116" s="947">
        <f>ROUND(0.8567-0.013*B113,4)</f>
        <v>0.82289999999999996</v>
      </c>
      <c r="E116" s="947">
        <f t="shared" ref="E116:H117" si="34">D116</f>
        <v>0.82289999999999996</v>
      </c>
      <c r="F116" s="947">
        <f t="shared" si="34"/>
        <v>0.82289999999999996</v>
      </c>
      <c r="G116" s="947">
        <f t="shared" si="34"/>
        <v>0.82289999999999996</v>
      </c>
      <c r="H116" s="947">
        <f t="shared" si="34"/>
        <v>0.82289999999999996</v>
      </c>
      <c r="I116" s="947">
        <f>ROUND(0.7694-0.014*B113,4)</f>
        <v>0.73299999999999998</v>
      </c>
      <c r="J116" s="947">
        <f t="shared" si="33"/>
        <v>0.73299999999999998</v>
      </c>
      <c r="K116" s="947">
        <f t="shared" si="33"/>
        <v>0.73299999999999998</v>
      </c>
      <c r="L116" s="947">
        <f t="shared" si="33"/>
        <v>0.73299999999999998</v>
      </c>
      <c r="M116" s="948">
        <f t="shared" si="33"/>
        <v>0.73299999999999998</v>
      </c>
    </row>
    <row r="117" spans="1:13" ht="12.75">
      <c r="A117" s="949" t="s">
        <v>880</v>
      </c>
      <c r="B117" s="947">
        <f>ROUND(0.8808-0.006*B113,4)</f>
        <v>0.86519999999999997</v>
      </c>
      <c r="C117" s="947">
        <f>B117</f>
        <v>0.86519999999999997</v>
      </c>
      <c r="D117" s="947">
        <f>ROUND(0.8748-0.008*B113,4)</f>
        <v>0.85399999999999998</v>
      </c>
      <c r="E117" s="947">
        <f t="shared" si="34"/>
        <v>0.85399999999999998</v>
      </c>
      <c r="F117" s="947">
        <f t="shared" si="34"/>
        <v>0.85399999999999998</v>
      </c>
      <c r="G117" s="947">
        <f t="shared" si="34"/>
        <v>0.85399999999999998</v>
      </c>
      <c r="H117" s="947">
        <f t="shared" si="34"/>
        <v>0.85399999999999998</v>
      </c>
      <c r="I117" s="947">
        <f>ROUND(0.7412-0.0095*B113,4)</f>
        <v>0.71650000000000003</v>
      </c>
      <c r="J117" s="947">
        <f t="shared" si="33"/>
        <v>0.71650000000000003</v>
      </c>
      <c r="K117" s="947">
        <f t="shared" si="33"/>
        <v>0.71650000000000003</v>
      </c>
      <c r="L117" s="947">
        <f t="shared" si="33"/>
        <v>0.71650000000000003</v>
      </c>
      <c r="M117" s="948">
        <f t="shared" si="33"/>
        <v>0.71650000000000003</v>
      </c>
    </row>
    <row r="118" spans="1:13" ht="13.5" thickBot="1">
      <c r="A118" s="950" t="s">
        <v>881</v>
      </c>
      <c r="B118" s="951">
        <f>ROUND(0.7275-0.01*B113,4)</f>
        <v>0.70150000000000001</v>
      </c>
      <c r="C118" s="951">
        <f>B118</f>
        <v>0.70150000000000001</v>
      </c>
      <c r="D118" s="951">
        <f>ROUND(0.7043-0.012*B113,4)</f>
        <v>0.67310000000000003</v>
      </c>
      <c r="E118" s="951">
        <f>D118</f>
        <v>0.67310000000000003</v>
      </c>
      <c r="F118" s="951">
        <f>E118</f>
        <v>0.67310000000000003</v>
      </c>
      <c r="G118" s="951">
        <f>ROUND(0.6299-0.0122*B113,4)</f>
        <v>0.59819999999999995</v>
      </c>
      <c r="H118" s="951">
        <f>G118</f>
        <v>0.59819999999999995</v>
      </c>
      <c r="I118" s="951">
        <f>ROUND(0.5667-0.0136*B113,4)</f>
        <v>0.53129999999999999</v>
      </c>
      <c r="J118" s="951">
        <f t="shared" si="33"/>
        <v>0.53129999999999999</v>
      </c>
      <c r="K118" s="951">
        <f t="shared" si="33"/>
        <v>0.53129999999999999</v>
      </c>
      <c r="L118" s="951">
        <f t="shared" si="33"/>
        <v>0.53129999999999999</v>
      </c>
      <c r="M118" s="952">
        <f t="shared" si="33"/>
        <v>0.53129999999999999</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1409</v>
      </c>
      <c r="B1" s="985" t="s">
        <v>885</v>
      </c>
      <c r="C1" s="985" t="s">
        <v>886</v>
      </c>
      <c r="D1" s="985" t="s">
        <v>887</v>
      </c>
      <c r="E1" s="985" t="s">
        <v>888</v>
      </c>
      <c r="F1" s="985" t="s">
        <v>889</v>
      </c>
      <c r="G1" s="985" t="s">
        <v>890</v>
      </c>
      <c r="H1" s="985" t="s">
        <v>891</v>
      </c>
      <c r="I1" s="985" t="s">
        <v>892</v>
      </c>
      <c r="J1" s="985" t="s">
        <v>893</v>
      </c>
      <c r="K1" s="985" t="s">
        <v>894</v>
      </c>
      <c r="L1" s="985" t="s">
        <v>895</v>
      </c>
      <c r="M1" s="986" t="s">
        <v>896</v>
      </c>
    </row>
    <row r="2" spans="1:13">
      <c r="A2" s="3142" t="s">
        <v>2890</v>
      </c>
      <c r="B2" s="3143">
        <v>3.5</v>
      </c>
      <c r="C2" s="3143">
        <v>3.5</v>
      </c>
      <c r="D2" s="3144">
        <v>2.5</v>
      </c>
      <c r="E2" s="3144">
        <v>2.5</v>
      </c>
      <c r="F2" s="3144">
        <v>2.5</v>
      </c>
      <c r="G2" s="3144">
        <v>2.5</v>
      </c>
      <c r="H2" s="3144">
        <v>2.5</v>
      </c>
      <c r="I2" s="3143">
        <v>2</v>
      </c>
      <c r="J2" s="3143">
        <v>2</v>
      </c>
      <c r="K2" s="3143">
        <v>2</v>
      </c>
      <c r="L2" s="3143">
        <v>2</v>
      </c>
      <c r="M2" s="3145">
        <v>2</v>
      </c>
    </row>
    <row r="3" spans="1:13">
      <c r="A3" s="3146" t="s">
        <v>2891</v>
      </c>
      <c r="B3" s="3147">
        <v>3.5</v>
      </c>
      <c r="C3" s="3147">
        <v>3.5</v>
      </c>
      <c r="D3" s="3148">
        <v>2.5</v>
      </c>
      <c r="E3" s="3148">
        <v>2.5</v>
      </c>
      <c r="F3" s="3148">
        <v>2.5</v>
      </c>
      <c r="G3" s="3148">
        <v>2.5</v>
      </c>
      <c r="H3" s="3148">
        <v>2.5</v>
      </c>
      <c r="I3" s="3147">
        <v>2</v>
      </c>
      <c r="J3" s="3147">
        <v>2</v>
      </c>
      <c r="K3" s="3147">
        <v>2</v>
      </c>
      <c r="L3" s="3147">
        <v>2</v>
      </c>
      <c r="M3" s="3149">
        <v>2</v>
      </c>
    </row>
    <row r="4" spans="1:13">
      <c r="A4" s="3146" t="s">
        <v>2892</v>
      </c>
      <c r="B4" s="3148">
        <v>2.5</v>
      </c>
      <c r="C4" s="3148">
        <v>2.5</v>
      </c>
      <c r="D4" s="3148">
        <v>2.5</v>
      </c>
      <c r="E4" s="3148">
        <v>2.5</v>
      </c>
      <c r="F4" s="3148">
        <v>2.5</v>
      </c>
      <c r="G4" s="3148">
        <v>2.5</v>
      </c>
      <c r="H4" s="3148">
        <v>2.5</v>
      </c>
      <c r="I4" s="3147">
        <v>1.5</v>
      </c>
      <c r="J4" s="3147">
        <v>1.5</v>
      </c>
      <c r="K4" s="3147">
        <v>1.5</v>
      </c>
      <c r="L4" s="3147">
        <v>1.5</v>
      </c>
      <c r="M4" s="3149">
        <v>1.5</v>
      </c>
    </row>
    <row r="5" spans="1:13">
      <c r="A5" s="3150" t="s">
        <v>2893</v>
      </c>
      <c r="B5" s="3147">
        <v>1.5</v>
      </c>
      <c r="C5" s="3147">
        <v>1.5</v>
      </c>
      <c r="D5" s="3147">
        <v>1.5</v>
      </c>
      <c r="E5" s="3147">
        <v>1.5</v>
      </c>
      <c r="F5" s="3147">
        <v>1.5</v>
      </c>
      <c r="G5" s="3147">
        <v>1.2</v>
      </c>
      <c r="H5" s="3147">
        <v>1.2</v>
      </c>
      <c r="I5" s="3147">
        <v>1</v>
      </c>
      <c r="J5" s="3147">
        <v>1</v>
      </c>
      <c r="K5" s="3147">
        <v>1</v>
      </c>
      <c r="L5" s="3147">
        <v>1</v>
      </c>
      <c r="M5" s="3149">
        <v>1</v>
      </c>
    </row>
    <row r="6" spans="1:13">
      <c r="A6" s="3151" t="s">
        <v>2894</v>
      </c>
      <c r="B6" s="3152">
        <v>2.5</v>
      </c>
      <c r="C6" s="3152">
        <v>2.5</v>
      </c>
      <c r="D6" s="3152">
        <v>2</v>
      </c>
      <c r="E6" s="3152">
        <v>2</v>
      </c>
      <c r="F6" s="3152">
        <v>2</v>
      </c>
      <c r="G6" s="3152">
        <v>2</v>
      </c>
      <c r="H6" s="3152">
        <v>2</v>
      </c>
      <c r="I6" s="3153">
        <v>1.5</v>
      </c>
      <c r="J6" s="3153">
        <v>1.5</v>
      </c>
      <c r="K6" s="3153">
        <v>1.5</v>
      </c>
      <c r="L6" s="3153">
        <v>1.5</v>
      </c>
      <c r="M6" s="3154">
        <v>1.5</v>
      </c>
    </row>
    <row r="7" spans="1:13" ht="14.25" thickBot="1">
      <c r="A7" s="3155" t="s">
        <v>2895</v>
      </c>
      <c r="B7" s="3156">
        <v>2.5</v>
      </c>
      <c r="C7" s="3156">
        <v>2.5</v>
      </c>
      <c r="D7" s="3156">
        <v>2</v>
      </c>
      <c r="E7" s="3156">
        <v>2</v>
      </c>
      <c r="F7" s="3156">
        <v>2</v>
      </c>
      <c r="G7" s="3156">
        <v>2</v>
      </c>
      <c r="H7" s="3156">
        <v>2</v>
      </c>
      <c r="I7" s="3157">
        <v>1.5</v>
      </c>
      <c r="J7" s="3157">
        <v>1.5</v>
      </c>
      <c r="K7" s="3157">
        <v>1.5</v>
      </c>
      <c r="L7" s="3157">
        <v>1.5</v>
      </c>
      <c r="M7" s="3158">
        <v>1.5</v>
      </c>
    </row>
    <row r="8" spans="1:13">
      <c r="A8" s="1019" t="s">
        <v>1411</v>
      </c>
      <c r="B8" s="3159">
        <v>80</v>
      </c>
      <c r="C8" s="3159">
        <v>80</v>
      </c>
      <c r="D8" s="3159">
        <v>70</v>
      </c>
      <c r="E8" s="3159">
        <v>70</v>
      </c>
      <c r="F8" s="3159">
        <v>70</v>
      </c>
      <c r="G8" s="3159">
        <v>70</v>
      </c>
      <c r="H8" s="3159">
        <v>70</v>
      </c>
      <c r="I8" s="3159">
        <v>60</v>
      </c>
      <c r="J8" s="3159">
        <v>60</v>
      </c>
      <c r="K8" s="3159">
        <v>60</v>
      </c>
      <c r="L8" s="3159">
        <v>60</v>
      </c>
      <c r="M8" s="3160">
        <v>60</v>
      </c>
    </row>
    <row r="9" spans="1:13">
      <c r="A9" s="980" t="s">
        <v>1412</v>
      </c>
      <c r="B9" s="3161">
        <v>70</v>
      </c>
      <c r="C9" s="3161">
        <v>70</v>
      </c>
      <c r="D9" s="3161">
        <v>60</v>
      </c>
      <c r="E9" s="3161">
        <v>60</v>
      </c>
      <c r="F9" s="3161">
        <v>60</v>
      </c>
      <c r="G9" s="3161">
        <v>60</v>
      </c>
      <c r="H9" s="3161">
        <v>60</v>
      </c>
      <c r="I9" s="3161">
        <v>50</v>
      </c>
      <c r="J9" s="3161">
        <v>50</v>
      </c>
      <c r="K9" s="3161">
        <v>50</v>
      </c>
      <c r="L9" s="3161">
        <v>50</v>
      </c>
      <c r="M9" s="3162">
        <v>50</v>
      </c>
    </row>
    <row r="10" spans="1:13">
      <c r="A10" s="980" t="s">
        <v>1413</v>
      </c>
      <c r="B10" s="3161">
        <v>20</v>
      </c>
      <c r="C10" s="3161">
        <v>20</v>
      </c>
      <c r="D10" s="3161">
        <v>15</v>
      </c>
      <c r="E10" s="3161">
        <v>15</v>
      </c>
      <c r="F10" s="3161">
        <v>15</v>
      </c>
      <c r="G10" s="3161">
        <v>15</v>
      </c>
      <c r="H10" s="3161">
        <v>15</v>
      </c>
      <c r="I10" s="3161">
        <v>10</v>
      </c>
      <c r="J10" s="3161">
        <v>10</v>
      </c>
      <c r="K10" s="3161">
        <v>10</v>
      </c>
      <c r="L10" s="3161">
        <v>10</v>
      </c>
      <c r="M10" s="3162">
        <v>10</v>
      </c>
    </row>
    <row r="11" spans="1:13">
      <c r="A11" s="980" t="s">
        <v>1414</v>
      </c>
      <c r="B11" s="3161">
        <v>30</v>
      </c>
      <c r="C11" s="3161">
        <v>30</v>
      </c>
      <c r="D11" s="3161">
        <v>25</v>
      </c>
      <c r="E11" s="3161">
        <v>25</v>
      </c>
      <c r="F11" s="3161">
        <v>25</v>
      </c>
      <c r="G11" s="3161">
        <v>25</v>
      </c>
      <c r="H11" s="3161">
        <v>25</v>
      </c>
      <c r="I11" s="3161">
        <v>20</v>
      </c>
      <c r="J11" s="3161">
        <v>20</v>
      </c>
      <c r="K11" s="3161">
        <v>20</v>
      </c>
      <c r="L11" s="3161">
        <v>20</v>
      </c>
      <c r="M11" s="3162">
        <v>20</v>
      </c>
    </row>
    <row r="12" spans="1:13">
      <c r="A12" s="980" t="s">
        <v>1415</v>
      </c>
      <c r="B12" s="3161">
        <v>45</v>
      </c>
      <c r="C12" s="3161">
        <v>45</v>
      </c>
      <c r="D12" s="3161">
        <v>40</v>
      </c>
      <c r="E12" s="3161">
        <v>40</v>
      </c>
      <c r="F12" s="3161">
        <v>40</v>
      </c>
      <c r="G12" s="3161">
        <v>40</v>
      </c>
      <c r="H12" s="3161">
        <v>40</v>
      </c>
      <c r="I12" s="3161">
        <v>35</v>
      </c>
      <c r="J12" s="3161">
        <v>35</v>
      </c>
      <c r="K12" s="3161">
        <v>35</v>
      </c>
      <c r="L12" s="3161">
        <v>35</v>
      </c>
      <c r="M12" s="3162">
        <v>35</v>
      </c>
    </row>
    <row r="13" spans="1:13">
      <c r="A13" s="980" t="s">
        <v>1416</v>
      </c>
      <c r="B13" s="3161">
        <v>60</v>
      </c>
      <c r="C13" s="3161">
        <v>60</v>
      </c>
      <c r="D13" s="3161">
        <v>50</v>
      </c>
      <c r="E13" s="3161">
        <v>50</v>
      </c>
      <c r="F13" s="3161">
        <v>50</v>
      </c>
      <c r="G13" s="3161">
        <v>50</v>
      </c>
      <c r="H13" s="3161">
        <v>50</v>
      </c>
      <c r="I13" s="3161">
        <v>40</v>
      </c>
      <c r="J13" s="3161">
        <v>40</v>
      </c>
      <c r="K13" s="3161">
        <v>40</v>
      </c>
      <c r="L13" s="3161">
        <v>40</v>
      </c>
      <c r="M13" s="3162">
        <v>40</v>
      </c>
    </row>
    <row r="14" spans="1:13">
      <c r="A14" s="980" t="s">
        <v>1417</v>
      </c>
      <c r="B14" s="3161">
        <v>50</v>
      </c>
      <c r="C14" s="3161">
        <v>50</v>
      </c>
      <c r="D14" s="3161">
        <v>40</v>
      </c>
      <c r="E14" s="3161">
        <v>40</v>
      </c>
      <c r="F14" s="3161">
        <v>40</v>
      </c>
      <c r="G14" s="3161">
        <v>40</v>
      </c>
      <c r="H14" s="3161">
        <v>40</v>
      </c>
      <c r="I14" s="3161">
        <v>30</v>
      </c>
      <c r="J14" s="3161">
        <v>30</v>
      </c>
      <c r="K14" s="3161">
        <v>30</v>
      </c>
      <c r="L14" s="3161">
        <v>30</v>
      </c>
      <c r="M14" s="3162">
        <v>30</v>
      </c>
    </row>
    <row r="15" spans="1:13">
      <c r="A15" s="1020" t="s">
        <v>1418</v>
      </c>
      <c r="B15" s="3163">
        <v>20</v>
      </c>
      <c r="C15" s="3163">
        <v>20</v>
      </c>
      <c r="D15" s="3163">
        <v>15</v>
      </c>
      <c r="E15" s="3163">
        <v>15</v>
      </c>
      <c r="F15" s="3163">
        <v>15</v>
      </c>
      <c r="G15" s="3163">
        <v>15</v>
      </c>
      <c r="H15" s="3163">
        <v>15</v>
      </c>
      <c r="I15" s="3163">
        <v>10</v>
      </c>
      <c r="J15" s="3163">
        <v>10</v>
      </c>
      <c r="K15" s="3163">
        <v>10</v>
      </c>
      <c r="L15" s="3163">
        <v>10</v>
      </c>
      <c r="M15" s="3164">
        <v>10</v>
      </c>
    </row>
    <row r="16" spans="1:13">
      <c r="A16" s="981" t="s">
        <v>1419</v>
      </c>
      <c r="B16" s="1021">
        <v>0</v>
      </c>
      <c r="C16" s="1021">
        <v>0</v>
      </c>
      <c r="D16" s="1021">
        <v>0</v>
      </c>
      <c r="E16" s="1021">
        <v>0</v>
      </c>
      <c r="F16" s="1021">
        <v>0</v>
      </c>
      <c r="G16" s="1021">
        <v>0</v>
      </c>
      <c r="H16" s="1021">
        <v>0</v>
      </c>
      <c r="I16" s="1021">
        <v>0</v>
      </c>
      <c r="J16" s="1021">
        <v>0</v>
      </c>
      <c r="K16" s="1021">
        <v>0</v>
      </c>
      <c r="L16" s="1021">
        <v>0</v>
      </c>
      <c r="M16" s="1021">
        <v>0</v>
      </c>
    </row>
    <row r="17" spans="1:13">
      <c r="A17" s="2562" t="s">
        <v>2680</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1420</v>
      </c>
      <c r="B18" s="1022"/>
      <c r="C18" s="1023"/>
      <c r="D18" s="1023"/>
      <c r="E18" s="1022"/>
      <c r="F18" s="1023"/>
      <c r="G18" s="1023"/>
    </row>
    <row r="19" spans="1:13" ht="14.25" thickBot="1">
      <c r="A19" s="3163" t="s">
        <v>2896</v>
      </c>
      <c r="B19" s="3165" t="s">
        <v>2897</v>
      </c>
      <c r="C19" s="3166" t="s">
        <v>2898</v>
      </c>
      <c r="D19" s="3167"/>
      <c r="E19" s="3161" t="s">
        <v>2899</v>
      </c>
      <c r="F19" s="1025"/>
      <c r="G19" s="1025"/>
    </row>
    <row r="20" spans="1:13">
      <c r="A20" s="3478" t="s">
        <v>2890</v>
      </c>
      <c r="B20" s="3481" t="s">
        <v>2900</v>
      </c>
      <c r="C20" s="3168" t="s">
        <v>2901</v>
      </c>
      <c r="D20" s="3169"/>
      <c r="E20" s="3170">
        <v>1</v>
      </c>
      <c r="F20" s="3171" t="s">
        <v>2902</v>
      </c>
      <c r="G20" s="1027"/>
    </row>
    <row r="21" spans="1:13">
      <c r="A21" s="3479"/>
      <c r="B21" s="3482"/>
      <c r="C21" s="3172" t="s">
        <v>2903</v>
      </c>
      <c r="D21" s="3173"/>
      <c r="E21" s="3174">
        <v>1</v>
      </c>
      <c r="F21" s="3171" t="s">
        <v>2904</v>
      </c>
      <c r="G21" s="1027"/>
    </row>
    <row r="22" spans="1:13">
      <c r="A22" s="3479"/>
      <c r="B22" s="3482"/>
      <c r="C22" s="3172" t="s">
        <v>2905</v>
      </c>
      <c r="D22" s="3173"/>
      <c r="E22" s="3174">
        <v>0.9</v>
      </c>
      <c r="F22" s="3171" t="s">
        <v>2906</v>
      </c>
      <c r="G22" s="1027"/>
    </row>
    <row r="23" spans="1:13">
      <c r="A23" s="3479"/>
      <c r="B23" s="3482"/>
      <c r="C23" s="3172" t="s">
        <v>2907</v>
      </c>
      <c r="D23" s="3173"/>
      <c r="E23" s="3174">
        <v>0.9</v>
      </c>
      <c r="F23" s="3171" t="s">
        <v>2908</v>
      </c>
      <c r="G23" s="1027"/>
    </row>
    <row r="24" spans="1:13">
      <c r="A24" s="3479"/>
      <c r="B24" s="3482"/>
      <c r="C24" s="3172" t="s">
        <v>2909</v>
      </c>
      <c r="D24" s="3173"/>
      <c r="E24" s="3174">
        <v>0.8</v>
      </c>
      <c r="F24" s="3171" t="s">
        <v>2910</v>
      </c>
      <c r="G24" s="1027"/>
    </row>
    <row r="25" spans="1:13" ht="14.25" thickBot="1">
      <c r="A25" s="3480"/>
      <c r="B25" s="3483"/>
      <c r="C25" s="3175" t="s">
        <v>2911</v>
      </c>
      <c r="D25" s="3176"/>
      <c r="E25" s="3177">
        <v>0.8</v>
      </c>
      <c r="F25" s="3171" t="s">
        <v>2912</v>
      </c>
      <c r="G25" s="1027"/>
    </row>
    <row r="26" spans="1:13" ht="14.25" thickBot="1">
      <c r="A26" s="3178" t="s">
        <v>2891</v>
      </c>
      <c r="B26" s="3179" t="s">
        <v>2900</v>
      </c>
      <c r="C26" s="3180" t="s">
        <v>2913</v>
      </c>
      <c r="D26" s="3181"/>
      <c r="E26" s="3182">
        <v>1</v>
      </c>
      <c r="F26" s="3171" t="s">
        <v>2914</v>
      </c>
      <c r="G26" s="1027"/>
    </row>
    <row r="27" spans="1:13">
      <c r="A27" s="3484" t="s">
        <v>2895</v>
      </c>
      <c r="B27" s="3481" t="s">
        <v>2895</v>
      </c>
      <c r="C27" s="3168" t="s">
        <v>2915</v>
      </c>
      <c r="D27" s="3169"/>
      <c r="E27" s="3170">
        <v>1</v>
      </c>
      <c r="F27" s="3171" t="s">
        <v>2916</v>
      </c>
      <c r="G27" s="1027"/>
    </row>
    <row r="28" spans="1:13">
      <c r="A28" s="3485"/>
      <c r="B28" s="3482"/>
      <c r="C28" s="3172" t="s">
        <v>2917</v>
      </c>
      <c r="D28" s="3173"/>
      <c r="E28" s="3174">
        <v>1</v>
      </c>
      <c r="F28" s="3171" t="s">
        <v>2918</v>
      </c>
      <c r="G28" s="1027"/>
    </row>
    <row r="29" spans="1:13">
      <c r="A29" s="3485"/>
      <c r="B29" s="3482"/>
      <c r="C29" s="3172" t="s">
        <v>2919</v>
      </c>
      <c r="D29" s="3173"/>
      <c r="E29" s="3174">
        <v>0.8</v>
      </c>
      <c r="F29" s="3171" t="s">
        <v>2920</v>
      </c>
      <c r="G29" s="1027"/>
    </row>
    <row r="30" spans="1:13">
      <c r="A30" s="3485"/>
      <c r="B30" s="3482"/>
      <c r="C30" s="3172" t="s">
        <v>2921</v>
      </c>
      <c r="D30" s="3173"/>
      <c r="E30" s="3174">
        <v>0.8</v>
      </c>
      <c r="F30" s="3171" t="s">
        <v>2922</v>
      </c>
      <c r="G30" s="1027"/>
    </row>
    <row r="31" spans="1:13">
      <c r="A31" s="3485"/>
      <c r="B31" s="3482"/>
      <c r="C31" s="3172" t="s">
        <v>2923</v>
      </c>
      <c r="D31" s="3173"/>
      <c r="E31" s="3174">
        <v>0.8</v>
      </c>
      <c r="F31" s="3171" t="s">
        <v>2924</v>
      </c>
      <c r="G31" s="1027"/>
    </row>
    <row r="32" spans="1:13">
      <c r="A32" s="3485"/>
      <c r="B32" s="3482"/>
      <c r="C32" s="3172" t="s">
        <v>2925</v>
      </c>
      <c r="D32" s="3173"/>
      <c r="E32" s="3174">
        <v>0.7</v>
      </c>
      <c r="F32" s="3171" t="s">
        <v>2926</v>
      </c>
      <c r="G32" s="1027"/>
    </row>
    <row r="33" spans="1:7">
      <c r="A33" s="3485"/>
      <c r="B33" s="3482"/>
      <c r="C33" s="3172" t="s">
        <v>2927</v>
      </c>
      <c r="D33" s="3173"/>
      <c r="E33" s="3174">
        <v>0.8</v>
      </c>
      <c r="F33" s="3171" t="s">
        <v>2928</v>
      </c>
      <c r="G33" s="1027"/>
    </row>
    <row r="34" spans="1:7">
      <c r="A34" s="3485"/>
      <c r="B34" s="3482"/>
      <c r="C34" s="3172" t="s">
        <v>2929</v>
      </c>
      <c r="D34" s="3173"/>
      <c r="E34" s="3174">
        <v>0.6</v>
      </c>
      <c r="F34" s="3171" t="s">
        <v>2930</v>
      </c>
      <c r="G34" s="1027"/>
    </row>
    <row r="35" spans="1:7">
      <c r="A35" s="3485"/>
      <c r="B35" s="3482"/>
      <c r="C35" s="3172" t="s">
        <v>2931</v>
      </c>
      <c r="D35" s="3173"/>
      <c r="E35" s="3174">
        <v>0.2</v>
      </c>
      <c r="F35" s="3171" t="s">
        <v>2932</v>
      </c>
      <c r="G35" s="1027"/>
    </row>
    <row r="36" spans="1:7">
      <c r="A36" s="3485"/>
      <c r="B36" s="3482"/>
      <c r="C36" s="3172" t="s">
        <v>2933</v>
      </c>
      <c r="D36" s="3173"/>
      <c r="E36" s="3174">
        <v>0.2</v>
      </c>
      <c r="F36" s="3171" t="s">
        <v>2934</v>
      </c>
      <c r="G36" s="1027"/>
    </row>
    <row r="37" spans="1:7">
      <c r="A37" s="3485"/>
      <c r="B37" s="3476" t="s">
        <v>2935</v>
      </c>
      <c r="C37" s="3172" t="s">
        <v>2936</v>
      </c>
      <c r="D37" s="3173"/>
      <c r="E37" s="3174">
        <v>0.6</v>
      </c>
      <c r="F37" s="3171" t="s">
        <v>2937</v>
      </c>
      <c r="G37" s="1027"/>
    </row>
    <row r="38" spans="1:7">
      <c r="A38" s="3485"/>
      <c r="B38" s="3482"/>
      <c r="C38" s="3172" t="s">
        <v>2938</v>
      </c>
      <c r="D38" s="3173"/>
      <c r="E38" s="3174">
        <v>0.6</v>
      </c>
      <c r="F38" s="3171" t="s">
        <v>2939</v>
      </c>
      <c r="G38" s="1027"/>
    </row>
    <row r="39" spans="1:7" ht="14.25" thickBot="1">
      <c r="A39" s="3486"/>
      <c r="B39" s="3483"/>
      <c r="C39" s="3175" t="s">
        <v>2940</v>
      </c>
      <c r="D39" s="3176"/>
      <c r="E39" s="3177">
        <v>0.6</v>
      </c>
      <c r="F39" s="3171" t="s">
        <v>2941</v>
      </c>
      <c r="G39" s="1027"/>
    </row>
    <row r="40" spans="1:7" ht="14.25" thickBot="1">
      <c r="A40" s="3178" t="s">
        <v>2892</v>
      </c>
      <c r="B40" s="3179" t="s">
        <v>2892</v>
      </c>
      <c r="C40" s="3180" t="s">
        <v>2942</v>
      </c>
      <c r="D40" s="3181"/>
      <c r="E40" s="3182">
        <v>1</v>
      </c>
      <c r="F40" s="3171" t="s">
        <v>2943</v>
      </c>
      <c r="G40" s="1027"/>
    </row>
    <row r="41" spans="1:7">
      <c r="A41" s="3478" t="s">
        <v>2893</v>
      </c>
      <c r="B41" s="3481" t="s">
        <v>2944</v>
      </c>
      <c r="C41" s="3168" t="s">
        <v>2945</v>
      </c>
      <c r="D41" s="3169"/>
      <c r="E41" s="3170">
        <v>1</v>
      </c>
      <c r="F41" s="3171" t="s">
        <v>2946</v>
      </c>
      <c r="G41" s="1027"/>
    </row>
    <row r="42" spans="1:7">
      <c r="A42" s="3479"/>
      <c r="B42" s="3482"/>
      <c r="C42" s="3172" t="s">
        <v>2947</v>
      </c>
      <c r="D42" s="3173"/>
      <c r="E42" s="3174">
        <v>1</v>
      </c>
      <c r="F42" s="3171" t="s">
        <v>2948</v>
      </c>
      <c r="G42" s="1027"/>
    </row>
    <row r="43" spans="1:7">
      <c r="A43" s="3479"/>
      <c r="B43" s="3477"/>
      <c r="C43" s="3172" t="s">
        <v>2949</v>
      </c>
      <c r="D43" s="3173"/>
      <c r="E43" s="3174">
        <v>1.5</v>
      </c>
      <c r="F43" s="3171" t="s">
        <v>2950</v>
      </c>
      <c r="G43" s="1027"/>
    </row>
    <row r="44" spans="1:7">
      <c r="A44" s="3479"/>
      <c r="B44" s="3183" t="s">
        <v>2895</v>
      </c>
      <c r="C44" s="3172" t="s">
        <v>2894</v>
      </c>
      <c r="D44" s="3173"/>
      <c r="E44" s="3174">
        <v>2</v>
      </c>
      <c r="F44" s="3171" t="s">
        <v>2951</v>
      </c>
      <c r="G44" s="1027"/>
    </row>
    <row r="45" spans="1:7">
      <c r="A45" s="3479"/>
      <c r="B45" s="3476" t="s">
        <v>2952</v>
      </c>
      <c r="C45" s="3172" t="s">
        <v>2953</v>
      </c>
      <c r="D45" s="3173"/>
      <c r="E45" s="3174">
        <v>1</v>
      </c>
      <c r="F45" s="3171" t="s">
        <v>2954</v>
      </c>
      <c r="G45" s="1027"/>
    </row>
    <row r="46" spans="1:7">
      <c r="A46" s="3479"/>
      <c r="B46" s="3482"/>
      <c r="C46" s="3172" t="s">
        <v>2955</v>
      </c>
      <c r="D46" s="3173"/>
      <c r="E46" s="3174">
        <v>1</v>
      </c>
      <c r="F46" s="3171" t="s">
        <v>2956</v>
      </c>
      <c r="G46" s="1027"/>
    </row>
    <row r="47" spans="1:7">
      <c r="A47" s="3479"/>
      <c r="B47" s="3482"/>
      <c r="C47" s="3172" t="s">
        <v>2957</v>
      </c>
      <c r="D47" s="3173"/>
      <c r="E47" s="3174">
        <v>1</v>
      </c>
      <c r="F47" s="3171" t="s">
        <v>2958</v>
      </c>
      <c r="G47" s="1027"/>
    </row>
    <row r="48" spans="1:7">
      <c r="A48" s="3479"/>
      <c r="B48" s="3482"/>
      <c r="C48" s="3172" t="s">
        <v>2959</v>
      </c>
      <c r="D48" s="3173"/>
      <c r="E48" s="3174">
        <v>1</v>
      </c>
      <c r="F48" s="3171" t="s">
        <v>2960</v>
      </c>
      <c r="G48" s="1027"/>
    </row>
    <row r="49" spans="1:9">
      <c r="A49" s="3479"/>
      <c r="B49" s="3482"/>
      <c r="C49" s="3172" t="s">
        <v>2961</v>
      </c>
      <c r="D49" s="3173"/>
      <c r="E49" s="3174">
        <v>1</v>
      </c>
      <c r="F49" s="3171" t="s">
        <v>2962</v>
      </c>
      <c r="G49" s="1027"/>
    </row>
    <row r="50" spans="1:9">
      <c r="A50" s="3479"/>
      <c r="B50" s="3482"/>
      <c r="C50" s="3172" t="s">
        <v>2963</v>
      </c>
      <c r="D50" s="3173"/>
      <c r="E50" s="3174">
        <v>1</v>
      </c>
      <c r="F50" s="3171" t="s">
        <v>2964</v>
      </c>
      <c r="G50" s="1027"/>
    </row>
    <row r="51" spans="1:9" ht="14.25" thickBot="1">
      <c r="A51" s="3480"/>
      <c r="B51" s="3483"/>
      <c r="C51" s="3175" t="s">
        <v>2965</v>
      </c>
      <c r="D51" s="3176"/>
      <c r="E51" s="3177">
        <v>1</v>
      </c>
      <c r="F51" s="3171" t="s">
        <v>2966</v>
      </c>
      <c r="G51" s="1027"/>
    </row>
    <row r="52" spans="1:9">
      <c r="A52" s="1402"/>
      <c r="B52" s="1402"/>
      <c r="C52" s="1402"/>
      <c r="D52" s="1402"/>
      <c r="E52" s="1402"/>
      <c r="F52" s="1026"/>
      <c r="G52" s="1026"/>
    </row>
    <row r="54" spans="1:9">
      <c r="A54" s="1028"/>
      <c r="B54" s="981" t="s">
        <v>1422</v>
      </c>
      <c r="C54" s="981" t="s">
        <v>1422</v>
      </c>
      <c r="D54" s="981" t="s">
        <v>1422</v>
      </c>
      <c r="E54" s="1044" t="s">
        <v>1422</v>
      </c>
      <c r="F54" s="1044" t="s">
        <v>1423</v>
      </c>
      <c r="G54" s="1044" t="s">
        <v>1422</v>
      </c>
      <c r="I54" s="979"/>
    </row>
    <row r="55" spans="1:9">
      <c r="A55" s="1029"/>
      <c r="B55" s="1044" t="s">
        <v>985</v>
      </c>
      <c r="C55" s="1044" t="s">
        <v>985</v>
      </c>
      <c r="D55" s="1044" t="s">
        <v>985</v>
      </c>
      <c r="E55" s="981" t="s">
        <v>1007</v>
      </c>
      <c r="F55" s="981" t="s">
        <v>1410</v>
      </c>
      <c r="G55" s="981" t="s">
        <v>1424</v>
      </c>
      <c r="I55" s="979"/>
    </row>
    <row r="56" spans="1:9">
      <c r="A56" s="1030"/>
      <c r="B56" s="981">
        <v>1</v>
      </c>
      <c r="C56" s="981">
        <v>2</v>
      </c>
      <c r="D56" s="981">
        <v>3</v>
      </c>
      <c r="E56" s="1024" t="s">
        <v>1425</v>
      </c>
      <c r="F56" s="1024" t="s">
        <v>1425</v>
      </c>
      <c r="G56" s="1024" t="s">
        <v>1425</v>
      </c>
      <c r="I56" s="979"/>
    </row>
    <row r="57" spans="1:9">
      <c r="A57" s="1043" t="s">
        <v>885</v>
      </c>
      <c r="B57" s="3161">
        <v>0.7</v>
      </c>
      <c r="C57" s="3161">
        <v>0.4</v>
      </c>
      <c r="D57" s="3161">
        <v>0.3</v>
      </c>
      <c r="E57" s="3167">
        <v>0.3</v>
      </c>
      <c r="F57" s="3161">
        <v>0.3</v>
      </c>
      <c r="G57" s="3161">
        <v>0.2</v>
      </c>
      <c r="I57" s="979"/>
    </row>
    <row r="58" spans="1:9">
      <c r="A58" s="1043" t="s">
        <v>886</v>
      </c>
      <c r="B58" s="3161">
        <v>0.7</v>
      </c>
      <c r="C58" s="3161">
        <v>0.4</v>
      </c>
      <c r="D58" s="3161">
        <v>0.3</v>
      </c>
      <c r="E58" s="3161">
        <v>0.3</v>
      </c>
      <c r="F58" s="3161">
        <v>0.3</v>
      </c>
      <c r="G58" s="3161">
        <v>0.2</v>
      </c>
      <c r="I58" s="979"/>
    </row>
    <row r="59" spans="1:9">
      <c r="A59" s="1043" t="s">
        <v>887</v>
      </c>
      <c r="B59" s="3161">
        <v>0.6</v>
      </c>
      <c r="C59" s="3161">
        <v>0.3</v>
      </c>
      <c r="D59" s="3161">
        <v>0.25</v>
      </c>
      <c r="E59" s="3161">
        <v>0.25</v>
      </c>
      <c r="F59" s="3161">
        <v>0.25</v>
      </c>
      <c r="G59" s="3161">
        <v>0.15</v>
      </c>
      <c r="I59" s="979"/>
    </row>
    <row r="60" spans="1:9">
      <c r="A60" s="1043" t="s">
        <v>888</v>
      </c>
      <c r="B60" s="3161">
        <v>0.6</v>
      </c>
      <c r="C60" s="3161">
        <v>0.3</v>
      </c>
      <c r="D60" s="3161">
        <v>0.25</v>
      </c>
      <c r="E60" s="3161">
        <v>0.25</v>
      </c>
      <c r="F60" s="3161">
        <v>0.25</v>
      </c>
      <c r="G60" s="3161">
        <v>0.15</v>
      </c>
      <c r="I60" s="979"/>
    </row>
    <row r="61" spans="1:9" s="1017" customFormat="1">
      <c r="A61" s="1043" t="s">
        <v>889</v>
      </c>
      <c r="B61" s="3161">
        <v>0.6</v>
      </c>
      <c r="C61" s="3161">
        <v>0.3</v>
      </c>
      <c r="D61" s="3161">
        <v>0.25</v>
      </c>
      <c r="E61" s="3161">
        <v>0.25</v>
      </c>
      <c r="F61" s="3161">
        <v>0.25</v>
      </c>
      <c r="G61" s="3161">
        <v>0.15</v>
      </c>
    </row>
    <row r="62" spans="1:9" s="1017" customFormat="1">
      <c r="A62" s="1043" t="s">
        <v>890</v>
      </c>
      <c r="B62" s="3161">
        <v>0.6</v>
      </c>
      <c r="C62" s="3161">
        <v>0.3</v>
      </c>
      <c r="D62" s="3161">
        <v>0.25</v>
      </c>
      <c r="E62" s="3161">
        <v>0.25</v>
      </c>
      <c r="F62" s="3161">
        <v>0.25</v>
      </c>
      <c r="G62" s="3161">
        <v>0.15</v>
      </c>
    </row>
    <row r="63" spans="1:9" s="1017" customFormat="1">
      <c r="A63" s="1043" t="s">
        <v>891</v>
      </c>
      <c r="B63" s="3161">
        <v>0.6</v>
      </c>
      <c r="C63" s="3161">
        <v>0.3</v>
      </c>
      <c r="D63" s="3161">
        <v>0.25</v>
      </c>
      <c r="E63" s="3161">
        <v>0.25</v>
      </c>
      <c r="F63" s="3161">
        <v>0.25</v>
      </c>
      <c r="G63" s="3161">
        <v>0.15</v>
      </c>
    </row>
    <row r="64" spans="1:9" s="1017" customFormat="1">
      <c r="A64" s="1043" t="s">
        <v>892</v>
      </c>
      <c r="B64" s="3161">
        <v>0.5</v>
      </c>
      <c r="C64" s="3161">
        <v>0.2</v>
      </c>
      <c r="D64" s="3161">
        <v>0.2</v>
      </c>
      <c r="E64" s="3161">
        <v>0.2</v>
      </c>
      <c r="F64" s="3161">
        <v>0.2</v>
      </c>
      <c r="G64" s="3161">
        <v>0.1</v>
      </c>
    </row>
    <row r="65" spans="1:8" s="1017" customFormat="1">
      <c r="A65" s="1043" t="s">
        <v>893</v>
      </c>
      <c r="B65" s="3161">
        <v>0.5</v>
      </c>
      <c r="C65" s="3161">
        <v>0.2</v>
      </c>
      <c r="D65" s="3161">
        <v>0.2</v>
      </c>
      <c r="E65" s="3161">
        <v>0.2</v>
      </c>
      <c r="F65" s="3161">
        <v>0.2</v>
      </c>
      <c r="G65" s="3161">
        <v>0.1</v>
      </c>
    </row>
    <row r="66" spans="1:8" s="1017" customFormat="1">
      <c r="A66" s="1043" t="s">
        <v>894</v>
      </c>
      <c r="B66" s="3161">
        <v>0.5</v>
      </c>
      <c r="C66" s="3161">
        <v>0.2</v>
      </c>
      <c r="D66" s="3161">
        <v>0.2</v>
      </c>
      <c r="E66" s="3161">
        <v>0.2</v>
      </c>
      <c r="F66" s="3161">
        <v>0.2</v>
      </c>
      <c r="G66" s="3161">
        <v>0.1</v>
      </c>
    </row>
    <row r="67" spans="1:8" s="1017" customFormat="1">
      <c r="A67" s="1043" t="s">
        <v>895</v>
      </c>
      <c r="B67" s="3161">
        <v>0.5</v>
      </c>
      <c r="C67" s="3161">
        <v>0.2</v>
      </c>
      <c r="D67" s="3161">
        <v>0.2</v>
      </c>
      <c r="E67" s="3161">
        <v>0.2</v>
      </c>
      <c r="F67" s="3161">
        <v>0.2</v>
      </c>
      <c r="G67" s="3161">
        <v>0.1</v>
      </c>
    </row>
    <row r="68" spans="1:8" s="1017" customFormat="1">
      <c r="A68" s="1043" t="s">
        <v>896</v>
      </c>
      <c r="B68" s="3161">
        <v>0.5</v>
      </c>
      <c r="C68" s="3161">
        <v>0.2</v>
      </c>
      <c r="D68" s="3161">
        <v>0.2</v>
      </c>
      <c r="E68" s="3161">
        <v>0.2</v>
      </c>
      <c r="F68" s="3161">
        <v>0.2</v>
      </c>
      <c r="G68" s="3161">
        <v>0.1</v>
      </c>
    </row>
    <row r="70" spans="1:8" s="1017" customFormat="1">
      <c r="A70" s="1027"/>
      <c r="B70" s="1022"/>
      <c r="C70" s="1022"/>
      <c r="D70" s="1022" t="s">
        <v>1426</v>
      </c>
      <c r="E70" s="1022"/>
      <c r="F70" s="1022"/>
    </row>
    <row r="71" spans="1:8" s="1017" customFormat="1">
      <c r="A71" s="1045" t="s">
        <v>1427</v>
      </c>
      <c r="B71" s="1045" t="s">
        <v>1428</v>
      </c>
      <c r="C71" s="1045" t="s">
        <v>1429</v>
      </c>
      <c r="D71" s="1045" t="s">
        <v>1430</v>
      </c>
      <c r="E71" s="1045" t="s">
        <v>1431</v>
      </c>
      <c r="F71" s="1045" t="s">
        <v>1432</v>
      </c>
    </row>
    <row r="72" spans="1:8" s="1017" customFormat="1">
      <c r="A72" s="1045"/>
      <c r="B72" s="1045"/>
      <c r="C72" s="1045" t="s">
        <v>2967</v>
      </c>
      <c r="D72" s="1045"/>
      <c r="E72" s="1031" t="s">
        <v>1419</v>
      </c>
      <c r="F72" s="1045" t="s">
        <v>1419</v>
      </c>
    </row>
    <row r="73" spans="1:8" s="1017" customFormat="1">
      <c r="A73" s="3183">
        <v>1</v>
      </c>
      <c r="B73" s="3476" t="s">
        <v>2968</v>
      </c>
      <c r="C73" s="3161" t="s">
        <v>2969</v>
      </c>
      <c r="D73" s="3161" t="s">
        <v>2970</v>
      </c>
      <c r="E73" s="3184">
        <v>0.2</v>
      </c>
      <c r="F73" s="3183">
        <v>25</v>
      </c>
      <c r="H73" s="1017">
        <f>SUMIF(C71:C139,基准地价!C8,E71:E139)</f>
        <v>0</v>
      </c>
    </row>
    <row r="74" spans="1:8" s="1017" customFormat="1" ht="24">
      <c r="A74" s="3183">
        <v>2</v>
      </c>
      <c r="B74" s="3482"/>
      <c r="C74" s="3161" t="s">
        <v>2971</v>
      </c>
      <c r="D74" s="3161" t="s">
        <v>2972</v>
      </c>
      <c r="E74" s="3184">
        <v>0.2</v>
      </c>
      <c r="F74" s="3183">
        <v>25</v>
      </c>
    </row>
    <row r="75" spans="1:8" s="1017" customFormat="1" ht="24">
      <c r="A75" s="3183">
        <v>3</v>
      </c>
      <c r="B75" s="3482"/>
      <c r="C75" s="3161" t="s">
        <v>2973</v>
      </c>
      <c r="D75" s="3161" t="s">
        <v>2974</v>
      </c>
      <c r="E75" s="3184">
        <v>0.2</v>
      </c>
      <c r="F75" s="3183">
        <v>25</v>
      </c>
    </row>
    <row r="76" spans="1:8" s="1017" customFormat="1">
      <c r="A76" s="3183">
        <v>4</v>
      </c>
      <c r="B76" s="3482"/>
      <c r="C76" s="3161" t="s">
        <v>2975</v>
      </c>
      <c r="D76" s="3161" t="s">
        <v>2976</v>
      </c>
      <c r="E76" s="3184">
        <v>0.15</v>
      </c>
      <c r="F76" s="3183">
        <v>20</v>
      </c>
    </row>
    <row r="77" spans="1:8" s="1017" customFormat="1" ht="24">
      <c r="A77" s="3183">
        <v>5</v>
      </c>
      <c r="B77" s="3482"/>
      <c r="C77" s="3161" t="s">
        <v>2977</v>
      </c>
      <c r="D77" s="3161" t="s">
        <v>2978</v>
      </c>
      <c r="E77" s="3184">
        <v>0.15</v>
      </c>
      <c r="F77" s="3183">
        <v>20</v>
      </c>
    </row>
    <row r="78" spans="1:8" s="1017" customFormat="1" ht="24">
      <c r="A78" s="3183">
        <v>6</v>
      </c>
      <c r="B78" s="3482"/>
      <c r="C78" s="3161" t="s">
        <v>2979</v>
      </c>
      <c r="D78" s="3161" t="s">
        <v>2980</v>
      </c>
      <c r="E78" s="3184">
        <v>0.15</v>
      </c>
      <c r="F78" s="3183">
        <v>20</v>
      </c>
    </row>
    <row r="79" spans="1:8" s="1017" customFormat="1" ht="24">
      <c r="A79" s="3183">
        <v>7</v>
      </c>
      <c r="B79" s="3482"/>
      <c r="C79" s="3161" t="s">
        <v>2981</v>
      </c>
      <c r="D79" s="3161" t="s">
        <v>2982</v>
      </c>
      <c r="E79" s="3184">
        <v>0.15</v>
      </c>
      <c r="F79" s="3183">
        <v>20</v>
      </c>
    </row>
    <row r="80" spans="1:8" s="1017" customFormat="1" ht="24">
      <c r="A80" s="3183">
        <v>8</v>
      </c>
      <c r="B80" s="3482"/>
      <c r="C80" s="3161" t="s">
        <v>2983</v>
      </c>
      <c r="D80" s="3161" t="s">
        <v>2984</v>
      </c>
      <c r="E80" s="3184">
        <v>0.1</v>
      </c>
      <c r="F80" s="3183">
        <v>15</v>
      </c>
    </row>
    <row r="81" spans="1:6" s="1017" customFormat="1" ht="24">
      <c r="A81" s="3183">
        <v>9</v>
      </c>
      <c r="B81" s="3482"/>
      <c r="C81" s="3161" t="s">
        <v>2985</v>
      </c>
      <c r="D81" s="3161" t="s">
        <v>2986</v>
      </c>
      <c r="E81" s="3184">
        <v>0.1</v>
      </c>
      <c r="F81" s="3183">
        <v>15</v>
      </c>
    </row>
    <row r="82" spans="1:6" s="1017" customFormat="1" ht="24">
      <c r="A82" s="3183">
        <v>10</v>
      </c>
      <c r="B82" s="3482"/>
      <c r="C82" s="3161" t="s">
        <v>2987</v>
      </c>
      <c r="D82" s="3161" t="s">
        <v>2988</v>
      </c>
      <c r="E82" s="3184">
        <v>0.1</v>
      </c>
      <c r="F82" s="3183">
        <v>15</v>
      </c>
    </row>
    <row r="83" spans="1:6" s="1017" customFormat="1" ht="24">
      <c r="A83" s="3183">
        <v>11</v>
      </c>
      <c r="B83" s="3482"/>
      <c r="C83" s="3161" t="s">
        <v>2989</v>
      </c>
      <c r="D83" s="3161" t="s">
        <v>2990</v>
      </c>
      <c r="E83" s="3184">
        <v>0.1</v>
      </c>
      <c r="F83" s="3183">
        <v>15</v>
      </c>
    </row>
    <row r="84" spans="1:6" s="1017" customFormat="1" ht="24">
      <c r="A84" s="3183">
        <v>12</v>
      </c>
      <c r="B84" s="3482"/>
      <c r="C84" s="3161" t="s">
        <v>2991</v>
      </c>
      <c r="D84" s="3161" t="s">
        <v>2992</v>
      </c>
      <c r="E84" s="3184">
        <v>0.1</v>
      </c>
      <c r="F84" s="3183">
        <v>15</v>
      </c>
    </row>
    <row r="85" spans="1:6" s="1017" customFormat="1">
      <c r="A85" s="3183">
        <v>13</v>
      </c>
      <c r="B85" s="3482"/>
      <c r="C85" s="3161" t="s">
        <v>2993</v>
      </c>
      <c r="D85" s="3161" t="s">
        <v>2994</v>
      </c>
      <c r="E85" s="3184">
        <v>0.1</v>
      </c>
      <c r="F85" s="3183">
        <v>15</v>
      </c>
    </row>
    <row r="86" spans="1:6" s="1017" customFormat="1">
      <c r="A86" s="3183">
        <v>14</v>
      </c>
      <c r="B86" s="3482"/>
      <c r="C86" s="3161" t="s">
        <v>2995</v>
      </c>
      <c r="D86" s="3161" t="s">
        <v>2996</v>
      </c>
      <c r="E86" s="3184">
        <v>0.1</v>
      </c>
      <c r="F86" s="3183">
        <v>15</v>
      </c>
    </row>
    <row r="87" spans="1:6" s="1017" customFormat="1">
      <c r="A87" s="3183">
        <v>15</v>
      </c>
      <c r="B87" s="3482"/>
      <c r="C87" s="3161" t="s">
        <v>2997</v>
      </c>
      <c r="D87" s="3161" t="s">
        <v>2998</v>
      </c>
      <c r="E87" s="3184">
        <v>0.1</v>
      </c>
      <c r="F87" s="3183">
        <v>15</v>
      </c>
    </row>
    <row r="88" spans="1:6" s="1017" customFormat="1" ht="24">
      <c r="A88" s="3183">
        <v>16</v>
      </c>
      <c r="B88" s="3482"/>
      <c r="C88" s="3161" t="s">
        <v>2999</v>
      </c>
      <c r="D88" s="3161" t="s">
        <v>3000</v>
      </c>
      <c r="E88" s="3184">
        <v>0.1</v>
      </c>
      <c r="F88" s="3183">
        <v>15</v>
      </c>
    </row>
    <row r="89" spans="1:6" s="1017" customFormat="1" ht="24">
      <c r="A89" s="3183">
        <v>17</v>
      </c>
      <c r="B89" s="3477"/>
      <c r="C89" s="3161" t="s">
        <v>3001</v>
      </c>
      <c r="D89" s="3161" t="s">
        <v>3002</v>
      </c>
      <c r="E89" s="3184">
        <v>0.1</v>
      </c>
      <c r="F89" s="3183">
        <v>15</v>
      </c>
    </row>
    <row r="90" spans="1:6" s="1017" customFormat="1">
      <c r="A90" s="3183">
        <v>18</v>
      </c>
      <c r="B90" s="3476" t="s">
        <v>3003</v>
      </c>
      <c r="C90" s="3161" t="s">
        <v>3004</v>
      </c>
      <c r="D90" s="3161" t="s">
        <v>3005</v>
      </c>
      <c r="E90" s="3184">
        <v>0.2</v>
      </c>
      <c r="F90" s="3183">
        <v>25</v>
      </c>
    </row>
    <row r="91" spans="1:6" s="1017" customFormat="1" ht="24">
      <c r="A91" s="3183">
        <v>19</v>
      </c>
      <c r="B91" s="3482"/>
      <c r="C91" s="3161" t="s">
        <v>3006</v>
      </c>
      <c r="D91" s="3161" t="s">
        <v>3007</v>
      </c>
      <c r="E91" s="3184">
        <v>0.2</v>
      </c>
      <c r="F91" s="3183">
        <v>25</v>
      </c>
    </row>
    <row r="92" spans="1:6" s="1017" customFormat="1">
      <c r="A92" s="3183">
        <v>20</v>
      </c>
      <c r="B92" s="3482"/>
      <c r="C92" s="3161" t="s">
        <v>3008</v>
      </c>
      <c r="D92" s="3161" t="s">
        <v>3009</v>
      </c>
      <c r="E92" s="3184">
        <v>0.15</v>
      </c>
      <c r="F92" s="3183">
        <v>20</v>
      </c>
    </row>
    <row r="93" spans="1:6" s="1017" customFormat="1" ht="24">
      <c r="A93" s="3183">
        <v>21</v>
      </c>
      <c r="B93" s="3482"/>
      <c r="C93" s="3161" t="s">
        <v>3010</v>
      </c>
      <c r="D93" s="3161" t="s">
        <v>3011</v>
      </c>
      <c r="E93" s="3184">
        <v>0.15</v>
      </c>
      <c r="F93" s="3183">
        <v>20</v>
      </c>
    </row>
    <row r="94" spans="1:6" s="1017" customFormat="1" ht="24">
      <c r="A94" s="3183">
        <v>22</v>
      </c>
      <c r="B94" s="3482"/>
      <c r="C94" s="3161" t="s">
        <v>3012</v>
      </c>
      <c r="D94" s="3161" t="s">
        <v>3013</v>
      </c>
      <c r="E94" s="3184">
        <v>0.15</v>
      </c>
      <c r="F94" s="3183">
        <v>20</v>
      </c>
    </row>
    <row r="95" spans="1:6" s="1017" customFormat="1" ht="36">
      <c r="A95" s="3183">
        <v>23</v>
      </c>
      <c r="B95" s="3482"/>
      <c r="C95" s="3161" t="s">
        <v>3014</v>
      </c>
      <c r="D95" s="3161" t="s">
        <v>3015</v>
      </c>
      <c r="E95" s="3184">
        <v>0.15</v>
      </c>
      <c r="F95" s="3183">
        <v>20</v>
      </c>
    </row>
    <row r="96" spans="1:6" s="1017" customFormat="1">
      <c r="A96" s="3183">
        <v>24</v>
      </c>
      <c r="B96" s="3482"/>
      <c r="C96" s="3161" t="s">
        <v>3016</v>
      </c>
      <c r="D96" s="3161" t="s">
        <v>3017</v>
      </c>
      <c r="E96" s="3184">
        <v>0.1</v>
      </c>
      <c r="F96" s="3183">
        <v>15</v>
      </c>
    </row>
    <row r="97" spans="1:6" s="1017" customFormat="1" ht="24">
      <c r="A97" s="3183">
        <v>25</v>
      </c>
      <c r="B97" s="3482"/>
      <c r="C97" s="3161" t="s">
        <v>3018</v>
      </c>
      <c r="D97" s="3161" t="s">
        <v>3019</v>
      </c>
      <c r="E97" s="3184">
        <v>0.1</v>
      </c>
      <c r="F97" s="3183">
        <v>15</v>
      </c>
    </row>
    <row r="98" spans="1:6" s="1017" customFormat="1" ht="24">
      <c r="A98" s="3183">
        <v>26</v>
      </c>
      <c r="B98" s="3482"/>
      <c r="C98" s="3161" t="s">
        <v>3020</v>
      </c>
      <c r="D98" s="3161" t="s">
        <v>3021</v>
      </c>
      <c r="E98" s="3184">
        <v>0.1</v>
      </c>
      <c r="F98" s="3183">
        <v>15</v>
      </c>
    </row>
    <row r="99" spans="1:6" s="1017" customFormat="1" ht="24">
      <c r="A99" s="3183">
        <v>27</v>
      </c>
      <c r="B99" s="3482"/>
      <c r="C99" s="3161" t="s">
        <v>3022</v>
      </c>
      <c r="D99" s="3161" t="s">
        <v>3023</v>
      </c>
      <c r="E99" s="3184">
        <v>0.1</v>
      </c>
      <c r="F99" s="3183">
        <v>15</v>
      </c>
    </row>
    <row r="100" spans="1:6" s="1017" customFormat="1" ht="24">
      <c r="A100" s="3183">
        <v>28</v>
      </c>
      <c r="B100" s="3482"/>
      <c r="C100" s="3161" t="s">
        <v>3024</v>
      </c>
      <c r="D100" s="3161" t="s">
        <v>3025</v>
      </c>
      <c r="E100" s="3184">
        <v>0.1</v>
      </c>
      <c r="F100" s="3183">
        <v>15</v>
      </c>
    </row>
    <row r="101" spans="1:6" s="1017" customFormat="1" ht="24">
      <c r="A101" s="3183">
        <v>29</v>
      </c>
      <c r="B101" s="3482"/>
      <c r="C101" s="3161" t="s">
        <v>3026</v>
      </c>
      <c r="D101" s="3161" t="s">
        <v>3027</v>
      </c>
      <c r="E101" s="3184">
        <v>0.1</v>
      </c>
      <c r="F101" s="3183">
        <v>15</v>
      </c>
    </row>
    <row r="102" spans="1:6" s="1017" customFormat="1" ht="24">
      <c r="A102" s="3183">
        <v>30</v>
      </c>
      <c r="B102" s="3482"/>
      <c r="C102" s="3161" t="s">
        <v>3028</v>
      </c>
      <c r="D102" s="3161" t="s">
        <v>3029</v>
      </c>
      <c r="E102" s="3184">
        <v>0.1</v>
      </c>
      <c r="F102" s="3183">
        <v>15</v>
      </c>
    </row>
    <row r="103" spans="1:6" s="1017" customFormat="1" ht="24">
      <c r="A103" s="3183">
        <v>31</v>
      </c>
      <c r="B103" s="3482"/>
      <c r="C103" s="3161" t="s">
        <v>3030</v>
      </c>
      <c r="D103" s="3161" t="s">
        <v>3031</v>
      </c>
      <c r="E103" s="3184">
        <v>0.1</v>
      </c>
      <c r="F103" s="3183">
        <v>15</v>
      </c>
    </row>
    <row r="104" spans="1:6" s="1017" customFormat="1" ht="24">
      <c r="A104" s="3183">
        <v>32</v>
      </c>
      <c r="B104" s="3482"/>
      <c r="C104" s="3161" t="s">
        <v>3032</v>
      </c>
      <c r="D104" s="3161" t="s">
        <v>3033</v>
      </c>
      <c r="E104" s="3184">
        <v>0.1</v>
      </c>
      <c r="F104" s="3183">
        <v>15</v>
      </c>
    </row>
    <row r="105" spans="1:6" s="1017" customFormat="1" ht="24">
      <c r="A105" s="3183">
        <v>33</v>
      </c>
      <c r="B105" s="3482"/>
      <c r="C105" s="3161" t="s">
        <v>3034</v>
      </c>
      <c r="D105" s="3161" t="s">
        <v>3035</v>
      </c>
      <c r="E105" s="3184">
        <v>0.1</v>
      </c>
      <c r="F105" s="3183">
        <v>15</v>
      </c>
    </row>
    <row r="106" spans="1:6" s="1017" customFormat="1" ht="24">
      <c r="A106" s="3183">
        <v>34</v>
      </c>
      <c r="B106" s="3477"/>
      <c r="C106" s="3161" t="s">
        <v>3036</v>
      </c>
      <c r="D106" s="3161" t="s">
        <v>3037</v>
      </c>
      <c r="E106" s="3184">
        <v>0.1</v>
      </c>
      <c r="F106" s="3183">
        <v>15</v>
      </c>
    </row>
    <row r="107" spans="1:6" s="1017" customFormat="1" ht="24">
      <c r="A107" s="3183">
        <v>35</v>
      </c>
      <c r="B107" s="3476" t="s">
        <v>3038</v>
      </c>
      <c r="C107" s="3183" t="s">
        <v>3039</v>
      </c>
      <c r="D107" s="3161" t="s">
        <v>3040</v>
      </c>
      <c r="E107" s="3184">
        <v>0.15</v>
      </c>
      <c r="F107" s="3183">
        <v>20</v>
      </c>
    </row>
    <row r="108" spans="1:6" s="1017" customFormat="1" ht="24">
      <c r="A108" s="3183">
        <v>36</v>
      </c>
      <c r="B108" s="3482"/>
      <c r="C108" s="3183" t="s">
        <v>3041</v>
      </c>
      <c r="D108" s="3161" t="s">
        <v>3042</v>
      </c>
      <c r="E108" s="3184">
        <v>0.15</v>
      </c>
      <c r="F108" s="3183">
        <v>20</v>
      </c>
    </row>
    <row r="109" spans="1:6" s="1017" customFormat="1" ht="24">
      <c r="A109" s="3183">
        <v>37</v>
      </c>
      <c r="B109" s="3482"/>
      <c r="C109" s="3183" t="s">
        <v>3043</v>
      </c>
      <c r="D109" s="3161" t="s">
        <v>3044</v>
      </c>
      <c r="E109" s="3184">
        <v>0.15</v>
      </c>
      <c r="F109" s="3183">
        <v>20</v>
      </c>
    </row>
    <row r="110" spans="1:6" s="1017" customFormat="1">
      <c r="A110" s="3183">
        <v>38</v>
      </c>
      <c r="B110" s="3482"/>
      <c r="C110" s="3183" t="s">
        <v>3045</v>
      </c>
      <c r="D110" s="3161" t="s">
        <v>3046</v>
      </c>
      <c r="E110" s="3184">
        <v>0.1</v>
      </c>
      <c r="F110" s="3183">
        <v>15</v>
      </c>
    </row>
    <row r="111" spans="1:6" s="1017" customFormat="1" ht="24">
      <c r="A111" s="3183">
        <v>39</v>
      </c>
      <c r="B111" s="3482"/>
      <c r="C111" s="3183" t="s">
        <v>3047</v>
      </c>
      <c r="D111" s="3161" t="s">
        <v>3048</v>
      </c>
      <c r="E111" s="3184">
        <v>0.1</v>
      </c>
      <c r="F111" s="3183">
        <v>15</v>
      </c>
    </row>
    <row r="112" spans="1:6" s="1017" customFormat="1" ht="24">
      <c r="A112" s="3183">
        <v>40</v>
      </c>
      <c r="B112" s="3477"/>
      <c r="C112" s="3183" t="s">
        <v>3049</v>
      </c>
      <c r="D112" s="3161" t="s">
        <v>3050</v>
      </c>
      <c r="E112" s="3184">
        <v>0.1</v>
      </c>
      <c r="F112" s="3183">
        <v>15</v>
      </c>
    </row>
    <row r="113" spans="1:6" s="1017" customFormat="1" ht="24">
      <c r="A113" s="3183">
        <v>41</v>
      </c>
      <c r="B113" s="3475" t="s">
        <v>3051</v>
      </c>
      <c r="C113" s="3183" t="s">
        <v>3052</v>
      </c>
      <c r="D113" s="3161" t="s">
        <v>3053</v>
      </c>
      <c r="E113" s="3184">
        <v>0.1</v>
      </c>
      <c r="F113" s="3183">
        <v>15</v>
      </c>
    </row>
    <row r="114" spans="1:6" s="1017" customFormat="1">
      <c r="A114" s="3183">
        <v>42</v>
      </c>
      <c r="B114" s="3475"/>
      <c r="C114" s="3183" t="s">
        <v>3054</v>
      </c>
      <c r="D114" s="3161" t="s">
        <v>3055</v>
      </c>
      <c r="E114" s="3184">
        <v>0.1</v>
      </c>
      <c r="F114" s="3183">
        <v>15</v>
      </c>
    </row>
    <row r="115" spans="1:6" s="1017" customFormat="1" ht="24">
      <c r="A115" s="3183">
        <v>43</v>
      </c>
      <c r="B115" s="3475"/>
      <c r="C115" s="3183" t="s">
        <v>3056</v>
      </c>
      <c r="D115" s="3161" t="s">
        <v>3057</v>
      </c>
      <c r="E115" s="3184">
        <v>0.1</v>
      </c>
      <c r="F115" s="3183">
        <v>15</v>
      </c>
    </row>
    <row r="116" spans="1:6" s="1017" customFormat="1" ht="24">
      <c r="A116" s="3183">
        <v>44</v>
      </c>
      <c r="B116" s="3476" t="s">
        <v>3058</v>
      </c>
      <c r="C116" s="3183" t="s">
        <v>3059</v>
      </c>
      <c r="D116" s="3161" t="s">
        <v>3060</v>
      </c>
      <c r="E116" s="3184">
        <v>0.1</v>
      </c>
      <c r="F116" s="3183">
        <v>15</v>
      </c>
    </row>
    <row r="117" spans="1:6" s="1017" customFormat="1" ht="24">
      <c r="A117" s="3183">
        <v>45</v>
      </c>
      <c r="B117" s="3477"/>
      <c r="C117" s="3161" t="s">
        <v>3061</v>
      </c>
      <c r="D117" s="3161" t="s">
        <v>3062</v>
      </c>
      <c r="E117" s="3184">
        <v>0.1</v>
      </c>
      <c r="F117" s="3183">
        <v>15</v>
      </c>
    </row>
    <row r="118" spans="1:6" s="1017" customFormat="1" ht="24">
      <c r="A118" s="3183">
        <v>46</v>
      </c>
      <c r="B118" s="3476" t="s">
        <v>3063</v>
      </c>
      <c r="C118" s="3183" t="s">
        <v>3064</v>
      </c>
      <c r="D118" s="3161" t="s">
        <v>3065</v>
      </c>
      <c r="E118" s="3184">
        <v>0.1</v>
      </c>
      <c r="F118" s="3183">
        <v>15</v>
      </c>
    </row>
    <row r="119" spans="1:6" s="1017" customFormat="1" ht="24">
      <c r="A119" s="3183">
        <v>47</v>
      </c>
      <c r="B119" s="3477"/>
      <c r="C119" s="3183" t="s">
        <v>3066</v>
      </c>
      <c r="D119" s="3161" t="s">
        <v>3067</v>
      </c>
      <c r="E119" s="3184">
        <v>0.1</v>
      </c>
      <c r="F119" s="3183">
        <v>15</v>
      </c>
    </row>
    <row r="120" spans="1:6" s="1017" customFormat="1" ht="24">
      <c r="A120" s="3183">
        <v>48</v>
      </c>
      <c r="B120" s="3476" t="s">
        <v>3068</v>
      </c>
      <c r="C120" s="3183" t="s">
        <v>3069</v>
      </c>
      <c r="D120" s="3161" t="s">
        <v>3070</v>
      </c>
      <c r="E120" s="3184">
        <v>0.1</v>
      </c>
      <c r="F120" s="3183">
        <v>15</v>
      </c>
    </row>
    <row r="121" spans="1:6" s="1017" customFormat="1">
      <c r="A121" s="3183">
        <v>49</v>
      </c>
      <c r="B121" s="3477"/>
      <c r="C121" s="3183" t="s">
        <v>3071</v>
      </c>
      <c r="D121" s="3161" t="s">
        <v>3072</v>
      </c>
      <c r="E121" s="3184">
        <v>0.1</v>
      </c>
      <c r="F121" s="3183">
        <v>15</v>
      </c>
    </row>
    <row r="122" spans="1:6" s="1017" customFormat="1" ht="24">
      <c r="A122" s="3183">
        <v>50</v>
      </c>
      <c r="B122" s="3475" t="s">
        <v>3073</v>
      </c>
      <c r="C122" s="3183" t="s">
        <v>3074</v>
      </c>
      <c r="D122" s="3161" t="s">
        <v>3075</v>
      </c>
      <c r="E122" s="3184">
        <v>0.1</v>
      </c>
      <c r="F122" s="3183">
        <v>15</v>
      </c>
    </row>
    <row r="123" spans="1:6" s="1017" customFormat="1" ht="24">
      <c r="A123" s="3183">
        <v>51</v>
      </c>
      <c r="B123" s="3475"/>
      <c r="C123" s="3183" t="s">
        <v>3076</v>
      </c>
      <c r="D123" s="3161" t="s">
        <v>3077</v>
      </c>
      <c r="E123" s="3184">
        <v>0.1</v>
      </c>
      <c r="F123" s="3183">
        <v>15</v>
      </c>
    </row>
    <row r="124" spans="1:6" s="1017" customFormat="1" ht="24">
      <c r="A124" s="3183">
        <v>52</v>
      </c>
      <c r="B124" s="3475" t="s">
        <v>3078</v>
      </c>
      <c r="C124" s="3183" t="s">
        <v>3079</v>
      </c>
      <c r="D124" s="3161" t="s">
        <v>3080</v>
      </c>
      <c r="E124" s="3184">
        <v>0.1</v>
      </c>
      <c r="F124" s="3183">
        <v>15</v>
      </c>
    </row>
    <row r="125" spans="1:6" s="1017" customFormat="1" ht="24">
      <c r="A125" s="3183">
        <v>53</v>
      </c>
      <c r="B125" s="3475"/>
      <c r="C125" s="3183" t="s">
        <v>3081</v>
      </c>
      <c r="D125" s="3161" t="s">
        <v>3082</v>
      </c>
      <c r="E125" s="3184">
        <v>0.1</v>
      </c>
      <c r="F125" s="3183">
        <v>15</v>
      </c>
    </row>
    <row r="126" spans="1:6" ht="24">
      <c r="A126" s="3183">
        <v>54</v>
      </c>
      <c r="B126" s="3183" t="s">
        <v>3083</v>
      </c>
      <c r="C126" s="3183" t="s">
        <v>3084</v>
      </c>
      <c r="D126" s="3161" t="s">
        <v>3085</v>
      </c>
      <c r="E126" s="3184">
        <v>0.1</v>
      </c>
      <c r="F126" s="3183">
        <v>15</v>
      </c>
    </row>
    <row r="127" spans="1:6">
      <c r="A127" s="3183">
        <v>55</v>
      </c>
      <c r="B127" s="3475" t="s">
        <v>3086</v>
      </c>
      <c r="C127" s="3183" t="s">
        <v>3087</v>
      </c>
      <c r="D127" s="3161" t="s">
        <v>3088</v>
      </c>
      <c r="E127" s="3184">
        <v>0.1</v>
      </c>
      <c r="F127" s="3183">
        <v>15</v>
      </c>
    </row>
    <row r="128" spans="1:6">
      <c r="A128" s="3183">
        <v>56</v>
      </c>
      <c r="B128" s="3475"/>
      <c r="C128" s="3183" t="s">
        <v>3089</v>
      </c>
      <c r="D128" s="3161" t="s">
        <v>3090</v>
      </c>
      <c r="E128" s="3184">
        <v>0.1</v>
      </c>
      <c r="F128" s="3183">
        <v>15</v>
      </c>
    </row>
    <row r="129" spans="1:14" ht="24">
      <c r="A129" s="3183">
        <v>57</v>
      </c>
      <c r="B129" s="3475"/>
      <c r="C129" s="3183" t="s">
        <v>3091</v>
      </c>
      <c r="D129" s="3161" t="s">
        <v>3092</v>
      </c>
      <c r="E129" s="3184">
        <v>0.1</v>
      </c>
      <c r="F129" s="3183">
        <v>15</v>
      </c>
    </row>
    <row r="130" spans="1:14" ht="24">
      <c r="A130" s="3183">
        <v>58</v>
      </c>
      <c r="B130" s="3475" t="s">
        <v>3093</v>
      </c>
      <c r="C130" s="3183" t="s">
        <v>3094</v>
      </c>
      <c r="D130" s="3161" t="s">
        <v>3095</v>
      </c>
      <c r="E130" s="3184">
        <v>0.1</v>
      </c>
      <c r="F130" s="3183">
        <v>15</v>
      </c>
    </row>
    <row r="131" spans="1:14" ht="24">
      <c r="A131" s="3183">
        <v>59</v>
      </c>
      <c r="B131" s="3475"/>
      <c r="C131" s="3183" t="s">
        <v>3096</v>
      </c>
      <c r="D131" s="3161" t="s">
        <v>3097</v>
      </c>
      <c r="E131" s="3184">
        <v>0.1</v>
      </c>
      <c r="F131" s="3183">
        <v>15</v>
      </c>
    </row>
    <row r="132" spans="1:14" ht="24">
      <c r="A132" s="3183">
        <v>60</v>
      </c>
      <c r="B132" s="3476" t="s">
        <v>3098</v>
      </c>
      <c r="C132" s="3183" t="s">
        <v>3099</v>
      </c>
      <c r="D132" s="3161" t="s">
        <v>3100</v>
      </c>
      <c r="E132" s="3184">
        <v>0.1</v>
      </c>
      <c r="F132" s="3183">
        <v>15</v>
      </c>
    </row>
    <row r="133" spans="1:14" ht="24">
      <c r="A133" s="3183">
        <v>61</v>
      </c>
      <c r="B133" s="3477"/>
      <c r="C133" s="3183" t="s">
        <v>3101</v>
      </c>
      <c r="D133" s="3161" t="s">
        <v>3102</v>
      </c>
      <c r="E133" s="3184">
        <v>0.1</v>
      </c>
      <c r="F133" s="3183">
        <v>15</v>
      </c>
    </row>
    <row r="134" spans="1:14" ht="24">
      <c r="A134" s="3183">
        <v>62</v>
      </c>
      <c r="B134" s="3183" t="s">
        <v>3103</v>
      </c>
      <c r="C134" s="3183" t="s">
        <v>3104</v>
      </c>
      <c r="D134" s="3161" t="s">
        <v>3105</v>
      </c>
      <c r="E134" s="3184">
        <v>0.1</v>
      </c>
      <c r="F134" s="3183">
        <v>15</v>
      </c>
    </row>
    <row r="135" spans="1:14" ht="24">
      <c r="A135" s="3183">
        <v>63</v>
      </c>
      <c r="B135" s="3475" t="s">
        <v>3106</v>
      </c>
      <c r="C135" s="3183" t="s">
        <v>3107</v>
      </c>
      <c r="D135" s="3161" t="s">
        <v>3108</v>
      </c>
      <c r="E135" s="3184">
        <v>0.1</v>
      </c>
      <c r="F135" s="3183">
        <v>15</v>
      </c>
    </row>
    <row r="136" spans="1:14">
      <c r="A136" s="3183">
        <v>64</v>
      </c>
      <c r="B136" s="3475"/>
      <c r="C136" s="3183" t="s">
        <v>3109</v>
      </c>
      <c r="D136" s="3161" t="s">
        <v>3110</v>
      </c>
      <c r="E136" s="3184">
        <v>0.1</v>
      </c>
      <c r="F136" s="3183">
        <v>15</v>
      </c>
    </row>
    <row r="137" spans="1:14" ht="24">
      <c r="A137" s="3183">
        <v>65</v>
      </c>
      <c r="B137" s="3183" t="s">
        <v>3111</v>
      </c>
      <c r="C137" s="3183" t="s">
        <v>3112</v>
      </c>
      <c r="D137" s="3161" t="s">
        <v>3113</v>
      </c>
      <c r="E137" s="3184">
        <v>0.1</v>
      </c>
      <c r="F137" s="3183">
        <v>15</v>
      </c>
    </row>
    <row r="138" spans="1:14">
      <c r="A138" s="1045"/>
      <c r="B138" s="1045"/>
      <c r="C138" s="1045"/>
      <c r="D138" s="981"/>
      <c r="E138" s="1031"/>
      <c r="F138" s="1045"/>
    </row>
    <row r="139" spans="1:14">
      <c r="A139" s="1045"/>
      <c r="B139" s="1045"/>
      <c r="C139" s="1045"/>
      <c r="D139" s="1045"/>
      <c r="E139" s="1031"/>
      <c r="F139" s="1045"/>
    </row>
    <row r="141" spans="1:14">
      <c r="A141" s="3460" t="s">
        <v>1433</v>
      </c>
      <c r="B141" s="3460"/>
      <c r="C141" s="3460"/>
      <c r="D141" s="3460"/>
      <c r="E141" s="3460"/>
      <c r="F141" s="3460"/>
      <c r="G141" s="3460"/>
      <c r="H141" s="3460"/>
      <c r="I141" s="3460"/>
      <c r="J141" s="3460"/>
      <c r="K141" s="1046"/>
      <c r="L141" s="1046"/>
      <c r="M141" s="1046"/>
      <c r="N141" s="1046"/>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487" t="s">
        <v>1017</v>
      </c>
      <c r="B1" s="3487"/>
      <c r="C1" s="3487"/>
      <c r="D1" s="3487"/>
      <c r="E1" s="3487"/>
      <c r="F1" s="3487"/>
      <c r="H1" s="983"/>
      <c r="I1" s="984" t="s">
        <v>1018</v>
      </c>
      <c r="J1" s="985" t="s">
        <v>1019</v>
      </c>
      <c r="K1" s="985" t="s">
        <v>1020</v>
      </c>
      <c r="L1" s="985" t="s">
        <v>1021</v>
      </c>
      <c r="M1" s="985" t="s">
        <v>1022</v>
      </c>
      <c r="N1" s="985" t="s">
        <v>1023</v>
      </c>
      <c r="O1" s="985" t="s">
        <v>1024</v>
      </c>
      <c r="P1" s="985" t="s">
        <v>1025</v>
      </c>
      <c r="Q1" s="985" t="s">
        <v>1026</v>
      </c>
      <c r="R1" s="985" t="s">
        <v>1027</v>
      </c>
      <c r="S1" s="985" t="s">
        <v>1028</v>
      </c>
      <c r="T1" s="986" t="s">
        <v>1029</v>
      </c>
    </row>
    <row r="2" spans="1:20" ht="14.25" thickBot="1">
      <c r="A2" s="3488" t="s">
        <v>1030</v>
      </c>
      <c r="B2" s="3488"/>
      <c r="C2" s="3488"/>
      <c r="D2" s="3488"/>
      <c r="E2" s="3488"/>
      <c r="F2" s="3488"/>
      <c r="I2" s="987" t="s">
        <v>1031</v>
      </c>
      <c r="J2" s="988" t="s">
        <v>1032</v>
      </c>
      <c r="K2" s="988" t="s">
        <v>1033</v>
      </c>
      <c r="L2" s="988" t="s">
        <v>1034</v>
      </c>
      <c r="M2" s="988" t="s">
        <v>1035</v>
      </c>
      <c r="N2" s="988" t="s">
        <v>1036</v>
      </c>
      <c r="O2" s="988" t="s">
        <v>1037</v>
      </c>
      <c r="P2" s="988" t="s">
        <v>1038</v>
      </c>
      <c r="Q2" s="988" t="s">
        <v>1039</v>
      </c>
      <c r="R2" s="988" t="s">
        <v>1040</v>
      </c>
      <c r="S2" s="988" t="s">
        <v>1041</v>
      </c>
      <c r="T2" s="988" t="s">
        <v>1042</v>
      </c>
    </row>
    <row r="3" spans="1:20" s="983" customFormat="1" ht="19.5" customHeight="1">
      <c r="A3" s="3489" t="s">
        <v>1043</v>
      </c>
      <c r="B3" s="989"/>
      <c r="C3" s="990" t="s">
        <v>1044</v>
      </c>
      <c r="D3" s="990" t="s">
        <v>1045</v>
      </c>
      <c r="E3" s="990" t="s">
        <v>1046</v>
      </c>
      <c r="F3" s="990" t="s">
        <v>1047</v>
      </c>
      <c r="G3" s="991"/>
      <c r="I3" s="987" t="s">
        <v>1048</v>
      </c>
      <c r="J3" s="988" t="s">
        <v>1049</v>
      </c>
      <c r="K3" s="988" t="s">
        <v>1050</v>
      </c>
      <c r="L3" s="988" t="s">
        <v>1051</v>
      </c>
      <c r="M3" s="988" t="s">
        <v>1052</v>
      </c>
      <c r="N3" s="988" t="s">
        <v>1053</v>
      </c>
      <c r="O3" s="988" t="s">
        <v>1054</v>
      </c>
      <c r="P3" s="988" t="s">
        <v>1055</v>
      </c>
      <c r="Q3" s="988" t="s">
        <v>1056</v>
      </c>
      <c r="R3" s="988" t="s">
        <v>1057</v>
      </c>
      <c r="S3" s="988" t="s">
        <v>1058</v>
      </c>
      <c r="T3" s="988" t="s">
        <v>1059</v>
      </c>
    </row>
    <row r="4" spans="1:20" s="983" customFormat="1" ht="19.5" customHeight="1" thickBot="1">
      <c r="A4" s="3490"/>
      <c r="B4" s="992" t="s">
        <v>1060</v>
      </c>
      <c r="C4" s="992" t="s">
        <v>1061</v>
      </c>
      <c r="D4" s="992" t="s">
        <v>1061</v>
      </c>
      <c r="E4" s="992" t="s">
        <v>1061</v>
      </c>
      <c r="F4" s="993" t="s">
        <v>1061</v>
      </c>
      <c r="G4" s="991"/>
      <c r="I4" s="987" t="s">
        <v>1062</v>
      </c>
      <c r="J4" s="988" t="s">
        <v>1063</v>
      </c>
      <c r="K4" s="988" t="s">
        <v>1064</v>
      </c>
      <c r="L4" s="988" t="s">
        <v>1065</v>
      </c>
      <c r="M4" s="988" t="s">
        <v>1066</v>
      </c>
      <c r="N4" s="988" t="s">
        <v>1067</v>
      </c>
      <c r="O4" s="988" t="s">
        <v>1068</v>
      </c>
      <c r="P4" s="988" t="s">
        <v>1069</v>
      </c>
      <c r="Q4" s="988" t="s">
        <v>1070</v>
      </c>
      <c r="R4" s="988" t="s">
        <v>1071</v>
      </c>
      <c r="S4" s="988" t="s">
        <v>1072</v>
      </c>
      <c r="T4" s="988" t="s">
        <v>1073</v>
      </c>
    </row>
    <row r="5" spans="1:20" ht="14.25" customHeight="1" thickBot="1">
      <c r="A5" s="994" t="s">
        <v>1074</v>
      </c>
      <c r="B5" s="995" t="s">
        <v>1031</v>
      </c>
      <c r="C5" s="995">
        <v>29530</v>
      </c>
      <c r="D5" s="995">
        <v>28130</v>
      </c>
      <c r="E5" s="995">
        <v>27930</v>
      </c>
      <c r="F5" s="996">
        <v>11300</v>
      </c>
      <c r="G5" s="997" t="s">
        <v>1018</v>
      </c>
      <c r="H5" s="998">
        <f>SUMPRODUCT((B5:B9=基准地价!I2)*(C3:F3=基准地价!E2)*(C5:F9))</f>
        <v>0</v>
      </c>
      <c r="I5" s="987" t="s">
        <v>1075</v>
      </c>
      <c r="J5" s="988" t="s">
        <v>1076</v>
      </c>
      <c r="K5" s="988" t="s">
        <v>1077</v>
      </c>
      <c r="L5" s="988" t="s">
        <v>1078</v>
      </c>
      <c r="M5" s="988" t="s">
        <v>1079</v>
      </c>
      <c r="N5" s="988" t="s">
        <v>1080</v>
      </c>
      <c r="O5" s="988" t="s">
        <v>1081</v>
      </c>
      <c r="P5" s="988" t="s">
        <v>1082</v>
      </c>
      <c r="Q5" s="988" t="s">
        <v>1083</v>
      </c>
      <c r="R5" s="988" t="s">
        <v>1084</v>
      </c>
      <c r="S5" s="988" t="s">
        <v>1085</v>
      </c>
      <c r="T5" s="988" t="s">
        <v>1086</v>
      </c>
    </row>
    <row r="6" spans="1:20" ht="14.25" customHeight="1" thickBot="1">
      <c r="A6" s="994" t="s">
        <v>1074</v>
      </c>
      <c r="B6" s="988" t="s">
        <v>1087</v>
      </c>
      <c r="C6" s="988">
        <v>30290</v>
      </c>
      <c r="D6" s="988">
        <v>29210</v>
      </c>
      <c r="E6" s="988">
        <v>28860</v>
      </c>
      <c r="F6" s="999">
        <v>12600</v>
      </c>
      <c r="G6" s="1000" t="s">
        <v>1088</v>
      </c>
      <c r="H6" s="1001">
        <f>SUMPRODUCT((B10:B28=基准地价!I2)*(C3:F3=基准地价!E2)*(C10:F28))</f>
        <v>0</v>
      </c>
      <c r="I6" s="987" t="s">
        <v>1089</v>
      </c>
      <c r="J6" s="988" t="s">
        <v>1090</v>
      </c>
      <c r="K6" s="988" t="s">
        <v>1091</v>
      </c>
      <c r="L6" s="988" t="s">
        <v>1092</v>
      </c>
      <c r="M6" s="988" t="s">
        <v>1093</v>
      </c>
      <c r="N6" s="988" t="s">
        <v>1094</v>
      </c>
      <c r="O6" s="988" t="s">
        <v>1095</v>
      </c>
      <c r="P6" s="988" t="s">
        <v>1096</v>
      </c>
      <c r="Q6" s="988" t="s">
        <v>1097</v>
      </c>
      <c r="R6" s="988" t="s">
        <v>1098</v>
      </c>
      <c r="S6" s="988" t="s">
        <v>1099</v>
      </c>
      <c r="T6" s="988" t="s">
        <v>1100</v>
      </c>
    </row>
    <row r="7" spans="1:20" ht="14.25" customHeight="1" thickBot="1">
      <c r="A7" s="994" t="s">
        <v>1074</v>
      </c>
      <c r="B7" s="1002" t="s">
        <v>1062</v>
      </c>
      <c r="C7" s="988">
        <v>29350</v>
      </c>
      <c r="D7" s="988">
        <v>28410</v>
      </c>
      <c r="E7" s="988">
        <v>27990</v>
      </c>
      <c r="F7" s="999">
        <v>12300</v>
      </c>
      <c r="G7" s="1000" t="s">
        <v>887</v>
      </c>
      <c r="H7" s="1001">
        <f>SUMPRODUCT((B29:B48=基准地价!I2)*(C3:F3=基准地价!E2)*(C29:F48))</f>
        <v>0</v>
      </c>
      <c r="J7" s="988" t="s">
        <v>1101</v>
      </c>
      <c r="K7" s="988" t="s">
        <v>1102</v>
      </c>
      <c r="L7" s="988" t="s">
        <v>1103</v>
      </c>
      <c r="M7" s="988" t="s">
        <v>1104</v>
      </c>
      <c r="N7" s="988" t="s">
        <v>1105</v>
      </c>
      <c r="O7" s="988" t="s">
        <v>1106</v>
      </c>
      <c r="P7" s="988" t="s">
        <v>1107</v>
      </c>
      <c r="Q7" s="988" t="s">
        <v>1108</v>
      </c>
      <c r="R7" s="988" t="s">
        <v>1109</v>
      </c>
      <c r="S7" s="988" t="s">
        <v>1110</v>
      </c>
      <c r="T7" s="1002" t="s">
        <v>1111</v>
      </c>
    </row>
    <row r="8" spans="1:20" ht="14.25" customHeight="1" thickBot="1">
      <c r="A8" s="994" t="s">
        <v>1074</v>
      </c>
      <c r="B8" s="988" t="s">
        <v>1075</v>
      </c>
      <c r="C8" s="988">
        <v>30890</v>
      </c>
      <c r="D8" s="988">
        <v>29780</v>
      </c>
      <c r="E8" s="988">
        <v>29270</v>
      </c>
      <c r="F8" s="999">
        <v>11600</v>
      </c>
      <c r="G8" s="1000" t="s">
        <v>888</v>
      </c>
      <c r="H8" s="1001">
        <f>SUMPRODUCT((B49:B75=基准地价!I2)*(C3:F3=基准地价!E2)*(C49:F75))</f>
        <v>0</v>
      </c>
      <c r="J8" s="988" t="s">
        <v>1112</v>
      </c>
      <c r="K8" s="988" t="s">
        <v>1113</v>
      </c>
      <c r="L8" s="988" t="s">
        <v>1114</v>
      </c>
      <c r="M8" s="988" t="s">
        <v>1115</v>
      </c>
      <c r="N8" s="988" t="s">
        <v>1116</v>
      </c>
      <c r="O8" s="988" t="s">
        <v>1117</v>
      </c>
      <c r="P8" s="988" t="s">
        <v>1118</v>
      </c>
      <c r="Q8" s="988" t="s">
        <v>1119</v>
      </c>
      <c r="R8" s="988" t="s">
        <v>1120</v>
      </c>
      <c r="S8" s="988" t="s">
        <v>1121</v>
      </c>
      <c r="T8" s="988" t="s">
        <v>1122</v>
      </c>
    </row>
    <row r="9" spans="1:20" ht="14.25" customHeight="1" thickBot="1">
      <c r="A9" s="994" t="s">
        <v>1074</v>
      </c>
      <c r="B9" s="1003" t="s">
        <v>1089</v>
      </c>
      <c r="C9" s="1004">
        <v>28140</v>
      </c>
      <c r="D9" s="1004"/>
      <c r="E9" s="1004"/>
      <c r="F9" s="1005"/>
      <c r="G9" s="1000" t="s">
        <v>889</v>
      </c>
      <c r="H9" s="1001">
        <f>SUMPRODUCT((B76:B109=基准地价!I2)*(C3:F3=基准地价!E2)*(C76:F109))</f>
        <v>0</v>
      </c>
      <c r="J9" s="988" t="s">
        <v>1123</v>
      </c>
      <c r="K9" s="988" t="s">
        <v>1124</v>
      </c>
      <c r="L9" s="988" t="s">
        <v>1125</v>
      </c>
      <c r="M9" s="988" t="s">
        <v>1126</v>
      </c>
      <c r="N9" s="988" t="s">
        <v>1127</v>
      </c>
      <c r="O9" s="988" t="s">
        <v>1128</v>
      </c>
      <c r="P9" s="988" t="s">
        <v>1129</v>
      </c>
      <c r="Q9" s="988" t="s">
        <v>1130</v>
      </c>
      <c r="R9" s="988" t="s">
        <v>1131</v>
      </c>
      <c r="S9" s="988" t="s">
        <v>1132</v>
      </c>
    </row>
    <row r="10" spans="1:20" ht="14.25" customHeight="1" thickBot="1">
      <c r="A10" s="994" t="s">
        <v>1133</v>
      </c>
      <c r="B10" s="995" t="s">
        <v>1134</v>
      </c>
      <c r="C10" s="995">
        <v>27450</v>
      </c>
      <c r="D10" s="995">
        <v>26180</v>
      </c>
      <c r="E10" s="995">
        <v>25980</v>
      </c>
      <c r="F10" s="996">
        <v>8910</v>
      </c>
      <c r="G10" s="1000" t="s">
        <v>890</v>
      </c>
      <c r="H10" s="1001">
        <f>SUMPRODUCT((B110:B157=基准地价!I2)*(C3:F3=基准地价!E2)*(C110:F157))</f>
        <v>0</v>
      </c>
      <c r="J10" s="988" t="s">
        <v>1135</v>
      </c>
      <c r="K10" s="988" t="s">
        <v>1136</v>
      </c>
      <c r="L10" s="988" t="s">
        <v>1137</v>
      </c>
      <c r="M10" s="988" t="s">
        <v>1138</v>
      </c>
      <c r="N10" s="988" t="s">
        <v>1139</v>
      </c>
      <c r="O10" s="988" t="s">
        <v>1140</v>
      </c>
      <c r="P10" s="988" t="s">
        <v>1141</v>
      </c>
      <c r="Q10" s="988" t="s">
        <v>1142</v>
      </c>
      <c r="R10" s="988" t="s">
        <v>1143</v>
      </c>
      <c r="S10" s="988" t="s">
        <v>1144</v>
      </c>
    </row>
    <row r="11" spans="1:20" ht="14.25" customHeight="1" thickBot="1">
      <c r="A11" s="994" t="s">
        <v>1133</v>
      </c>
      <c r="B11" s="1002" t="s">
        <v>1049</v>
      </c>
      <c r="C11" s="988">
        <v>22950</v>
      </c>
      <c r="D11" s="988">
        <v>22630</v>
      </c>
      <c r="E11" s="988">
        <v>22030</v>
      </c>
      <c r="F11" s="1006">
        <v>8330</v>
      </c>
      <c r="G11" s="1000" t="s">
        <v>891</v>
      </c>
      <c r="H11" s="1001">
        <f>SUMPRODUCT((B158:B205=基准地价!I2)*(C3:F3=基准地价!E2)*(C158:F205))</f>
        <v>0</v>
      </c>
      <c r="J11" s="988" t="s">
        <v>1145</v>
      </c>
      <c r="K11" s="988" t="s">
        <v>1146</v>
      </c>
      <c r="L11" s="988" t="s">
        <v>1147</v>
      </c>
      <c r="M11" s="988" t="s">
        <v>1148</v>
      </c>
      <c r="N11" s="988" t="s">
        <v>1149</v>
      </c>
      <c r="O11" s="988" t="s">
        <v>1150</v>
      </c>
      <c r="P11" s="988" t="s">
        <v>1151</v>
      </c>
      <c r="Q11" s="988" t="s">
        <v>1152</v>
      </c>
      <c r="R11" s="988" t="s">
        <v>1153</v>
      </c>
      <c r="S11" s="988" t="s">
        <v>1154</v>
      </c>
    </row>
    <row r="12" spans="1:20" ht="14.25" customHeight="1" thickBot="1">
      <c r="A12" s="994" t="s">
        <v>1133</v>
      </c>
      <c r="B12" s="1002" t="s">
        <v>1063</v>
      </c>
      <c r="C12" s="988">
        <v>24940</v>
      </c>
      <c r="D12" s="988">
        <v>23180</v>
      </c>
      <c r="E12" s="988">
        <v>22910</v>
      </c>
      <c r="F12" s="1006">
        <v>7180</v>
      </c>
      <c r="G12" s="1000" t="s">
        <v>892</v>
      </c>
      <c r="H12" s="1001">
        <f>SUMPRODUCT((B206:B244=基准地价!I2)*(C3:F3=基准地价!E2)*(C206:F244))</f>
        <v>0</v>
      </c>
      <c r="J12" s="988" t="s">
        <v>1155</v>
      </c>
      <c r="K12" s="988" t="s">
        <v>1156</v>
      </c>
      <c r="L12" s="988" t="s">
        <v>1157</v>
      </c>
      <c r="M12" s="988" t="s">
        <v>1158</v>
      </c>
      <c r="N12" s="988" t="s">
        <v>1159</v>
      </c>
      <c r="O12" s="988" t="s">
        <v>1160</v>
      </c>
      <c r="P12" s="988" t="s">
        <v>1161</v>
      </c>
      <c r="Q12" s="988" t="s">
        <v>1162</v>
      </c>
      <c r="R12" s="988" t="s">
        <v>1163</v>
      </c>
      <c r="S12" s="988" t="s">
        <v>1164</v>
      </c>
    </row>
    <row r="13" spans="1:20" ht="14.25" customHeight="1" thickBot="1">
      <c r="A13" s="994" t="s">
        <v>1133</v>
      </c>
      <c r="B13" s="1002" t="s">
        <v>1076</v>
      </c>
      <c r="C13" s="988">
        <v>24140</v>
      </c>
      <c r="D13" s="988">
        <v>22270</v>
      </c>
      <c r="E13" s="988">
        <v>21950</v>
      </c>
      <c r="F13" s="1006">
        <v>7600</v>
      </c>
      <c r="G13" s="1000" t="s">
        <v>893</v>
      </c>
      <c r="H13" s="1001">
        <f>SUMPRODUCT((B245:B289=基准地价!I2)*(C3:F3=基准地价!E2)*(C245:F289))</f>
        <v>0</v>
      </c>
      <c r="J13" s="988" t="s">
        <v>1165</v>
      </c>
      <c r="K13" s="988" t="s">
        <v>1166</v>
      </c>
      <c r="L13" s="988" t="s">
        <v>1167</v>
      </c>
      <c r="M13" s="988" t="s">
        <v>1168</v>
      </c>
      <c r="N13" s="988" t="s">
        <v>1169</v>
      </c>
      <c r="O13" s="988" t="s">
        <v>1170</v>
      </c>
      <c r="P13" s="988" t="s">
        <v>1171</v>
      </c>
      <c r="Q13" s="988" t="s">
        <v>1172</v>
      </c>
      <c r="R13" s="988" t="s">
        <v>1173</v>
      </c>
      <c r="S13" s="988" t="s">
        <v>1174</v>
      </c>
    </row>
    <row r="14" spans="1:20" ht="14.25" customHeight="1" thickBot="1">
      <c r="A14" s="994" t="s">
        <v>1133</v>
      </c>
      <c r="B14" s="1002" t="s">
        <v>1090</v>
      </c>
      <c r="C14" s="988">
        <v>25600</v>
      </c>
      <c r="D14" s="988">
        <v>22260</v>
      </c>
      <c r="E14" s="988">
        <v>22110</v>
      </c>
      <c r="F14" s="1006">
        <v>7630</v>
      </c>
      <c r="G14" s="1000" t="s">
        <v>894</v>
      </c>
      <c r="H14" s="1001">
        <f>SUMPRODUCT((B290:B316=基准地价!I2)*(C3:F3=基准地价!E2)*(C290:F316))</f>
        <v>0</v>
      </c>
      <c r="J14" s="988" t="s">
        <v>1175</v>
      </c>
      <c r="K14" s="988" t="s">
        <v>1176</v>
      </c>
      <c r="L14" s="988" t="s">
        <v>1177</v>
      </c>
      <c r="M14" s="988" t="s">
        <v>1178</v>
      </c>
      <c r="N14" s="988" t="s">
        <v>1179</v>
      </c>
      <c r="O14" s="988" t="s">
        <v>1180</v>
      </c>
      <c r="P14" s="988" t="s">
        <v>1181</v>
      </c>
      <c r="Q14" s="988" t="s">
        <v>1182</v>
      </c>
      <c r="R14" s="988" t="s">
        <v>1183</v>
      </c>
      <c r="S14" s="988" t="s">
        <v>1184</v>
      </c>
    </row>
    <row r="15" spans="1:20" ht="14.25" customHeight="1" thickBot="1">
      <c r="A15" s="994" t="s">
        <v>1133</v>
      </c>
      <c r="B15" s="1002" t="s">
        <v>1101</v>
      </c>
      <c r="C15" s="988">
        <v>24760</v>
      </c>
      <c r="D15" s="988">
        <v>24440</v>
      </c>
      <c r="E15" s="988">
        <v>24130</v>
      </c>
      <c r="F15" s="1006">
        <v>9480</v>
      </c>
      <c r="G15" s="1000" t="s">
        <v>895</v>
      </c>
      <c r="H15" s="1001">
        <f>SUMPRODUCT((B317:B337=基准地价!I2)*(C3:F3=基准地价!E2)*(C317:F337))</f>
        <v>0</v>
      </c>
      <c r="J15" s="988" t="s">
        <v>1185</v>
      </c>
      <c r="K15" s="988" t="s">
        <v>1186</v>
      </c>
      <c r="L15" s="988" t="s">
        <v>1187</v>
      </c>
      <c r="M15" s="988" t="s">
        <v>1188</v>
      </c>
      <c r="N15" s="988" t="s">
        <v>1189</v>
      </c>
      <c r="O15" s="988" t="s">
        <v>1190</v>
      </c>
      <c r="P15" s="988" t="s">
        <v>1191</v>
      </c>
      <c r="Q15" s="988" t="s">
        <v>1192</v>
      </c>
      <c r="R15" s="988" t="s">
        <v>1193</v>
      </c>
      <c r="S15" s="988" t="s">
        <v>1194</v>
      </c>
    </row>
    <row r="16" spans="1:20" ht="14.25" customHeight="1" thickBot="1">
      <c r="A16" s="994" t="s">
        <v>1133</v>
      </c>
      <c r="B16" s="1002" t="s">
        <v>1112</v>
      </c>
      <c r="C16" s="988">
        <v>22220</v>
      </c>
      <c r="D16" s="988">
        <v>22310</v>
      </c>
      <c r="E16" s="988">
        <v>22000</v>
      </c>
      <c r="F16" s="1006">
        <v>8900</v>
      </c>
      <c r="G16" s="1007" t="s">
        <v>896</v>
      </c>
      <c r="H16" s="1008">
        <f>SUMPRODUCT((B338:B344=基准地价!I2)*(C3:F3=基准地价!E2)*(C338:F344))</f>
        <v>0</v>
      </c>
      <c r="J16" s="988" t="s">
        <v>1195</v>
      </c>
      <c r="K16" s="988" t="s">
        <v>1196</v>
      </c>
      <c r="L16" s="988" t="s">
        <v>1197</v>
      </c>
      <c r="M16" s="988" t="s">
        <v>1198</v>
      </c>
      <c r="N16" s="988" t="s">
        <v>1199</v>
      </c>
      <c r="O16" s="988" t="s">
        <v>1200</v>
      </c>
      <c r="P16" s="988" t="s">
        <v>1201</v>
      </c>
      <c r="Q16" s="988" t="s">
        <v>1202</v>
      </c>
      <c r="R16" s="988" t="s">
        <v>1203</v>
      </c>
      <c r="S16" s="988" t="s">
        <v>1204</v>
      </c>
    </row>
    <row r="17" spans="1:19" ht="14.25" customHeight="1" thickBot="1">
      <c r="A17" s="994" t="s">
        <v>1133</v>
      </c>
      <c r="B17" s="1002" t="s">
        <v>1123</v>
      </c>
      <c r="C17" s="988">
        <v>24700</v>
      </c>
      <c r="D17" s="988">
        <v>25150</v>
      </c>
      <c r="E17" s="988">
        <v>24700</v>
      </c>
      <c r="F17" s="1009"/>
      <c r="H17" s="1010"/>
      <c r="J17" s="988" t="s">
        <v>1205</v>
      </c>
      <c r="K17" s="988" t="s">
        <v>1206</v>
      </c>
      <c r="L17" s="988" t="s">
        <v>1207</v>
      </c>
      <c r="M17" s="988" t="s">
        <v>1208</v>
      </c>
      <c r="N17" s="988" t="s">
        <v>1209</v>
      </c>
      <c r="O17" s="988" t="s">
        <v>1210</v>
      </c>
      <c r="P17" s="988" t="s">
        <v>1211</v>
      </c>
      <c r="Q17" s="988" t="s">
        <v>1212</v>
      </c>
      <c r="R17" s="988" t="s">
        <v>1213</v>
      </c>
      <c r="S17" s="988" t="s">
        <v>1214</v>
      </c>
    </row>
    <row r="18" spans="1:19" ht="14.25" customHeight="1" thickBot="1">
      <c r="A18" s="994" t="s">
        <v>1133</v>
      </c>
      <c r="B18" s="1002" t="s">
        <v>1135</v>
      </c>
      <c r="C18" s="988">
        <v>22350</v>
      </c>
      <c r="D18" s="988">
        <v>24340</v>
      </c>
      <c r="E18" s="988">
        <v>24100</v>
      </c>
      <c r="F18" s="1009"/>
      <c r="H18" s="1010"/>
      <c r="J18" s="988" t="s">
        <v>1215</v>
      </c>
      <c r="K18" s="988" t="s">
        <v>1216</v>
      </c>
      <c r="L18" s="988" t="s">
        <v>1217</v>
      </c>
      <c r="M18" s="988" t="s">
        <v>1218</v>
      </c>
      <c r="N18" s="988" t="s">
        <v>1219</v>
      </c>
      <c r="O18" s="988" t="s">
        <v>1220</v>
      </c>
      <c r="P18" s="988" t="s">
        <v>1221</v>
      </c>
      <c r="Q18" s="988" t="s">
        <v>1222</v>
      </c>
      <c r="R18" s="988" t="s">
        <v>1223</v>
      </c>
      <c r="S18" s="988" t="s">
        <v>1224</v>
      </c>
    </row>
    <row r="19" spans="1:19" ht="14.25" customHeight="1" thickBot="1">
      <c r="A19" s="994" t="s">
        <v>1133</v>
      </c>
      <c r="B19" s="1002" t="s">
        <v>1145</v>
      </c>
      <c r="C19" s="988">
        <v>23430</v>
      </c>
      <c r="D19" s="988">
        <v>21580</v>
      </c>
      <c r="E19" s="988">
        <v>21350</v>
      </c>
      <c r="F19" s="1009"/>
      <c r="H19" s="1010"/>
      <c r="J19" s="988" t="s">
        <v>1225</v>
      </c>
      <c r="K19" s="988" t="s">
        <v>1226</v>
      </c>
      <c r="L19" s="988" t="s">
        <v>1227</v>
      </c>
      <c r="M19" s="988" t="s">
        <v>1228</v>
      </c>
      <c r="N19" s="988" t="s">
        <v>1229</v>
      </c>
      <c r="O19" s="988" t="s">
        <v>1230</v>
      </c>
      <c r="P19" s="988" t="s">
        <v>1231</v>
      </c>
      <c r="Q19" s="988" t="s">
        <v>1232</v>
      </c>
      <c r="R19" s="988" t="s">
        <v>1233</v>
      </c>
      <c r="S19" s="988" t="s">
        <v>1234</v>
      </c>
    </row>
    <row r="20" spans="1:19" ht="14.25" customHeight="1" thickBot="1">
      <c r="A20" s="994" t="s">
        <v>1133</v>
      </c>
      <c r="B20" s="1002" t="s">
        <v>1155</v>
      </c>
      <c r="C20" s="988">
        <v>27660</v>
      </c>
      <c r="D20" s="988">
        <v>24240</v>
      </c>
      <c r="E20" s="988">
        <v>24020</v>
      </c>
      <c r="F20" s="1009"/>
      <c r="J20" s="988" t="s">
        <v>1235</v>
      </c>
      <c r="K20" s="988" t="s">
        <v>1236</v>
      </c>
      <c r="L20" s="988" t="s">
        <v>1237</v>
      </c>
      <c r="M20" s="988" t="s">
        <v>1238</v>
      </c>
      <c r="N20" s="988" t="s">
        <v>1239</v>
      </c>
      <c r="O20" s="988" t="s">
        <v>1240</v>
      </c>
      <c r="P20" s="988" t="s">
        <v>1241</v>
      </c>
      <c r="Q20" s="988" t="s">
        <v>1242</v>
      </c>
      <c r="R20" s="988" t="s">
        <v>1243</v>
      </c>
      <c r="S20" s="988" t="s">
        <v>1244</v>
      </c>
    </row>
    <row r="21" spans="1:19" ht="14.25" customHeight="1" thickBot="1">
      <c r="A21" s="994" t="s">
        <v>1133</v>
      </c>
      <c r="B21" s="1002" t="s">
        <v>1165</v>
      </c>
      <c r="C21" s="988">
        <v>24720</v>
      </c>
      <c r="D21" s="988">
        <v>21670</v>
      </c>
      <c r="E21" s="988">
        <v>21510</v>
      </c>
      <c r="F21" s="1009"/>
      <c r="K21" s="988" t="s">
        <v>1245</v>
      </c>
      <c r="L21" s="988" t="s">
        <v>1246</v>
      </c>
      <c r="M21" s="988" t="s">
        <v>1247</v>
      </c>
      <c r="N21" s="988" t="s">
        <v>1248</v>
      </c>
      <c r="O21" s="988" t="s">
        <v>1249</v>
      </c>
      <c r="P21" s="988" t="s">
        <v>1250</v>
      </c>
      <c r="Q21" s="988" t="s">
        <v>1251</v>
      </c>
      <c r="R21" s="988" t="s">
        <v>1252</v>
      </c>
      <c r="S21" s="988" t="s">
        <v>1253</v>
      </c>
    </row>
    <row r="22" spans="1:19" ht="14.25" customHeight="1" thickBot="1">
      <c r="A22" s="994" t="s">
        <v>1133</v>
      </c>
      <c r="B22" s="1002" t="s">
        <v>1254</v>
      </c>
      <c r="C22" s="988">
        <v>26530</v>
      </c>
      <c r="D22" s="988">
        <v>22980</v>
      </c>
      <c r="E22" s="988">
        <v>22650</v>
      </c>
      <c r="F22" s="1009"/>
      <c r="L22" s="988" t="s">
        <v>1255</v>
      </c>
      <c r="M22" s="988" t="s">
        <v>1256</v>
      </c>
      <c r="N22" s="988" t="s">
        <v>1257</v>
      </c>
      <c r="O22" s="988" t="s">
        <v>1258</v>
      </c>
      <c r="P22" s="988" t="s">
        <v>1259</v>
      </c>
      <c r="Q22" s="988" t="s">
        <v>1260</v>
      </c>
      <c r="R22" s="988" t="s">
        <v>1261</v>
      </c>
      <c r="S22" s="1002" t="s">
        <v>1262</v>
      </c>
    </row>
    <row r="23" spans="1:19" ht="14.25" customHeight="1" thickBot="1">
      <c r="A23" s="994" t="s">
        <v>1133</v>
      </c>
      <c r="B23" s="1002" t="s">
        <v>1185</v>
      </c>
      <c r="C23" s="988">
        <v>24700</v>
      </c>
      <c r="D23" s="988">
        <v>27290</v>
      </c>
      <c r="E23" s="988">
        <v>26710</v>
      </c>
      <c r="F23" s="1009"/>
      <c r="L23" s="988" t="s">
        <v>1263</v>
      </c>
      <c r="M23" s="988" t="s">
        <v>1264</v>
      </c>
      <c r="N23" s="988" t="s">
        <v>1265</v>
      </c>
      <c r="O23" s="988" t="s">
        <v>1266</v>
      </c>
      <c r="P23" s="988" t="s">
        <v>1267</v>
      </c>
      <c r="Q23" s="988" t="s">
        <v>1268</v>
      </c>
      <c r="R23" s="988" t="s">
        <v>1269</v>
      </c>
    </row>
    <row r="24" spans="1:19" ht="14.25" customHeight="1" thickBot="1">
      <c r="A24" s="994" t="s">
        <v>1133</v>
      </c>
      <c r="B24" s="1002" t="s">
        <v>1195</v>
      </c>
      <c r="C24" s="988">
        <v>23070</v>
      </c>
      <c r="D24" s="988">
        <v>24130</v>
      </c>
      <c r="E24" s="988">
        <v>23860</v>
      </c>
      <c r="F24" s="1009"/>
      <c r="L24" s="988" t="s">
        <v>1270</v>
      </c>
      <c r="M24" s="988" t="s">
        <v>1271</v>
      </c>
      <c r="N24" s="988" t="s">
        <v>1272</v>
      </c>
      <c r="O24" s="988" t="s">
        <v>1273</v>
      </c>
      <c r="P24" s="988" t="s">
        <v>1274</v>
      </c>
      <c r="Q24" s="988" t="s">
        <v>1275</v>
      </c>
      <c r="R24" s="988" t="s">
        <v>1276</v>
      </c>
    </row>
    <row r="25" spans="1:19" ht="14.25" customHeight="1" thickBot="1">
      <c r="A25" s="994" t="s">
        <v>1133</v>
      </c>
      <c r="B25" s="1002" t="s">
        <v>1205</v>
      </c>
      <c r="C25" s="988">
        <v>27550</v>
      </c>
      <c r="D25" s="988">
        <v>25850</v>
      </c>
      <c r="E25" s="988">
        <v>25340</v>
      </c>
      <c r="F25" s="1009"/>
      <c r="L25" s="988" t="s">
        <v>1277</v>
      </c>
      <c r="M25" s="988" t="s">
        <v>1278</v>
      </c>
      <c r="N25" s="988" t="s">
        <v>1279</v>
      </c>
      <c r="O25" s="988" t="s">
        <v>1280</v>
      </c>
      <c r="P25" s="988" t="s">
        <v>1281</v>
      </c>
      <c r="Q25" s="988" t="s">
        <v>1282</v>
      </c>
      <c r="R25" s="988" t="s">
        <v>1283</v>
      </c>
    </row>
    <row r="26" spans="1:19" ht="14.25" customHeight="1" thickBot="1">
      <c r="A26" s="994" t="s">
        <v>1133</v>
      </c>
      <c r="B26" s="1002" t="s">
        <v>1215</v>
      </c>
      <c r="C26" s="988"/>
      <c r="D26" s="988">
        <v>23900</v>
      </c>
      <c r="E26" s="988">
        <v>23590</v>
      </c>
      <c r="F26" s="1009"/>
      <c r="L26" s="988" t="s">
        <v>1284</v>
      </c>
      <c r="M26" s="988" t="s">
        <v>1285</v>
      </c>
      <c r="N26" s="988" t="s">
        <v>1286</v>
      </c>
      <c r="O26" s="988" t="s">
        <v>1287</v>
      </c>
      <c r="P26" s="988" t="s">
        <v>1288</v>
      </c>
      <c r="Q26" s="988" t="s">
        <v>1289</v>
      </c>
      <c r="R26" s="988" t="s">
        <v>1290</v>
      </c>
    </row>
    <row r="27" spans="1:19" ht="14.25" customHeight="1" thickBot="1">
      <c r="A27" s="994" t="s">
        <v>1133</v>
      </c>
      <c r="B27" s="1002" t="s">
        <v>1225</v>
      </c>
      <c r="C27" s="988"/>
      <c r="D27" s="988">
        <v>22850</v>
      </c>
      <c r="E27" s="988">
        <v>21920</v>
      </c>
      <c r="F27" s="1009"/>
      <c r="L27" s="988" t="s">
        <v>1291</v>
      </c>
      <c r="M27" s="988" t="s">
        <v>1292</v>
      </c>
      <c r="N27" s="988" t="s">
        <v>1293</v>
      </c>
      <c r="O27" s="988" t="s">
        <v>1294</v>
      </c>
      <c r="P27" s="988" t="s">
        <v>1295</v>
      </c>
      <c r="Q27" s="988" t="s">
        <v>1296</v>
      </c>
      <c r="R27" s="988" t="s">
        <v>1297</v>
      </c>
    </row>
    <row r="28" spans="1:19" ht="14.25" customHeight="1" thickBot="1">
      <c r="A28" s="1011" t="s">
        <v>1133</v>
      </c>
      <c r="B28" s="1003" t="s">
        <v>1235</v>
      </c>
      <c r="C28" s="1004"/>
      <c r="D28" s="1004">
        <v>26610</v>
      </c>
      <c r="E28" s="1004">
        <v>26370</v>
      </c>
      <c r="F28" s="1005"/>
      <c r="L28" s="988" t="s">
        <v>1298</v>
      </c>
      <c r="M28" s="988" t="s">
        <v>1299</v>
      </c>
      <c r="N28" s="988" t="s">
        <v>1300</v>
      </c>
      <c r="O28" s="988" t="s">
        <v>1301</v>
      </c>
      <c r="P28" s="988" t="s">
        <v>1302</v>
      </c>
      <c r="Q28" s="988" t="s">
        <v>1303</v>
      </c>
    </row>
    <row r="29" spans="1:19" ht="14.25" customHeight="1" thickBot="1">
      <c r="A29" s="994" t="s">
        <v>1304</v>
      </c>
      <c r="B29" s="995" t="s">
        <v>1305</v>
      </c>
      <c r="C29" s="995">
        <v>22090</v>
      </c>
      <c r="D29" s="995">
        <v>21860</v>
      </c>
      <c r="E29" s="995">
        <v>19380</v>
      </c>
      <c r="F29" s="996">
        <v>6610</v>
      </c>
      <c r="M29" s="988" t="s">
        <v>1306</v>
      </c>
      <c r="N29" s="988" t="s">
        <v>1307</v>
      </c>
      <c r="O29" s="988" t="s">
        <v>1308</v>
      </c>
      <c r="P29" s="988" t="s">
        <v>1309</v>
      </c>
      <c r="Q29" s="988" t="s">
        <v>1310</v>
      </c>
    </row>
    <row r="30" spans="1:19" ht="14.25" customHeight="1" thickBot="1">
      <c r="A30" s="994" t="s">
        <v>1304</v>
      </c>
      <c r="B30" s="1002" t="s">
        <v>1050</v>
      </c>
      <c r="C30" s="988">
        <v>21380</v>
      </c>
      <c r="D30" s="988">
        <v>19930</v>
      </c>
      <c r="E30" s="988">
        <v>19860</v>
      </c>
      <c r="F30" s="1006">
        <v>6010</v>
      </c>
      <c r="H30" s="1010"/>
      <c r="M30" s="988" t="s">
        <v>1311</v>
      </c>
      <c r="N30" s="988" t="s">
        <v>1312</v>
      </c>
      <c r="O30" s="988" t="s">
        <v>1313</v>
      </c>
      <c r="P30" s="988" t="s">
        <v>2208</v>
      </c>
      <c r="Q30" s="988" t="s">
        <v>1314</v>
      </c>
    </row>
    <row r="31" spans="1:19" ht="14.25" customHeight="1" thickBot="1">
      <c r="A31" s="994" t="s">
        <v>1304</v>
      </c>
      <c r="B31" s="1002" t="s">
        <v>1064</v>
      </c>
      <c r="C31" s="988">
        <v>21670</v>
      </c>
      <c r="D31" s="988">
        <v>20660</v>
      </c>
      <c r="E31" s="988">
        <v>20290</v>
      </c>
      <c r="F31" s="1006">
        <v>5840</v>
      </c>
      <c r="H31" s="1010"/>
      <c r="M31" s="988" t="s">
        <v>1315</v>
      </c>
      <c r="N31" s="988" t="s">
        <v>1316</v>
      </c>
      <c r="O31" s="988" t="s">
        <v>1317</v>
      </c>
      <c r="P31" s="988" t="s">
        <v>1318</v>
      </c>
      <c r="Q31" s="988" t="s">
        <v>1319</v>
      </c>
    </row>
    <row r="32" spans="1:19" ht="14.25" customHeight="1" thickBot="1">
      <c r="A32" s="994" t="s">
        <v>1304</v>
      </c>
      <c r="B32" s="1002" t="s">
        <v>1077</v>
      </c>
      <c r="C32" s="988">
        <v>22280</v>
      </c>
      <c r="D32" s="988">
        <v>21800</v>
      </c>
      <c r="E32" s="988">
        <v>17650</v>
      </c>
      <c r="F32" s="1006">
        <v>4690</v>
      </c>
      <c r="H32" s="1010"/>
      <c r="M32" s="988" t="s">
        <v>1320</v>
      </c>
      <c r="N32" s="988" t="s">
        <v>1321</v>
      </c>
      <c r="O32" s="988" t="s">
        <v>1322</v>
      </c>
      <c r="P32" s="988" t="s">
        <v>1323</v>
      </c>
      <c r="Q32" s="988" t="s">
        <v>1324</v>
      </c>
    </row>
    <row r="33" spans="1:17" ht="14.25" customHeight="1" thickBot="1">
      <c r="A33" s="994" t="s">
        <v>1304</v>
      </c>
      <c r="B33" s="1002" t="s">
        <v>1091</v>
      </c>
      <c r="C33" s="988">
        <v>22130</v>
      </c>
      <c r="D33" s="988">
        <v>20460</v>
      </c>
      <c r="E33" s="988">
        <v>18500</v>
      </c>
      <c r="F33" s="1006">
        <v>5340</v>
      </c>
      <c r="H33" s="1010"/>
      <c r="M33" s="988" t="s">
        <v>1325</v>
      </c>
      <c r="N33" s="988" t="s">
        <v>1326</v>
      </c>
      <c r="O33" s="988" t="s">
        <v>1327</v>
      </c>
      <c r="P33" s="988" t="s">
        <v>1328</v>
      </c>
      <c r="Q33" s="988" t="s">
        <v>1329</v>
      </c>
    </row>
    <row r="34" spans="1:17" ht="14.25" customHeight="1" thickBot="1">
      <c r="A34" s="994" t="s">
        <v>1304</v>
      </c>
      <c r="B34" s="1002" t="s">
        <v>1102</v>
      </c>
      <c r="C34" s="988">
        <v>22070</v>
      </c>
      <c r="D34" s="988">
        <v>20110</v>
      </c>
      <c r="E34" s="988">
        <v>18830</v>
      </c>
      <c r="F34" s="1006">
        <v>5190</v>
      </c>
      <c r="H34" s="1010"/>
      <c r="M34" s="988" t="s">
        <v>1330</v>
      </c>
      <c r="N34" s="988" t="s">
        <v>1331</v>
      </c>
      <c r="O34" s="988" t="s">
        <v>1332</v>
      </c>
      <c r="P34" s="988" t="s">
        <v>1333</v>
      </c>
      <c r="Q34" s="988" t="s">
        <v>1334</v>
      </c>
    </row>
    <row r="35" spans="1:17" ht="14.25" customHeight="1" thickBot="1">
      <c r="A35" s="994" t="s">
        <v>1304</v>
      </c>
      <c r="B35" s="1002" t="s">
        <v>1113</v>
      </c>
      <c r="C35" s="988">
        <v>22240</v>
      </c>
      <c r="D35" s="988">
        <v>19550</v>
      </c>
      <c r="E35" s="988">
        <v>19220</v>
      </c>
      <c r="F35" s="1006">
        <v>5800</v>
      </c>
      <c r="H35" s="1010"/>
      <c r="M35" s="988" t="s">
        <v>1335</v>
      </c>
      <c r="N35" s="988" t="s">
        <v>1336</v>
      </c>
      <c r="O35" s="988" t="s">
        <v>1337</v>
      </c>
      <c r="P35" s="988" t="s">
        <v>1338</v>
      </c>
      <c r="Q35" s="988" t="s">
        <v>1339</v>
      </c>
    </row>
    <row r="36" spans="1:17" ht="14.25" customHeight="1" thickBot="1">
      <c r="A36" s="994" t="s">
        <v>1304</v>
      </c>
      <c r="B36" s="1002" t="s">
        <v>1124</v>
      </c>
      <c r="C36" s="988">
        <v>19750</v>
      </c>
      <c r="D36" s="988">
        <v>19790</v>
      </c>
      <c r="E36" s="988">
        <v>18510</v>
      </c>
      <c r="F36" s="1006">
        <v>6520</v>
      </c>
      <c r="H36" s="1010"/>
      <c r="N36" s="988" t="s">
        <v>1340</v>
      </c>
      <c r="O36" s="988" t="s">
        <v>1341</v>
      </c>
      <c r="P36" s="988" t="s">
        <v>1342</v>
      </c>
      <c r="Q36" s="988" t="s">
        <v>1343</v>
      </c>
    </row>
    <row r="37" spans="1:17" ht="14.25" customHeight="1" thickBot="1">
      <c r="A37" s="994" t="s">
        <v>1304</v>
      </c>
      <c r="B37" s="1002" t="s">
        <v>1136</v>
      </c>
      <c r="C37" s="988">
        <v>22380</v>
      </c>
      <c r="D37" s="988">
        <v>18530</v>
      </c>
      <c r="E37" s="988">
        <v>17930</v>
      </c>
      <c r="F37" s="1006">
        <v>6270</v>
      </c>
      <c r="H37" s="1012"/>
      <c r="N37" s="988" t="s">
        <v>1344</v>
      </c>
      <c r="O37" s="988" t="s">
        <v>1345</v>
      </c>
      <c r="P37" s="988" t="s">
        <v>1346</v>
      </c>
      <c r="Q37" s="988" t="s">
        <v>1347</v>
      </c>
    </row>
    <row r="38" spans="1:17" ht="14.25" customHeight="1" thickBot="1">
      <c r="A38" s="994" t="s">
        <v>1304</v>
      </c>
      <c r="B38" s="1002" t="s">
        <v>1146</v>
      </c>
      <c r="C38" s="988">
        <v>20200</v>
      </c>
      <c r="D38" s="988">
        <v>20070</v>
      </c>
      <c r="E38" s="988">
        <v>19950</v>
      </c>
      <c r="F38" s="1006"/>
      <c r="H38" s="1010"/>
      <c r="N38" s="988" t="s">
        <v>1348</v>
      </c>
      <c r="O38" s="988" t="s">
        <v>1349</v>
      </c>
      <c r="P38" s="988" t="s">
        <v>1350</v>
      </c>
      <c r="Q38" s="988" t="s">
        <v>1351</v>
      </c>
    </row>
    <row r="39" spans="1:17" ht="14.25" customHeight="1" thickBot="1">
      <c r="A39" s="994" t="s">
        <v>1304</v>
      </c>
      <c r="B39" s="1002" t="s">
        <v>1156</v>
      </c>
      <c r="C39" s="988">
        <v>19300</v>
      </c>
      <c r="D39" s="988">
        <v>20360</v>
      </c>
      <c r="E39" s="988">
        <v>20230</v>
      </c>
      <c r="F39" s="1006"/>
      <c r="H39" s="1010"/>
      <c r="N39" s="988" t="s">
        <v>1352</v>
      </c>
      <c r="O39" s="988" t="s">
        <v>1353</v>
      </c>
      <c r="P39" s="988" t="s">
        <v>1354</v>
      </c>
      <c r="Q39" s="988" t="s">
        <v>1355</v>
      </c>
    </row>
    <row r="40" spans="1:17" ht="14.25" customHeight="1" thickBot="1">
      <c r="A40" s="994" t="s">
        <v>1304</v>
      </c>
      <c r="B40" s="1002" t="s">
        <v>1166</v>
      </c>
      <c r="C40" s="988">
        <v>20210</v>
      </c>
      <c r="D40" s="988">
        <v>19060</v>
      </c>
      <c r="E40" s="988">
        <v>18890</v>
      </c>
      <c r="F40" s="1006"/>
      <c r="H40" s="1010"/>
      <c r="N40" s="988" t="s">
        <v>1356</v>
      </c>
      <c r="O40" s="988" t="s">
        <v>1357</v>
      </c>
      <c r="P40" s="988" t="s">
        <v>1358</v>
      </c>
      <c r="Q40" s="988" t="s">
        <v>1359</v>
      </c>
    </row>
    <row r="41" spans="1:17" ht="14.25" customHeight="1" thickBot="1">
      <c r="A41" s="994" t="s">
        <v>1304</v>
      </c>
      <c r="B41" s="1002" t="s">
        <v>1176</v>
      </c>
      <c r="C41" s="988">
        <v>20560</v>
      </c>
      <c r="D41" s="988">
        <v>21040</v>
      </c>
      <c r="E41" s="988">
        <v>20740</v>
      </c>
      <c r="F41" s="1006"/>
      <c r="H41" s="1010"/>
      <c r="N41" s="1002" t="s">
        <v>1360</v>
      </c>
      <c r="O41" s="1002" t="s">
        <v>1361</v>
      </c>
      <c r="Q41" s="1002" t="s">
        <v>1362</v>
      </c>
    </row>
    <row r="42" spans="1:17" ht="14.25" customHeight="1" thickBot="1">
      <c r="A42" s="994" t="s">
        <v>1304</v>
      </c>
      <c r="B42" s="1002" t="s">
        <v>1186</v>
      </c>
      <c r="C42" s="988">
        <v>19280</v>
      </c>
      <c r="D42" s="988">
        <v>22940</v>
      </c>
      <c r="E42" s="988">
        <v>22500</v>
      </c>
      <c r="F42" s="1006"/>
      <c r="H42" s="1010"/>
      <c r="N42" s="988" t="s">
        <v>1363</v>
      </c>
      <c r="O42" s="988" t="s">
        <v>1364</v>
      </c>
      <c r="Q42" s="988" t="s">
        <v>1365</v>
      </c>
    </row>
    <row r="43" spans="1:17" ht="14.25" customHeight="1" thickBot="1">
      <c r="A43" s="994" t="s">
        <v>1304</v>
      </c>
      <c r="B43" s="1002" t="s">
        <v>1196</v>
      </c>
      <c r="C43" s="988">
        <v>21520</v>
      </c>
      <c r="D43" s="988">
        <v>19230</v>
      </c>
      <c r="E43" s="988">
        <v>18540</v>
      </c>
      <c r="F43" s="1006"/>
      <c r="H43" s="1010"/>
      <c r="N43" s="988" t="s">
        <v>1366</v>
      </c>
      <c r="O43" s="988" t="s">
        <v>1367</v>
      </c>
      <c r="Q43" s="988" t="s">
        <v>1368</v>
      </c>
    </row>
    <row r="44" spans="1:17" ht="14.25" customHeight="1" thickBot="1">
      <c r="A44" s="994" t="s">
        <v>1304</v>
      </c>
      <c r="B44" s="1002" t="s">
        <v>1206</v>
      </c>
      <c r="C44" s="988">
        <v>23260</v>
      </c>
      <c r="D44" s="988">
        <v>21180</v>
      </c>
      <c r="E44" s="988">
        <v>20730</v>
      </c>
      <c r="F44" s="1006"/>
      <c r="H44" s="1010"/>
      <c r="N44" s="988" t="s">
        <v>1369</v>
      </c>
      <c r="O44" s="988" t="s">
        <v>1370</v>
      </c>
      <c r="Q44" s="988" t="s">
        <v>1371</v>
      </c>
    </row>
    <row r="45" spans="1:17" ht="14.25" customHeight="1" thickBot="1">
      <c r="A45" s="994" t="s">
        <v>1304</v>
      </c>
      <c r="B45" s="1002" t="s">
        <v>1216</v>
      </c>
      <c r="C45" s="988">
        <v>19610</v>
      </c>
      <c r="D45" s="988">
        <v>18090</v>
      </c>
      <c r="E45" s="988">
        <v>17970</v>
      </c>
      <c r="F45" s="1006"/>
      <c r="H45" s="1010"/>
      <c r="N45" s="988" t="s">
        <v>1372</v>
      </c>
      <c r="O45" s="988" t="s">
        <v>1373</v>
      </c>
      <c r="Q45" s="988" t="s">
        <v>1374</v>
      </c>
    </row>
    <row r="46" spans="1:17" ht="14.25" customHeight="1" thickBot="1">
      <c r="A46" s="994" t="s">
        <v>1304</v>
      </c>
      <c r="B46" s="1002" t="s">
        <v>1226</v>
      </c>
      <c r="C46" s="988">
        <v>21660</v>
      </c>
      <c r="D46" s="988">
        <v>19190</v>
      </c>
      <c r="E46" s="988">
        <v>19790</v>
      </c>
      <c r="F46" s="1006"/>
      <c r="H46" s="1010"/>
      <c r="N46" s="988" t="s">
        <v>1375</v>
      </c>
      <c r="O46" s="988" t="s">
        <v>1376</v>
      </c>
      <c r="Q46" s="988" t="s">
        <v>1377</v>
      </c>
    </row>
    <row r="47" spans="1:17" ht="14.25" customHeight="1" thickBot="1">
      <c r="A47" s="994" t="s">
        <v>1304</v>
      </c>
      <c r="B47" s="1002" t="s">
        <v>1236</v>
      </c>
      <c r="C47" s="988">
        <v>18220</v>
      </c>
      <c r="D47" s="988"/>
      <c r="E47" s="988">
        <v>17220</v>
      </c>
      <c r="F47" s="1006"/>
      <c r="H47" s="1010"/>
      <c r="N47" s="988" t="s">
        <v>1378</v>
      </c>
      <c r="O47" s="988" t="s">
        <v>1379</v>
      </c>
    </row>
    <row r="48" spans="1:17" ht="14.25" customHeight="1" thickBot="1">
      <c r="A48" s="994" t="s">
        <v>1304</v>
      </c>
      <c r="B48" s="1003" t="s">
        <v>1245</v>
      </c>
      <c r="C48" s="1004">
        <v>19430</v>
      </c>
      <c r="D48" s="1004"/>
      <c r="E48" s="1004">
        <v>17830</v>
      </c>
      <c r="F48" s="1013"/>
      <c r="H48" s="1010"/>
      <c r="N48" s="988" t="s">
        <v>1380</v>
      </c>
      <c r="O48" s="988" t="s">
        <v>1381</v>
      </c>
    </row>
    <row r="49" spans="1:15" ht="14.25" customHeight="1" thickBot="1">
      <c r="A49" s="994" t="s">
        <v>903</v>
      </c>
      <c r="B49" s="995" t="s">
        <v>1382</v>
      </c>
      <c r="C49" s="995">
        <v>17090</v>
      </c>
      <c r="D49" s="995">
        <v>16950</v>
      </c>
      <c r="E49" s="995">
        <v>16310</v>
      </c>
      <c r="F49" s="996">
        <v>4540</v>
      </c>
      <c r="H49" s="1010"/>
      <c r="N49" s="988" t="s">
        <v>1383</v>
      </c>
      <c r="O49" s="988" t="s">
        <v>1384</v>
      </c>
    </row>
    <row r="50" spans="1:15" ht="14.25" customHeight="1" thickBot="1">
      <c r="A50" s="994" t="s">
        <v>903</v>
      </c>
      <c r="B50" s="988" t="s">
        <v>1051</v>
      </c>
      <c r="C50" s="988">
        <v>19040</v>
      </c>
      <c r="D50" s="988">
        <v>16960</v>
      </c>
      <c r="E50" s="988">
        <v>14800</v>
      </c>
      <c r="F50" s="1006">
        <v>3940</v>
      </c>
      <c r="H50" s="1010"/>
    </row>
    <row r="51" spans="1:15" ht="14.25" customHeight="1" thickBot="1">
      <c r="A51" s="994" t="s">
        <v>903</v>
      </c>
      <c r="B51" s="988" t="s">
        <v>1065</v>
      </c>
      <c r="C51" s="988">
        <v>17040</v>
      </c>
      <c r="D51" s="988">
        <v>16930</v>
      </c>
      <c r="E51" s="988">
        <v>15030</v>
      </c>
      <c r="F51" s="1006">
        <v>4120</v>
      </c>
      <c r="H51" s="1010"/>
    </row>
    <row r="52" spans="1:15" ht="14.25" customHeight="1" thickBot="1">
      <c r="A52" s="994" t="s">
        <v>903</v>
      </c>
      <c r="B52" s="988" t="s">
        <v>1078</v>
      </c>
      <c r="C52" s="988">
        <v>17110</v>
      </c>
      <c r="D52" s="988">
        <v>17750</v>
      </c>
      <c r="E52" s="988">
        <v>17310</v>
      </c>
      <c r="F52" s="1006">
        <v>3220</v>
      </c>
      <c r="H52" s="1010"/>
    </row>
    <row r="53" spans="1:15" ht="14.25" customHeight="1" thickBot="1">
      <c r="A53" s="994" t="s">
        <v>903</v>
      </c>
      <c r="B53" s="988" t="s">
        <v>1092</v>
      </c>
      <c r="C53" s="988">
        <v>17810</v>
      </c>
      <c r="D53" s="988">
        <v>17260</v>
      </c>
      <c r="E53" s="988">
        <v>17090</v>
      </c>
      <c r="F53" s="1006">
        <v>3520</v>
      </c>
      <c r="H53" s="1010"/>
    </row>
    <row r="54" spans="1:15" ht="14.25" customHeight="1" thickBot="1">
      <c r="A54" s="994" t="s">
        <v>903</v>
      </c>
      <c r="B54" s="988" t="s">
        <v>1103</v>
      </c>
      <c r="C54" s="988">
        <v>17410</v>
      </c>
      <c r="D54" s="988">
        <v>16780</v>
      </c>
      <c r="E54" s="988">
        <v>16370</v>
      </c>
      <c r="F54" s="1006">
        <v>3410</v>
      </c>
      <c r="H54" s="1010"/>
    </row>
    <row r="55" spans="1:15" ht="14.25" customHeight="1" thickBot="1">
      <c r="A55" s="994" t="s">
        <v>903</v>
      </c>
      <c r="B55" s="988" t="s">
        <v>1114</v>
      </c>
      <c r="C55" s="988">
        <v>16930</v>
      </c>
      <c r="D55" s="988">
        <v>14720</v>
      </c>
      <c r="E55" s="988">
        <v>15000</v>
      </c>
      <c r="F55" s="1006">
        <v>3710</v>
      </c>
      <c r="H55" s="1010"/>
    </row>
    <row r="56" spans="1:15" ht="14.25" customHeight="1" thickBot="1">
      <c r="A56" s="994" t="s">
        <v>903</v>
      </c>
      <c r="B56" s="988" t="s">
        <v>1125</v>
      </c>
      <c r="C56" s="988">
        <v>14930</v>
      </c>
      <c r="D56" s="988">
        <v>15850</v>
      </c>
      <c r="E56" s="988">
        <v>14320</v>
      </c>
      <c r="F56" s="1006">
        <v>3960</v>
      </c>
      <c r="H56" s="1010"/>
    </row>
    <row r="57" spans="1:15" ht="14.25" customHeight="1" thickBot="1">
      <c r="A57" s="994" t="s">
        <v>903</v>
      </c>
      <c r="B57" s="988" t="s">
        <v>1137</v>
      </c>
      <c r="C57" s="988">
        <v>16160</v>
      </c>
      <c r="D57" s="988">
        <v>16190</v>
      </c>
      <c r="E57" s="988">
        <v>15650</v>
      </c>
      <c r="F57" s="1006">
        <v>4200</v>
      </c>
      <c r="H57" s="1010"/>
    </row>
    <row r="58" spans="1:15" ht="14.25" customHeight="1" thickBot="1">
      <c r="A58" s="994" t="s">
        <v>903</v>
      </c>
      <c r="B58" s="988" t="s">
        <v>1147</v>
      </c>
      <c r="C58" s="988">
        <v>16360</v>
      </c>
      <c r="D58" s="988">
        <v>14050</v>
      </c>
      <c r="E58" s="988">
        <v>16070</v>
      </c>
      <c r="F58" s="1006">
        <v>3990</v>
      </c>
      <c r="H58" s="1010"/>
    </row>
    <row r="59" spans="1:15" ht="14.25" customHeight="1" thickBot="1">
      <c r="A59" s="994" t="s">
        <v>903</v>
      </c>
      <c r="B59" s="988" t="s">
        <v>1157</v>
      </c>
      <c r="C59" s="988">
        <v>14160</v>
      </c>
      <c r="D59" s="988">
        <v>16620</v>
      </c>
      <c r="E59" s="988">
        <v>13940</v>
      </c>
      <c r="F59" s="1006">
        <v>4260</v>
      </c>
      <c r="H59" s="1010"/>
    </row>
    <row r="60" spans="1:15" ht="14.25" customHeight="1" thickBot="1">
      <c r="A60" s="994" t="s">
        <v>903</v>
      </c>
      <c r="B60" s="988" t="s">
        <v>1167</v>
      </c>
      <c r="C60" s="988">
        <v>16750</v>
      </c>
      <c r="D60" s="988">
        <v>13910</v>
      </c>
      <c r="E60" s="988">
        <v>16550</v>
      </c>
      <c r="F60" s="1006">
        <v>4550</v>
      </c>
      <c r="H60" s="1010"/>
    </row>
    <row r="61" spans="1:15" ht="14.25" customHeight="1" thickBot="1">
      <c r="A61" s="994" t="s">
        <v>903</v>
      </c>
      <c r="B61" s="988" t="s">
        <v>1177</v>
      </c>
      <c r="C61" s="988">
        <v>14000</v>
      </c>
      <c r="D61" s="988">
        <v>14550</v>
      </c>
      <c r="E61" s="988">
        <v>13860</v>
      </c>
      <c r="F61" s="1014"/>
      <c r="H61" s="1010"/>
    </row>
    <row r="62" spans="1:15" ht="14.25" customHeight="1" thickBot="1">
      <c r="A62" s="994" t="s">
        <v>903</v>
      </c>
      <c r="B62" s="988" t="s">
        <v>1187</v>
      </c>
      <c r="C62" s="988">
        <v>14660</v>
      </c>
      <c r="D62" s="988">
        <v>17450</v>
      </c>
      <c r="E62" s="988">
        <v>14470</v>
      </c>
      <c r="F62" s="1014"/>
      <c r="H62" s="1010"/>
    </row>
    <row r="63" spans="1:15" ht="14.25" customHeight="1" thickBot="1">
      <c r="A63" s="994" t="s">
        <v>903</v>
      </c>
      <c r="B63" s="988" t="s">
        <v>1197</v>
      </c>
      <c r="C63" s="988">
        <v>17610</v>
      </c>
      <c r="D63" s="988">
        <v>16500</v>
      </c>
      <c r="E63" s="988">
        <v>17330</v>
      </c>
      <c r="F63" s="1014"/>
      <c r="H63" s="1010"/>
    </row>
    <row r="64" spans="1:15" ht="14.25" customHeight="1" thickBot="1">
      <c r="A64" s="994" t="s">
        <v>903</v>
      </c>
      <c r="B64" s="988" t="s">
        <v>1207</v>
      </c>
      <c r="C64" s="988">
        <v>16590</v>
      </c>
      <c r="D64" s="988">
        <v>15130</v>
      </c>
      <c r="E64" s="988">
        <v>16420</v>
      </c>
      <c r="F64" s="1014"/>
      <c r="H64" s="1010"/>
    </row>
    <row r="65" spans="1:8" s="982" customFormat="1" ht="14.25" customHeight="1" thickBot="1">
      <c r="A65" s="994" t="s">
        <v>903</v>
      </c>
      <c r="B65" s="988" t="s">
        <v>1217</v>
      </c>
      <c r="C65" s="988">
        <v>15220</v>
      </c>
      <c r="D65" s="988">
        <v>14660</v>
      </c>
      <c r="E65" s="988">
        <v>15060</v>
      </c>
      <c r="F65" s="1006"/>
      <c r="H65" s="1010"/>
    </row>
    <row r="66" spans="1:8" s="982" customFormat="1" ht="14.25" customHeight="1" thickBot="1">
      <c r="A66" s="994" t="s">
        <v>903</v>
      </c>
      <c r="B66" s="988" t="s">
        <v>1227</v>
      </c>
      <c r="C66" s="988">
        <v>14720</v>
      </c>
      <c r="D66" s="988">
        <v>15970</v>
      </c>
      <c r="E66" s="988">
        <v>14610</v>
      </c>
      <c r="F66" s="1006"/>
      <c r="H66" s="1010"/>
    </row>
    <row r="67" spans="1:8" s="982" customFormat="1" ht="14.25" customHeight="1" thickBot="1">
      <c r="A67" s="994" t="s">
        <v>903</v>
      </c>
      <c r="B67" s="988" t="s">
        <v>1237</v>
      </c>
      <c r="C67" s="988">
        <v>16080</v>
      </c>
      <c r="D67" s="988">
        <v>14840</v>
      </c>
      <c r="E67" s="988">
        <v>15630</v>
      </c>
      <c r="F67" s="1006"/>
      <c r="H67" s="1010"/>
    </row>
    <row r="68" spans="1:8" s="982" customFormat="1" ht="14.25" customHeight="1" thickBot="1">
      <c r="A68" s="994" t="s">
        <v>903</v>
      </c>
      <c r="B68" s="988" t="s">
        <v>1246</v>
      </c>
      <c r="C68" s="988">
        <v>14940</v>
      </c>
      <c r="D68" s="988">
        <v>18000</v>
      </c>
      <c r="E68" s="988">
        <v>14040</v>
      </c>
      <c r="F68" s="1006"/>
      <c r="H68" s="1010"/>
    </row>
    <row r="69" spans="1:8" s="982" customFormat="1" ht="14.25" customHeight="1" thickBot="1">
      <c r="A69" s="994" t="s">
        <v>903</v>
      </c>
      <c r="B69" s="988" t="s">
        <v>1255</v>
      </c>
      <c r="C69" s="988">
        <v>18810</v>
      </c>
      <c r="D69" s="988">
        <v>15100</v>
      </c>
      <c r="E69" s="988">
        <v>14710</v>
      </c>
      <c r="F69" s="1006"/>
      <c r="H69" s="1010"/>
    </row>
    <row r="70" spans="1:8" s="982" customFormat="1" ht="14.25" customHeight="1" thickBot="1">
      <c r="A70" s="994" t="s">
        <v>903</v>
      </c>
      <c r="B70" s="988" t="s">
        <v>1263</v>
      </c>
      <c r="C70" s="988">
        <v>18270</v>
      </c>
      <c r="D70" s="988"/>
      <c r="E70" s="988"/>
      <c r="F70" s="1006"/>
      <c r="H70" s="1010"/>
    </row>
    <row r="71" spans="1:8" s="982" customFormat="1" ht="14.25" customHeight="1" thickBot="1">
      <c r="A71" s="994" t="s">
        <v>903</v>
      </c>
      <c r="B71" s="988" t="s">
        <v>1270</v>
      </c>
      <c r="C71" s="988">
        <v>15230</v>
      </c>
      <c r="D71" s="988"/>
      <c r="E71" s="988"/>
      <c r="F71" s="1006"/>
      <c r="H71" s="1010"/>
    </row>
    <row r="72" spans="1:8" s="982" customFormat="1" ht="14.25" customHeight="1" thickBot="1">
      <c r="A72" s="994" t="s">
        <v>903</v>
      </c>
      <c r="B72" s="988" t="s">
        <v>1277</v>
      </c>
      <c r="C72" s="988"/>
      <c r="D72" s="988"/>
      <c r="E72" s="988"/>
      <c r="F72" s="1006">
        <v>4120</v>
      </c>
      <c r="H72" s="1010"/>
    </row>
    <row r="73" spans="1:8" s="982" customFormat="1" ht="14.25" customHeight="1" thickBot="1">
      <c r="A73" s="994" t="s">
        <v>903</v>
      </c>
      <c r="B73" s="988" t="s">
        <v>1284</v>
      </c>
      <c r="C73" s="988"/>
      <c r="D73" s="988"/>
      <c r="E73" s="988"/>
      <c r="F73" s="1006">
        <v>3930</v>
      </c>
      <c r="H73" s="1010"/>
    </row>
    <row r="74" spans="1:8" s="982" customFormat="1" ht="14.25" customHeight="1" thickBot="1">
      <c r="A74" s="994" t="s">
        <v>903</v>
      </c>
      <c r="B74" s="988" t="s">
        <v>1291</v>
      </c>
      <c r="C74" s="988"/>
      <c r="D74" s="988"/>
      <c r="E74" s="988"/>
      <c r="F74" s="1006">
        <v>4060</v>
      </c>
      <c r="H74" s="1010"/>
    </row>
    <row r="75" spans="1:8" s="982" customFormat="1" ht="14.25" customHeight="1" thickBot="1">
      <c r="A75" s="994" t="s">
        <v>903</v>
      </c>
      <c r="B75" s="1004" t="s">
        <v>1298</v>
      </c>
      <c r="C75" s="1004"/>
      <c r="D75" s="1004"/>
      <c r="E75" s="1004"/>
      <c r="F75" s="1013">
        <v>3750</v>
      </c>
      <c r="H75" s="1010"/>
    </row>
    <row r="76" spans="1:8" s="982" customFormat="1" ht="14.25" customHeight="1" thickBot="1">
      <c r="A76" s="994" t="s">
        <v>1385</v>
      </c>
      <c r="B76" s="995" t="s">
        <v>1386</v>
      </c>
      <c r="C76" s="995">
        <v>14690</v>
      </c>
      <c r="D76" s="995">
        <v>14640</v>
      </c>
      <c r="E76" s="995">
        <v>14590</v>
      </c>
      <c r="F76" s="996">
        <v>3060</v>
      </c>
      <c r="H76" s="1010"/>
    </row>
    <row r="77" spans="1:8" s="982" customFormat="1" ht="14.25" customHeight="1" thickBot="1">
      <c r="A77" s="994" t="s">
        <v>1385</v>
      </c>
      <c r="B77" s="988" t="s">
        <v>1052</v>
      </c>
      <c r="C77" s="988">
        <v>12550</v>
      </c>
      <c r="D77" s="988">
        <v>12480</v>
      </c>
      <c r="E77" s="988">
        <v>12450</v>
      </c>
      <c r="F77" s="1006">
        <v>2590</v>
      </c>
      <c r="H77" s="1010"/>
    </row>
    <row r="78" spans="1:8" s="982" customFormat="1" ht="14.25" customHeight="1" thickBot="1">
      <c r="A78" s="994" t="s">
        <v>1385</v>
      </c>
      <c r="B78" s="988" t="s">
        <v>1066</v>
      </c>
      <c r="C78" s="988">
        <v>14360</v>
      </c>
      <c r="D78" s="988">
        <v>14320</v>
      </c>
      <c r="E78" s="988">
        <v>12510</v>
      </c>
      <c r="F78" s="1006">
        <v>2700</v>
      </c>
      <c r="H78" s="1010"/>
    </row>
    <row r="79" spans="1:8" s="982" customFormat="1" ht="14.25" customHeight="1" thickBot="1">
      <c r="A79" s="994" t="s">
        <v>1385</v>
      </c>
      <c r="B79" s="988" t="s">
        <v>1079</v>
      </c>
      <c r="C79" s="988">
        <v>12590</v>
      </c>
      <c r="D79" s="988">
        <v>12540</v>
      </c>
      <c r="E79" s="988">
        <v>12350</v>
      </c>
      <c r="F79" s="1006">
        <v>2740</v>
      </c>
      <c r="H79" s="1010"/>
    </row>
    <row r="80" spans="1:8" s="982" customFormat="1" ht="14.25" customHeight="1" thickBot="1">
      <c r="A80" s="994" t="s">
        <v>1385</v>
      </c>
      <c r="B80" s="988" t="s">
        <v>1093</v>
      </c>
      <c r="C80" s="988">
        <v>12450</v>
      </c>
      <c r="D80" s="988">
        <v>12370</v>
      </c>
      <c r="E80" s="988">
        <v>10790</v>
      </c>
      <c r="F80" s="1006">
        <v>2290</v>
      </c>
      <c r="H80" s="1010"/>
    </row>
    <row r="81" spans="1:8" s="982" customFormat="1" ht="14.25" customHeight="1" thickBot="1">
      <c r="A81" s="994" t="s">
        <v>1385</v>
      </c>
      <c r="B81" s="988" t="s">
        <v>1104</v>
      </c>
      <c r="C81" s="988">
        <v>14210</v>
      </c>
      <c r="D81" s="988">
        <v>14150</v>
      </c>
      <c r="E81" s="988">
        <v>12730</v>
      </c>
      <c r="F81" s="1006">
        <v>2240</v>
      </c>
      <c r="H81" s="1010"/>
    </row>
    <row r="82" spans="1:8" s="982" customFormat="1" ht="14.25" customHeight="1" thickBot="1">
      <c r="A82" s="994" t="s">
        <v>1385</v>
      </c>
      <c r="B82" s="988" t="s">
        <v>1115</v>
      </c>
      <c r="C82" s="988">
        <v>10860</v>
      </c>
      <c r="D82" s="988">
        <v>10820</v>
      </c>
      <c r="E82" s="988">
        <v>14720</v>
      </c>
      <c r="F82" s="1006">
        <v>2490</v>
      </c>
      <c r="H82" s="1010"/>
    </row>
    <row r="83" spans="1:8" s="982" customFormat="1" ht="14.25" customHeight="1" thickBot="1">
      <c r="A83" s="994" t="s">
        <v>1385</v>
      </c>
      <c r="B83" s="988" t="s">
        <v>1126</v>
      </c>
      <c r="C83" s="988">
        <v>12810</v>
      </c>
      <c r="D83" s="988">
        <v>12760</v>
      </c>
      <c r="E83" s="988">
        <v>14830</v>
      </c>
      <c r="F83" s="1006">
        <v>2450</v>
      </c>
      <c r="H83" s="1010"/>
    </row>
    <row r="84" spans="1:8" s="982" customFormat="1" ht="14.25" customHeight="1" thickBot="1">
      <c r="A84" s="994" t="s">
        <v>1385</v>
      </c>
      <c r="B84" s="988" t="s">
        <v>1138</v>
      </c>
      <c r="C84" s="988">
        <v>14950</v>
      </c>
      <c r="D84" s="988">
        <v>14810</v>
      </c>
      <c r="E84" s="988">
        <v>12590</v>
      </c>
      <c r="F84" s="1006">
        <v>2540</v>
      </c>
      <c r="H84" s="1010"/>
    </row>
    <row r="85" spans="1:8" s="982" customFormat="1" ht="14.25" customHeight="1" thickBot="1">
      <c r="A85" s="994" t="s">
        <v>1385</v>
      </c>
      <c r="B85" s="988" t="s">
        <v>1148</v>
      </c>
      <c r="C85" s="988">
        <v>14960</v>
      </c>
      <c r="D85" s="988">
        <v>14890</v>
      </c>
      <c r="E85" s="988">
        <v>12840</v>
      </c>
      <c r="F85" s="1006">
        <v>2840</v>
      </c>
      <c r="H85" s="1010"/>
    </row>
    <row r="86" spans="1:8" s="982" customFormat="1" ht="14.25" customHeight="1" thickBot="1">
      <c r="A86" s="994" t="s">
        <v>1385</v>
      </c>
      <c r="B86" s="988" t="s">
        <v>1158</v>
      </c>
      <c r="C86" s="988">
        <v>12730</v>
      </c>
      <c r="D86" s="988">
        <v>12660</v>
      </c>
      <c r="E86" s="988">
        <v>13310</v>
      </c>
      <c r="F86" s="1006">
        <v>3140</v>
      </c>
      <c r="H86" s="1010"/>
    </row>
    <row r="87" spans="1:8" s="982" customFormat="1" ht="14.25" customHeight="1" thickBot="1">
      <c r="A87" s="994" t="s">
        <v>1385</v>
      </c>
      <c r="B87" s="988" t="s">
        <v>1168</v>
      </c>
      <c r="C87" s="988">
        <v>12940</v>
      </c>
      <c r="D87" s="988">
        <v>12890</v>
      </c>
      <c r="E87" s="988">
        <v>11580</v>
      </c>
      <c r="F87" s="1014"/>
      <c r="H87" s="1010"/>
    </row>
    <row r="88" spans="1:8" s="982" customFormat="1" ht="14.25" customHeight="1" thickBot="1">
      <c r="A88" s="994" t="s">
        <v>1385</v>
      </c>
      <c r="B88" s="988" t="s">
        <v>1178</v>
      </c>
      <c r="C88" s="988">
        <v>13430</v>
      </c>
      <c r="D88" s="988">
        <v>13360</v>
      </c>
      <c r="E88" s="988">
        <v>12790</v>
      </c>
      <c r="F88" s="1014"/>
      <c r="H88" s="1010"/>
    </row>
    <row r="89" spans="1:8" s="982" customFormat="1" ht="14.25" customHeight="1" thickBot="1">
      <c r="A89" s="994" t="s">
        <v>1385</v>
      </c>
      <c r="B89" s="988" t="s">
        <v>1188</v>
      </c>
      <c r="C89" s="988">
        <v>11680</v>
      </c>
      <c r="D89" s="988">
        <v>11630</v>
      </c>
      <c r="E89" s="988">
        <v>11320</v>
      </c>
      <c r="F89" s="1014"/>
      <c r="H89" s="1010"/>
    </row>
    <row r="90" spans="1:8" s="982" customFormat="1" ht="14.25" customHeight="1" thickBot="1">
      <c r="A90" s="994" t="s">
        <v>1385</v>
      </c>
      <c r="B90" s="988" t="s">
        <v>1198</v>
      </c>
      <c r="C90" s="988">
        <v>12890</v>
      </c>
      <c r="D90" s="988">
        <v>12820</v>
      </c>
      <c r="E90" s="988">
        <v>12710</v>
      </c>
      <c r="F90" s="1014"/>
      <c r="H90" s="1010"/>
    </row>
    <row r="91" spans="1:8" s="982" customFormat="1" ht="14.25" customHeight="1" thickBot="1">
      <c r="A91" s="994" t="s">
        <v>1385</v>
      </c>
      <c r="B91" s="988" t="s">
        <v>1208</v>
      </c>
      <c r="C91" s="988">
        <v>11410</v>
      </c>
      <c r="D91" s="988">
        <v>11360</v>
      </c>
      <c r="E91" s="988">
        <v>12670</v>
      </c>
      <c r="F91" s="1014"/>
      <c r="H91" s="1010"/>
    </row>
    <row r="92" spans="1:8" s="982" customFormat="1" ht="14.25" customHeight="1" thickBot="1">
      <c r="A92" s="994" t="s">
        <v>1385</v>
      </c>
      <c r="B92" s="988" t="s">
        <v>1218</v>
      </c>
      <c r="C92" s="988">
        <v>12770</v>
      </c>
      <c r="D92" s="988">
        <v>12740</v>
      </c>
      <c r="E92" s="988">
        <v>11970</v>
      </c>
      <c r="F92" s="1014"/>
      <c r="H92" s="1010"/>
    </row>
    <row r="93" spans="1:8" s="982" customFormat="1" ht="14.25" customHeight="1" thickBot="1">
      <c r="A93" s="994" t="s">
        <v>1385</v>
      </c>
      <c r="B93" s="988" t="s">
        <v>1228</v>
      </c>
      <c r="C93" s="988">
        <v>12740</v>
      </c>
      <c r="D93" s="988">
        <v>12700</v>
      </c>
      <c r="E93" s="988">
        <v>12540</v>
      </c>
      <c r="F93" s="1014"/>
      <c r="H93" s="1010"/>
    </row>
    <row r="94" spans="1:8" s="982" customFormat="1" ht="14.25" customHeight="1" thickBot="1">
      <c r="A94" s="994" t="s">
        <v>1385</v>
      </c>
      <c r="B94" s="988" t="s">
        <v>1238</v>
      </c>
      <c r="C94" s="988">
        <v>12020</v>
      </c>
      <c r="D94" s="988">
        <v>11990</v>
      </c>
      <c r="E94" s="988">
        <v>13110</v>
      </c>
      <c r="F94" s="1014"/>
      <c r="H94" s="1010"/>
    </row>
    <row r="95" spans="1:8" s="982" customFormat="1" ht="14.25" customHeight="1" thickBot="1">
      <c r="A95" s="994" t="s">
        <v>1385</v>
      </c>
      <c r="B95" s="988" t="s">
        <v>1247</v>
      </c>
      <c r="C95" s="988">
        <v>12620</v>
      </c>
      <c r="D95" s="988">
        <v>12580</v>
      </c>
      <c r="E95" s="988">
        <v>13160</v>
      </c>
      <c r="F95" s="1006"/>
      <c r="H95" s="1010"/>
    </row>
    <row r="96" spans="1:8" s="982" customFormat="1" ht="14.25" customHeight="1" thickBot="1">
      <c r="A96" s="994" t="s">
        <v>1385</v>
      </c>
      <c r="B96" s="988" t="s">
        <v>1256</v>
      </c>
      <c r="C96" s="988">
        <v>13200</v>
      </c>
      <c r="D96" s="988">
        <v>13150</v>
      </c>
      <c r="E96" s="988">
        <v>12900</v>
      </c>
      <c r="F96" s="1006"/>
      <c r="H96" s="1010"/>
    </row>
    <row r="97" spans="1:8" s="982" customFormat="1" ht="14.25" customHeight="1" thickBot="1">
      <c r="A97" s="994" t="s">
        <v>1385</v>
      </c>
      <c r="B97" s="988" t="s">
        <v>1264</v>
      </c>
      <c r="C97" s="988">
        <v>13270</v>
      </c>
      <c r="D97" s="988">
        <v>13210</v>
      </c>
      <c r="E97" s="988">
        <v>11080</v>
      </c>
      <c r="F97" s="1006"/>
      <c r="H97" s="1010"/>
    </row>
    <row r="98" spans="1:8" s="982" customFormat="1" ht="14.25" customHeight="1" thickBot="1">
      <c r="A98" s="994" t="s">
        <v>1385</v>
      </c>
      <c r="B98" s="988" t="s">
        <v>1271</v>
      </c>
      <c r="C98" s="988">
        <v>13010</v>
      </c>
      <c r="D98" s="988">
        <v>12930</v>
      </c>
      <c r="E98" s="988">
        <v>12840</v>
      </c>
      <c r="F98" s="1006"/>
      <c r="H98" s="1010"/>
    </row>
    <row r="99" spans="1:8" s="982" customFormat="1" ht="14.25" customHeight="1" thickBot="1">
      <c r="A99" s="994" t="s">
        <v>1385</v>
      </c>
      <c r="B99" s="988" t="s">
        <v>1278</v>
      </c>
      <c r="C99" s="988">
        <v>11190</v>
      </c>
      <c r="D99" s="988">
        <v>11130</v>
      </c>
      <c r="E99" s="988"/>
      <c r="F99" s="1006"/>
      <c r="H99" s="1010"/>
    </row>
    <row r="100" spans="1:8" s="982" customFormat="1" ht="14.25" customHeight="1" thickBot="1">
      <c r="A100" s="994" t="s">
        <v>1385</v>
      </c>
      <c r="B100" s="988" t="s">
        <v>1285</v>
      </c>
      <c r="C100" s="988">
        <v>14280</v>
      </c>
      <c r="D100" s="988">
        <v>14180</v>
      </c>
      <c r="E100" s="988"/>
      <c r="F100" s="1006"/>
      <c r="H100" s="1010"/>
    </row>
    <row r="101" spans="1:8" s="982" customFormat="1" ht="14.25" customHeight="1" thickBot="1">
      <c r="A101" s="994" t="s">
        <v>1385</v>
      </c>
      <c r="B101" s="988" t="s">
        <v>1292</v>
      </c>
      <c r="C101" s="988">
        <v>12960</v>
      </c>
      <c r="D101" s="988">
        <v>12890</v>
      </c>
      <c r="E101" s="988"/>
      <c r="F101" s="1006"/>
      <c r="H101" s="1010"/>
    </row>
    <row r="102" spans="1:8" s="982" customFormat="1" ht="14.25" customHeight="1" thickBot="1">
      <c r="A102" s="994" t="s">
        <v>1385</v>
      </c>
      <c r="B102" s="988" t="s">
        <v>1299</v>
      </c>
      <c r="C102" s="988"/>
      <c r="D102" s="988"/>
      <c r="E102" s="988"/>
      <c r="F102" s="1006">
        <v>3100</v>
      </c>
      <c r="H102" s="1010"/>
    </row>
    <row r="103" spans="1:8" s="982" customFormat="1" ht="14.25" customHeight="1" thickBot="1">
      <c r="A103" s="994" t="s">
        <v>1385</v>
      </c>
      <c r="B103" s="988" t="s">
        <v>1306</v>
      </c>
      <c r="C103" s="988"/>
      <c r="D103" s="988"/>
      <c r="E103" s="988"/>
      <c r="F103" s="1006">
        <v>2320</v>
      </c>
      <c r="H103" s="1010"/>
    </row>
    <row r="104" spans="1:8" s="982" customFormat="1" ht="14.25" customHeight="1" thickBot="1">
      <c r="A104" s="994" t="s">
        <v>1385</v>
      </c>
      <c r="B104" s="988" t="s">
        <v>1311</v>
      </c>
      <c r="C104" s="988"/>
      <c r="D104" s="988"/>
      <c r="E104" s="988"/>
      <c r="F104" s="1006">
        <v>2320</v>
      </c>
      <c r="H104" s="1010"/>
    </row>
    <row r="105" spans="1:8" s="982" customFormat="1" ht="14.25" customHeight="1" thickBot="1">
      <c r="A105" s="994" t="s">
        <v>1385</v>
      </c>
      <c r="B105" s="988" t="s">
        <v>1315</v>
      </c>
      <c r="C105" s="988"/>
      <c r="D105" s="988"/>
      <c r="E105" s="988"/>
      <c r="F105" s="1006">
        <v>2320</v>
      </c>
      <c r="H105" s="1010"/>
    </row>
    <row r="106" spans="1:8" s="982" customFormat="1" ht="14.25" customHeight="1" thickBot="1">
      <c r="A106" s="994" t="s">
        <v>1385</v>
      </c>
      <c r="B106" s="988" t="s">
        <v>1320</v>
      </c>
      <c r="C106" s="988"/>
      <c r="D106" s="988"/>
      <c r="E106" s="988"/>
      <c r="F106" s="1006">
        <v>2320</v>
      </c>
      <c r="H106" s="1010"/>
    </row>
    <row r="107" spans="1:8" s="982" customFormat="1" ht="14.25" customHeight="1" thickBot="1">
      <c r="A107" s="994" t="s">
        <v>1385</v>
      </c>
      <c r="B107" s="988" t="s">
        <v>1325</v>
      </c>
      <c r="C107" s="988"/>
      <c r="D107" s="988"/>
      <c r="E107" s="988"/>
      <c r="F107" s="1006">
        <v>2280</v>
      </c>
      <c r="H107" s="1010"/>
    </row>
    <row r="108" spans="1:8" s="982" customFormat="1" ht="14.25" customHeight="1" thickBot="1">
      <c r="A108" s="994" t="s">
        <v>1385</v>
      </c>
      <c r="B108" s="988" t="s">
        <v>1330</v>
      </c>
      <c r="C108" s="988"/>
      <c r="D108" s="988"/>
      <c r="E108" s="988"/>
      <c r="F108" s="1006">
        <v>2280</v>
      </c>
      <c r="H108" s="1010"/>
    </row>
    <row r="109" spans="1:8" s="982" customFormat="1" ht="14.25" customHeight="1" thickBot="1">
      <c r="A109" s="994" t="s">
        <v>1385</v>
      </c>
      <c r="B109" s="1004" t="s">
        <v>1335</v>
      </c>
      <c r="C109" s="1004"/>
      <c r="D109" s="1004"/>
      <c r="E109" s="1004"/>
      <c r="F109" s="1013">
        <v>2280</v>
      </c>
      <c r="H109" s="1010"/>
    </row>
    <row r="110" spans="1:8" s="982" customFormat="1" ht="14.25" customHeight="1" thickBot="1">
      <c r="A110" s="994" t="s">
        <v>1387</v>
      </c>
      <c r="B110" s="995" t="s">
        <v>1388</v>
      </c>
      <c r="C110" s="995">
        <v>10520</v>
      </c>
      <c r="D110" s="995">
        <v>10490</v>
      </c>
      <c r="E110" s="995">
        <v>10760</v>
      </c>
      <c r="F110" s="996">
        <v>2160</v>
      </c>
      <c r="H110" s="1010"/>
    </row>
    <row r="111" spans="1:8" s="982" customFormat="1" ht="14.25" customHeight="1" thickBot="1">
      <c r="A111" s="994" t="s">
        <v>1387</v>
      </c>
      <c r="B111" s="988" t="s">
        <v>1053</v>
      </c>
      <c r="C111" s="988">
        <v>10090</v>
      </c>
      <c r="D111" s="988">
        <v>10060</v>
      </c>
      <c r="E111" s="988">
        <v>10300</v>
      </c>
      <c r="F111" s="1006">
        <v>2010</v>
      </c>
      <c r="H111" s="1010"/>
    </row>
    <row r="112" spans="1:8" s="982" customFormat="1" ht="14.25" customHeight="1" thickBot="1">
      <c r="A112" s="994" t="s">
        <v>1387</v>
      </c>
      <c r="B112" s="988" t="s">
        <v>1067</v>
      </c>
      <c r="C112" s="988">
        <v>9910</v>
      </c>
      <c r="D112" s="988">
        <v>9850</v>
      </c>
      <c r="E112" s="988">
        <v>9960</v>
      </c>
      <c r="F112" s="1006">
        <v>2090</v>
      </c>
      <c r="H112" s="1010"/>
    </row>
    <row r="113" spans="1:8" s="982" customFormat="1" ht="14.25" customHeight="1" thickBot="1">
      <c r="A113" s="994" t="s">
        <v>1387</v>
      </c>
      <c r="B113" s="988" t="s">
        <v>1080</v>
      </c>
      <c r="C113" s="988">
        <v>11430</v>
      </c>
      <c r="D113" s="988">
        <v>11400</v>
      </c>
      <c r="E113" s="988">
        <v>11710</v>
      </c>
      <c r="F113" s="1006">
        <v>2050</v>
      </c>
      <c r="H113" s="1010"/>
    </row>
    <row r="114" spans="1:8" s="982" customFormat="1" ht="14.25" customHeight="1" thickBot="1">
      <c r="A114" s="994" t="s">
        <v>1387</v>
      </c>
      <c r="B114" s="988" t="s">
        <v>1094</v>
      </c>
      <c r="C114" s="988">
        <v>11390</v>
      </c>
      <c r="D114" s="988">
        <v>11350</v>
      </c>
      <c r="E114" s="988">
        <v>11640</v>
      </c>
      <c r="F114" s="1006">
        <v>1620</v>
      </c>
      <c r="H114" s="1010"/>
    </row>
    <row r="115" spans="1:8" s="982" customFormat="1" ht="14.25" customHeight="1" thickBot="1">
      <c r="A115" s="994" t="s">
        <v>1387</v>
      </c>
      <c r="B115" s="988" t="s">
        <v>1105</v>
      </c>
      <c r="C115" s="988">
        <v>9930</v>
      </c>
      <c r="D115" s="988">
        <v>9900</v>
      </c>
      <c r="E115" s="988">
        <v>10160</v>
      </c>
      <c r="F115" s="1006">
        <v>1580</v>
      </c>
      <c r="H115" s="1010"/>
    </row>
    <row r="116" spans="1:8" s="982" customFormat="1" ht="14.25" customHeight="1" thickBot="1">
      <c r="A116" s="994" t="s">
        <v>1387</v>
      </c>
      <c r="B116" s="988" t="s">
        <v>1116</v>
      </c>
      <c r="C116" s="988">
        <v>9150</v>
      </c>
      <c r="D116" s="988">
        <v>9120</v>
      </c>
      <c r="E116" s="988">
        <v>9380</v>
      </c>
      <c r="F116" s="1006">
        <v>1750</v>
      </c>
      <c r="H116" s="1010"/>
    </row>
    <row r="117" spans="1:8" s="982" customFormat="1" ht="14.25" customHeight="1" thickBot="1">
      <c r="A117" s="994" t="s">
        <v>1387</v>
      </c>
      <c r="B117" s="988" t="s">
        <v>1127</v>
      </c>
      <c r="C117" s="988">
        <v>10680</v>
      </c>
      <c r="D117" s="988">
        <v>10650</v>
      </c>
      <c r="E117" s="988">
        <v>10970</v>
      </c>
      <c r="F117" s="1006">
        <v>1730</v>
      </c>
      <c r="H117" s="1010"/>
    </row>
    <row r="118" spans="1:8" s="982" customFormat="1" ht="14.25" customHeight="1" thickBot="1">
      <c r="A118" s="994" t="s">
        <v>1387</v>
      </c>
      <c r="B118" s="988" t="s">
        <v>1139</v>
      </c>
      <c r="C118" s="988">
        <v>10080</v>
      </c>
      <c r="D118" s="988">
        <v>10050</v>
      </c>
      <c r="E118" s="988">
        <v>10350</v>
      </c>
      <c r="F118" s="1006">
        <v>1920</v>
      </c>
      <c r="H118" s="1010"/>
    </row>
    <row r="119" spans="1:8" s="982" customFormat="1" ht="14.25" customHeight="1" thickBot="1">
      <c r="A119" s="994" t="s">
        <v>1387</v>
      </c>
      <c r="B119" s="988" t="s">
        <v>1149</v>
      </c>
      <c r="C119" s="988">
        <v>9450</v>
      </c>
      <c r="D119" s="988">
        <v>9410</v>
      </c>
      <c r="E119" s="988">
        <v>9680</v>
      </c>
      <c r="F119" s="1006">
        <v>1880</v>
      </c>
      <c r="H119" s="1010"/>
    </row>
    <row r="120" spans="1:8" s="982" customFormat="1" ht="14.25" customHeight="1" thickBot="1">
      <c r="A120" s="994" t="s">
        <v>1387</v>
      </c>
      <c r="B120" s="988" t="s">
        <v>1159</v>
      </c>
      <c r="C120" s="988">
        <v>8730</v>
      </c>
      <c r="D120" s="988">
        <v>8700</v>
      </c>
      <c r="E120" s="988">
        <v>8950</v>
      </c>
      <c r="F120" s="1006">
        <v>1830</v>
      </c>
      <c r="H120" s="1010"/>
    </row>
    <row r="121" spans="1:8" s="982" customFormat="1" ht="14.25" customHeight="1" thickBot="1">
      <c r="A121" s="994" t="s">
        <v>1387</v>
      </c>
      <c r="B121" s="988" t="s">
        <v>1169</v>
      </c>
      <c r="C121" s="988">
        <v>10070</v>
      </c>
      <c r="D121" s="988">
        <v>10040</v>
      </c>
      <c r="E121" s="988">
        <v>10270</v>
      </c>
      <c r="F121" s="1006">
        <v>1960</v>
      </c>
      <c r="H121" s="1010"/>
    </row>
    <row r="122" spans="1:8" s="982" customFormat="1" ht="14.25" customHeight="1" thickBot="1">
      <c r="A122" s="994" t="s">
        <v>1387</v>
      </c>
      <c r="B122" s="988" t="s">
        <v>1179</v>
      </c>
      <c r="C122" s="988">
        <v>10500</v>
      </c>
      <c r="D122" s="988">
        <v>10470</v>
      </c>
      <c r="E122" s="988">
        <v>10780</v>
      </c>
      <c r="F122" s="1006">
        <v>2180</v>
      </c>
      <c r="H122" s="1010"/>
    </row>
    <row r="123" spans="1:8" s="982" customFormat="1" ht="14.25" customHeight="1" thickBot="1">
      <c r="A123" s="994" t="s">
        <v>1387</v>
      </c>
      <c r="B123" s="988" t="s">
        <v>1189</v>
      </c>
      <c r="C123" s="988">
        <v>10390</v>
      </c>
      <c r="D123" s="988">
        <v>10360</v>
      </c>
      <c r="E123" s="988">
        <v>10660</v>
      </c>
      <c r="F123" s="1006">
        <v>2040</v>
      </c>
      <c r="H123" s="1010"/>
    </row>
    <row r="124" spans="1:8" s="982" customFormat="1" ht="14.25" customHeight="1" thickBot="1">
      <c r="A124" s="994" t="s">
        <v>1387</v>
      </c>
      <c r="B124" s="988" t="s">
        <v>1199</v>
      </c>
      <c r="C124" s="988">
        <v>10390</v>
      </c>
      <c r="D124" s="988">
        <v>10360</v>
      </c>
      <c r="E124" s="988">
        <v>10680</v>
      </c>
      <c r="F124" s="1014"/>
      <c r="H124" s="1010"/>
    </row>
    <row r="125" spans="1:8" s="982" customFormat="1" ht="14.25" customHeight="1" thickBot="1">
      <c r="A125" s="994" t="s">
        <v>1387</v>
      </c>
      <c r="B125" s="988" t="s">
        <v>1209</v>
      </c>
      <c r="C125" s="988">
        <v>10440</v>
      </c>
      <c r="D125" s="988">
        <v>10410</v>
      </c>
      <c r="E125" s="988">
        <v>10710</v>
      </c>
      <c r="F125" s="1014"/>
      <c r="H125" s="1010"/>
    </row>
    <row r="126" spans="1:8" s="982" customFormat="1" ht="14.25" customHeight="1" thickBot="1">
      <c r="A126" s="994" t="s">
        <v>1387</v>
      </c>
      <c r="B126" s="988" t="s">
        <v>1219</v>
      </c>
      <c r="C126" s="988">
        <v>10780</v>
      </c>
      <c r="D126" s="988">
        <v>10750</v>
      </c>
      <c r="E126" s="988">
        <v>11080</v>
      </c>
      <c r="F126" s="1014"/>
      <c r="H126" s="1010"/>
    </row>
    <row r="127" spans="1:8" s="982" customFormat="1" ht="14.25" customHeight="1" thickBot="1">
      <c r="A127" s="994" t="s">
        <v>1387</v>
      </c>
      <c r="B127" s="988" t="s">
        <v>1229</v>
      </c>
      <c r="C127" s="988">
        <v>10100</v>
      </c>
      <c r="D127" s="988">
        <v>10070</v>
      </c>
      <c r="E127" s="988">
        <v>10350</v>
      </c>
      <c r="F127" s="1014"/>
      <c r="H127" s="1010"/>
    </row>
    <row r="128" spans="1:8" s="982" customFormat="1" ht="14.25" customHeight="1" thickBot="1">
      <c r="A128" s="994" t="s">
        <v>1387</v>
      </c>
      <c r="B128" s="988" t="s">
        <v>1239</v>
      </c>
      <c r="C128" s="988">
        <v>9200</v>
      </c>
      <c r="D128" s="988">
        <v>9160</v>
      </c>
      <c r="E128" s="988">
        <v>9660</v>
      </c>
      <c r="F128" s="1014"/>
      <c r="H128" s="1010"/>
    </row>
    <row r="129" spans="1:8" s="982" customFormat="1" ht="14.25" customHeight="1" thickBot="1">
      <c r="A129" s="994" t="s">
        <v>1387</v>
      </c>
      <c r="B129" s="988" t="s">
        <v>1248</v>
      </c>
      <c r="C129" s="988">
        <v>10340</v>
      </c>
      <c r="D129" s="988">
        <v>10310</v>
      </c>
      <c r="E129" s="988">
        <v>10580</v>
      </c>
      <c r="F129" s="1014"/>
      <c r="H129" s="1010"/>
    </row>
    <row r="130" spans="1:8" s="982" customFormat="1" ht="14.25" customHeight="1" thickBot="1">
      <c r="A130" s="994" t="s">
        <v>1387</v>
      </c>
      <c r="B130" s="988" t="s">
        <v>1257</v>
      </c>
      <c r="C130" s="988">
        <v>9680</v>
      </c>
      <c r="D130" s="988">
        <v>9660</v>
      </c>
      <c r="E130" s="988">
        <v>9950</v>
      </c>
      <c r="F130" s="1014"/>
      <c r="H130" s="1010"/>
    </row>
    <row r="131" spans="1:8" s="982" customFormat="1" ht="14.25" customHeight="1" thickBot="1">
      <c r="A131" s="994" t="s">
        <v>1387</v>
      </c>
      <c r="B131" s="988" t="s">
        <v>1265</v>
      </c>
      <c r="C131" s="988">
        <v>9540</v>
      </c>
      <c r="D131" s="988">
        <v>9510</v>
      </c>
      <c r="E131" s="988">
        <v>9790</v>
      </c>
      <c r="F131" s="1014"/>
      <c r="H131" s="1010"/>
    </row>
    <row r="132" spans="1:8" s="982" customFormat="1" ht="14.25" customHeight="1" thickBot="1">
      <c r="A132" s="994" t="s">
        <v>1387</v>
      </c>
      <c r="B132" s="988" t="s">
        <v>1272</v>
      </c>
      <c r="C132" s="988">
        <v>9320</v>
      </c>
      <c r="D132" s="988">
        <v>9290</v>
      </c>
      <c r="E132" s="988">
        <v>9570</v>
      </c>
      <c r="F132" s="1014"/>
      <c r="H132" s="1010"/>
    </row>
    <row r="133" spans="1:8" s="982" customFormat="1" ht="14.25" customHeight="1" thickBot="1">
      <c r="A133" s="994" t="s">
        <v>1387</v>
      </c>
      <c r="B133" s="988" t="s">
        <v>1279</v>
      </c>
      <c r="C133" s="988">
        <v>10310</v>
      </c>
      <c r="D133" s="988">
        <v>10280</v>
      </c>
      <c r="E133" s="988">
        <v>10530</v>
      </c>
      <c r="F133" s="1014"/>
      <c r="H133" s="1010"/>
    </row>
    <row r="134" spans="1:8" s="982" customFormat="1" ht="14.25" customHeight="1" thickBot="1">
      <c r="A134" s="994" t="s">
        <v>1387</v>
      </c>
      <c r="B134" s="988" t="s">
        <v>1286</v>
      </c>
      <c r="C134" s="988">
        <v>10370</v>
      </c>
      <c r="D134" s="988">
        <v>10310</v>
      </c>
      <c r="E134" s="988">
        <v>10240</v>
      </c>
      <c r="F134" s="1006">
        <v>2060</v>
      </c>
      <c r="H134" s="1010"/>
    </row>
    <row r="135" spans="1:8" s="982" customFormat="1" ht="14.25" customHeight="1" thickBot="1">
      <c r="A135" s="994" t="s">
        <v>1387</v>
      </c>
      <c r="B135" s="988" t="s">
        <v>1293</v>
      </c>
      <c r="C135" s="988">
        <v>9300</v>
      </c>
      <c r="D135" s="988">
        <v>9270</v>
      </c>
      <c r="E135" s="988">
        <v>9350</v>
      </c>
      <c r="F135" s="1014"/>
      <c r="H135" s="1010"/>
    </row>
    <row r="136" spans="1:8" s="982" customFormat="1" ht="14.25" customHeight="1" thickBot="1">
      <c r="A136" s="994" t="s">
        <v>1387</v>
      </c>
      <c r="B136" s="988" t="s">
        <v>1300</v>
      </c>
      <c r="C136" s="988">
        <v>10160</v>
      </c>
      <c r="D136" s="988">
        <v>10110</v>
      </c>
      <c r="E136" s="988">
        <v>10080</v>
      </c>
      <c r="F136" s="1014"/>
      <c r="H136" s="1010"/>
    </row>
    <row r="137" spans="1:8" s="982" customFormat="1" ht="14.25" customHeight="1" thickBot="1">
      <c r="A137" s="994" t="s">
        <v>1387</v>
      </c>
      <c r="B137" s="988" t="s">
        <v>1307</v>
      </c>
      <c r="C137" s="988">
        <v>9200</v>
      </c>
      <c r="D137" s="988">
        <v>9170</v>
      </c>
      <c r="E137" s="988">
        <v>9450</v>
      </c>
      <c r="F137" s="1014"/>
      <c r="H137" s="1010"/>
    </row>
    <row r="138" spans="1:8" s="982" customFormat="1" ht="14.25" customHeight="1" thickBot="1">
      <c r="A138" s="994" t="s">
        <v>1387</v>
      </c>
      <c r="B138" s="988" t="s">
        <v>1312</v>
      </c>
      <c r="C138" s="988">
        <v>9690</v>
      </c>
      <c r="D138" s="988">
        <v>9660</v>
      </c>
      <c r="E138" s="988">
        <v>9840</v>
      </c>
      <c r="F138" s="1014"/>
      <c r="H138" s="1010"/>
    </row>
    <row r="139" spans="1:8" s="982" customFormat="1" ht="14.25" customHeight="1" thickBot="1">
      <c r="A139" s="994" t="s">
        <v>1387</v>
      </c>
      <c r="B139" s="988" t="s">
        <v>1316</v>
      </c>
      <c r="C139" s="988">
        <v>10290</v>
      </c>
      <c r="D139" s="988">
        <v>10260</v>
      </c>
      <c r="E139" s="988">
        <v>10550</v>
      </c>
      <c r="F139" s="1006">
        <v>1700</v>
      </c>
      <c r="H139" s="1010"/>
    </row>
    <row r="140" spans="1:8" s="982" customFormat="1" ht="14.25" customHeight="1" thickBot="1">
      <c r="A140" s="994" t="s">
        <v>1387</v>
      </c>
      <c r="B140" s="988" t="s">
        <v>1321</v>
      </c>
      <c r="C140" s="988">
        <v>9740</v>
      </c>
      <c r="D140" s="988">
        <v>9710</v>
      </c>
      <c r="E140" s="988">
        <v>10000</v>
      </c>
      <c r="F140" s="1006">
        <v>2000</v>
      </c>
      <c r="H140" s="1010"/>
    </row>
    <row r="141" spans="1:8" s="982" customFormat="1" ht="14.25" customHeight="1" thickBot="1">
      <c r="A141" s="994" t="s">
        <v>1387</v>
      </c>
      <c r="B141" s="988" t="s">
        <v>1326</v>
      </c>
      <c r="C141" s="988">
        <v>9810</v>
      </c>
      <c r="D141" s="988">
        <v>9770</v>
      </c>
      <c r="E141" s="988">
        <v>10060</v>
      </c>
      <c r="F141" s="1014"/>
      <c r="H141" s="1010"/>
    </row>
    <row r="142" spans="1:8" s="982" customFormat="1" ht="14.25" customHeight="1" thickBot="1">
      <c r="A142" s="994" t="s">
        <v>1387</v>
      </c>
      <c r="B142" s="988" t="s">
        <v>1331</v>
      </c>
      <c r="C142" s="988">
        <v>9300</v>
      </c>
      <c r="D142" s="988">
        <v>9270</v>
      </c>
      <c r="E142" s="988">
        <v>9530</v>
      </c>
      <c r="F142" s="1014"/>
      <c r="H142" s="1010"/>
    </row>
    <row r="143" spans="1:8" s="982" customFormat="1" ht="14.25" customHeight="1" thickBot="1">
      <c r="A143" s="994" t="s">
        <v>1387</v>
      </c>
      <c r="B143" s="988" t="s">
        <v>1336</v>
      </c>
      <c r="C143" s="988">
        <v>10080</v>
      </c>
      <c r="D143" s="988">
        <v>10050</v>
      </c>
      <c r="E143" s="988">
        <v>10340</v>
      </c>
      <c r="F143" s="1014"/>
      <c r="H143" s="1010"/>
    </row>
    <row r="144" spans="1:8" s="982" customFormat="1" ht="14.25" customHeight="1" thickBot="1">
      <c r="A144" s="994" t="s">
        <v>1387</v>
      </c>
      <c r="B144" s="988" t="s">
        <v>1340</v>
      </c>
      <c r="C144" s="988">
        <v>9820</v>
      </c>
      <c r="D144" s="988">
        <v>9750</v>
      </c>
      <c r="E144" s="988">
        <v>9900</v>
      </c>
      <c r="F144" s="1014"/>
      <c r="H144" s="1010"/>
    </row>
    <row r="145" spans="1:8" s="982" customFormat="1" ht="14.25" customHeight="1" thickBot="1">
      <c r="A145" s="994" t="s">
        <v>1387</v>
      </c>
      <c r="B145" s="988" t="s">
        <v>1344</v>
      </c>
      <c r="C145" s="988"/>
      <c r="D145" s="988"/>
      <c r="E145" s="988"/>
      <c r="F145" s="1006">
        <v>1740</v>
      </c>
      <c r="H145" s="1010"/>
    </row>
    <row r="146" spans="1:8" s="982" customFormat="1" ht="14.25" customHeight="1" thickBot="1">
      <c r="A146" s="994" t="s">
        <v>1387</v>
      </c>
      <c r="B146" s="988" t="s">
        <v>1348</v>
      </c>
      <c r="C146" s="988"/>
      <c r="D146" s="988"/>
      <c r="E146" s="988"/>
      <c r="F146" s="1006">
        <v>1740</v>
      </c>
      <c r="H146" s="1010"/>
    </row>
    <row r="147" spans="1:8" s="982" customFormat="1" ht="14.25" customHeight="1" thickBot="1">
      <c r="A147" s="994" t="s">
        <v>1387</v>
      </c>
      <c r="B147" s="988" t="s">
        <v>1352</v>
      </c>
      <c r="C147" s="988"/>
      <c r="D147" s="988"/>
      <c r="E147" s="988"/>
      <c r="F147" s="1006">
        <v>1740</v>
      </c>
      <c r="H147" s="1010"/>
    </row>
    <row r="148" spans="1:8" s="982" customFormat="1" ht="14.25" customHeight="1" thickBot="1">
      <c r="A148" s="994" t="s">
        <v>1387</v>
      </c>
      <c r="B148" s="988" t="s">
        <v>1356</v>
      </c>
      <c r="C148" s="988"/>
      <c r="D148" s="988"/>
      <c r="E148" s="988"/>
      <c r="F148" s="1006">
        <v>1740</v>
      </c>
      <c r="H148" s="1010"/>
    </row>
    <row r="149" spans="1:8" s="982" customFormat="1" ht="14.25" customHeight="1" thickBot="1">
      <c r="A149" s="994" t="s">
        <v>1387</v>
      </c>
      <c r="B149" s="988" t="s">
        <v>1360</v>
      </c>
      <c r="C149" s="988"/>
      <c r="D149" s="988"/>
      <c r="E149" s="988"/>
      <c r="F149" s="1006">
        <v>1740</v>
      </c>
      <c r="H149" s="1010"/>
    </row>
    <row r="150" spans="1:8" s="982" customFormat="1" ht="14.25" customHeight="1" thickBot="1">
      <c r="A150" s="994" t="s">
        <v>1387</v>
      </c>
      <c r="B150" s="988" t="s">
        <v>1363</v>
      </c>
      <c r="C150" s="988"/>
      <c r="D150" s="988"/>
      <c r="E150" s="988"/>
      <c r="F150" s="1006">
        <v>1610</v>
      </c>
      <c r="H150" s="1010"/>
    </row>
    <row r="151" spans="1:8" s="982" customFormat="1" ht="14.25" customHeight="1" thickBot="1">
      <c r="A151" s="994" t="s">
        <v>1387</v>
      </c>
      <c r="B151" s="988" t="s">
        <v>1366</v>
      </c>
      <c r="C151" s="988"/>
      <c r="D151" s="988"/>
      <c r="E151" s="988"/>
      <c r="F151" s="1006">
        <v>1610</v>
      </c>
      <c r="H151" s="1010"/>
    </row>
    <row r="152" spans="1:8" s="982" customFormat="1" ht="14.25" customHeight="1" thickBot="1">
      <c r="A152" s="994" t="s">
        <v>1387</v>
      </c>
      <c r="B152" s="988" t="s">
        <v>1369</v>
      </c>
      <c r="C152" s="988"/>
      <c r="D152" s="988"/>
      <c r="E152" s="988"/>
      <c r="F152" s="1006">
        <v>1610</v>
      </c>
      <c r="H152" s="1010"/>
    </row>
    <row r="153" spans="1:8" s="982" customFormat="1" ht="14.25" customHeight="1" thickBot="1">
      <c r="A153" s="994" t="s">
        <v>1387</v>
      </c>
      <c r="B153" s="988" t="s">
        <v>1372</v>
      </c>
      <c r="C153" s="988"/>
      <c r="D153" s="988"/>
      <c r="E153" s="988"/>
      <c r="F153" s="1006">
        <v>1610</v>
      </c>
      <c r="H153" s="1010"/>
    </row>
    <row r="154" spans="1:8" s="982" customFormat="1" ht="14.25" customHeight="1" thickBot="1">
      <c r="A154" s="994" t="s">
        <v>1387</v>
      </c>
      <c r="B154" s="988" t="s">
        <v>1375</v>
      </c>
      <c r="C154" s="988"/>
      <c r="D154" s="988"/>
      <c r="E154" s="988"/>
      <c r="F154" s="1006">
        <v>1610</v>
      </c>
      <c r="H154" s="1010"/>
    </row>
    <row r="155" spans="1:8" s="982" customFormat="1" ht="14.25" customHeight="1" thickBot="1">
      <c r="A155" s="994" t="s">
        <v>1387</v>
      </c>
      <c r="B155" s="988" t="s">
        <v>1378</v>
      </c>
      <c r="C155" s="988"/>
      <c r="D155" s="988"/>
      <c r="E155" s="988"/>
      <c r="F155" s="1006">
        <v>1800</v>
      </c>
      <c r="H155" s="1010"/>
    </row>
    <row r="156" spans="1:8" s="982" customFormat="1" ht="14.25" customHeight="1" thickBot="1">
      <c r="A156" s="994" t="s">
        <v>1387</v>
      </c>
      <c r="B156" s="988" t="s">
        <v>1380</v>
      </c>
      <c r="C156" s="988"/>
      <c r="D156" s="988"/>
      <c r="E156" s="988"/>
      <c r="F156" s="1006">
        <v>1910</v>
      </c>
      <c r="H156" s="1010"/>
    </row>
    <row r="157" spans="1:8" s="982" customFormat="1" ht="14.25" customHeight="1" thickBot="1">
      <c r="A157" s="994" t="s">
        <v>1387</v>
      </c>
      <c r="B157" s="1004" t="s">
        <v>1383</v>
      </c>
      <c r="C157" s="1004"/>
      <c r="D157" s="1004"/>
      <c r="E157" s="1004"/>
      <c r="F157" s="1013">
        <v>1500</v>
      </c>
      <c r="H157" s="1010"/>
    </row>
    <row r="158" spans="1:8" s="982" customFormat="1" ht="14.25" customHeight="1" thickBot="1">
      <c r="A158" s="994" t="s">
        <v>1389</v>
      </c>
      <c r="B158" s="995" t="s">
        <v>1390</v>
      </c>
      <c r="C158" s="995">
        <v>8170</v>
      </c>
      <c r="D158" s="995">
        <v>8140</v>
      </c>
      <c r="E158" s="995">
        <v>8590</v>
      </c>
      <c r="F158" s="996">
        <v>1450</v>
      </c>
      <c r="H158" s="1010"/>
    </row>
    <row r="159" spans="1:8" s="982" customFormat="1" ht="14.25" customHeight="1" thickBot="1">
      <c r="A159" s="994" t="s">
        <v>1389</v>
      </c>
      <c r="B159" s="988" t="s">
        <v>1054</v>
      </c>
      <c r="C159" s="988">
        <v>7410</v>
      </c>
      <c r="D159" s="988">
        <v>7370</v>
      </c>
      <c r="E159" s="988">
        <v>8030</v>
      </c>
      <c r="F159" s="1006">
        <v>1510</v>
      </c>
      <c r="H159" s="1010"/>
    </row>
    <row r="160" spans="1:8" s="982" customFormat="1" ht="14.25" customHeight="1" thickBot="1">
      <c r="A160" s="994" t="s">
        <v>1389</v>
      </c>
      <c r="B160" s="988" t="s">
        <v>1068</v>
      </c>
      <c r="C160" s="988">
        <v>7240</v>
      </c>
      <c r="D160" s="988">
        <v>7210</v>
      </c>
      <c r="E160" s="988">
        <v>7860</v>
      </c>
      <c r="F160" s="1006">
        <v>1370</v>
      </c>
      <c r="H160" s="1010"/>
    </row>
    <row r="161" spans="1:8" s="982" customFormat="1" ht="14.25" customHeight="1" thickBot="1">
      <c r="A161" s="994" t="s">
        <v>1389</v>
      </c>
      <c r="B161" s="988" t="s">
        <v>1081</v>
      </c>
      <c r="C161" s="988">
        <v>7720</v>
      </c>
      <c r="D161" s="988">
        <v>7690</v>
      </c>
      <c r="E161" s="988">
        <v>8200</v>
      </c>
      <c r="F161" s="1006">
        <v>1190</v>
      </c>
      <c r="H161" s="1010"/>
    </row>
    <row r="162" spans="1:8" s="982" customFormat="1" ht="14.25" customHeight="1" thickBot="1">
      <c r="A162" s="994" t="s">
        <v>1389</v>
      </c>
      <c r="B162" s="988" t="s">
        <v>1095</v>
      </c>
      <c r="C162" s="988">
        <v>6900</v>
      </c>
      <c r="D162" s="988">
        <v>6870</v>
      </c>
      <c r="E162" s="988">
        <v>7500</v>
      </c>
      <c r="F162" s="1006">
        <v>1390</v>
      </c>
      <c r="H162" s="1010"/>
    </row>
    <row r="163" spans="1:8" s="982" customFormat="1" ht="14.25" customHeight="1" thickBot="1">
      <c r="A163" s="994" t="s">
        <v>1389</v>
      </c>
      <c r="B163" s="988" t="s">
        <v>1106</v>
      </c>
      <c r="C163" s="988">
        <v>7120</v>
      </c>
      <c r="D163" s="988">
        <v>7090</v>
      </c>
      <c r="E163" s="988">
        <v>7690</v>
      </c>
      <c r="F163" s="1006">
        <v>1230</v>
      </c>
      <c r="H163" s="1010"/>
    </row>
    <row r="164" spans="1:8" s="982" customFormat="1" ht="14.25" customHeight="1" thickBot="1">
      <c r="A164" s="994" t="s">
        <v>1389</v>
      </c>
      <c r="B164" s="988" t="s">
        <v>1117</v>
      </c>
      <c r="C164" s="988">
        <v>6560</v>
      </c>
      <c r="D164" s="988">
        <v>6530</v>
      </c>
      <c r="E164" s="988">
        <v>7110</v>
      </c>
      <c r="F164" s="1006">
        <v>1340</v>
      </c>
      <c r="H164" s="1010"/>
    </row>
    <row r="165" spans="1:8" s="982" customFormat="1" ht="14.25" customHeight="1" thickBot="1">
      <c r="A165" s="994" t="s">
        <v>1389</v>
      </c>
      <c r="B165" s="988" t="s">
        <v>1128</v>
      </c>
      <c r="C165" s="988">
        <v>7450</v>
      </c>
      <c r="D165" s="988">
        <v>7430</v>
      </c>
      <c r="E165" s="988">
        <v>8110</v>
      </c>
      <c r="F165" s="1006">
        <v>1290</v>
      </c>
      <c r="H165" s="1010"/>
    </row>
    <row r="166" spans="1:8" s="982" customFormat="1" ht="14.25" customHeight="1" thickBot="1">
      <c r="A166" s="994" t="s">
        <v>1389</v>
      </c>
      <c r="B166" s="988" t="s">
        <v>1140</v>
      </c>
      <c r="C166" s="988">
        <v>7490</v>
      </c>
      <c r="D166" s="988">
        <v>7460</v>
      </c>
      <c r="E166" s="988">
        <v>8150</v>
      </c>
      <c r="F166" s="1006">
        <v>1350</v>
      </c>
      <c r="H166" s="1010"/>
    </row>
    <row r="167" spans="1:8" s="982" customFormat="1" ht="14.25" customHeight="1" thickBot="1">
      <c r="A167" s="994" t="s">
        <v>1389</v>
      </c>
      <c r="B167" s="988" t="s">
        <v>1150</v>
      </c>
      <c r="C167" s="988">
        <v>7540</v>
      </c>
      <c r="D167" s="988">
        <v>7510</v>
      </c>
      <c r="E167" s="988">
        <v>8030</v>
      </c>
      <c r="F167" s="1014"/>
      <c r="H167" s="1010"/>
    </row>
    <row r="168" spans="1:8" s="982" customFormat="1" ht="14.25" customHeight="1" thickBot="1">
      <c r="A168" s="994" t="s">
        <v>1389</v>
      </c>
      <c r="B168" s="988" t="s">
        <v>1160</v>
      </c>
      <c r="C168" s="988">
        <v>7210</v>
      </c>
      <c r="D168" s="988">
        <v>7180</v>
      </c>
      <c r="E168" s="988">
        <v>7830</v>
      </c>
      <c r="F168" s="1014"/>
      <c r="H168" s="1010"/>
    </row>
    <row r="169" spans="1:8" s="982" customFormat="1" ht="14.25" customHeight="1" thickBot="1">
      <c r="A169" s="994" t="s">
        <v>1389</v>
      </c>
      <c r="B169" s="988" t="s">
        <v>1170</v>
      </c>
      <c r="C169" s="988">
        <v>7040</v>
      </c>
      <c r="D169" s="988">
        <v>7020</v>
      </c>
      <c r="E169" s="988">
        <v>7670</v>
      </c>
      <c r="F169" s="1014"/>
      <c r="H169" s="1010"/>
    </row>
    <row r="170" spans="1:8" s="982" customFormat="1" ht="14.25" customHeight="1" thickBot="1">
      <c r="A170" s="994" t="s">
        <v>1389</v>
      </c>
      <c r="B170" s="988" t="s">
        <v>1180</v>
      </c>
      <c r="C170" s="988">
        <v>8040</v>
      </c>
      <c r="D170" s="988">
        <v>7190</v>
      </c>
      <c r="E170" s="988">
        <v>7850</v>
      </c>
      <c r="F170" s="1014"/>
      <c r="H170" s="1010"/>
    </row>
    <row r="171" spans="1:8" s="982" customFormat="1" ht="14.25" customHeight="1" thickBot="1">
      <c r="A171" s="994" t="s">
        <v>1389</v>
      </c>
      <c r="B171" s="988" t="s">
        <v>1190</v>
      </c>
      <c r="C171" s="988">
        <v>7860</v>
      </c>
      <c r="D171" s="988">
        <v>7720</v>
      </c>
      <c r="E171" s="988">
        <v>8150</v>
      </c>
      <c r="F171" s="1006">
        <v>1110</v>
      </c>
      <c r="H171" s="1010"/>
    </row>
    <row r="172" spans="1:8" s="982" customFormat="1" ht="14.25" customHeight="1" thickBot="1">
      <c r="A172" s="994" t="s">
        <v>1389</v>
      </c>
      <c r="B172" s="988" t="s">
        <v>1200</v>
      </c>
      <c r="C172" s="988">
        <v>7210</v>
      </c>
      <c r="D172" s="988">
        <v>7170</v>
      </c>
      <c r="E172" s="988">
        <v>7320</v>
      </c>
      <c r="F172" s="1014"/>
      <c r="H172" s="1010"/>
    </row>
    <row r="173" spans="1:8" s="982" customFormat="1" ht="14.25" customHeight="1" thickBot="1">
      <c r="A173" s="994" t="s">
        <v>1389</v>
      </c>
      <c r="B173" s="988" t="s">
        <v>1210</v>
      </c>
      <c r="C173" s="988">
        <v>6860</v>
      </c>
      <c r="D173" s="988">
        <v>6810</v>
      </c>
      <c r="E173" s="988">
        <v>7440</v>
      </c>
      <c r="F173" s="1014"/>
      <c r="H173" s="1010"/>
    </row>
    <row r="174" spans="1:8" s="982" customFormat="1" ht="14.25" customHeight="1" thickBot="1">
      <c r="A174" s="994" t="s">
        <v>1389</v>
      </c>
      <c r="B174" s="988" t="s">
        <v>1220</v>
      </c>
      <c r="C174" s="988">
        <v>7120</v>
      </c>
      <c r="D174" s="988">
        <v>7090</v>
      </c>
      <c r="E174" s="988">
        <v>7500</v>
      </c>
      <c r="F174" s="1006">
        <v>1490</v>
      </c>
      <c r="H174" s="1010"/>
    </row>
    <row r="175" spans="1:8" s="982" customFormat="1" ht="14.25" customHeight="1" thickBot="1">
      <c r="A175" s="994" t="s">
        <v>1389</v>
      </c>
      <c r="B175" s="988" t="s">
        <v>1230</v>
      </c>
      <c r="C175" s="988">
        <v>7850</v>
      </c>
      <c r="D175" s="988">
        <v>7820</v>
      </c>
      <c r="E175" s="988">
        <v>8120</v>
      </c>
      <c r="F175" s="1006">
        <v>1530</v>
      </c>
      <c r="H175" s="1010"/>
    </row>
    <row r="176" spans="1:8" s="982" customFormat="1" ht="14.25" customHeight="1" thickBot="1">
      <c r="A176" s="994" t="s">
        <v>1389</v>
      </c>
      <c r="B176" s="988" t="s">
        <v>1240</v>
      </c>
      <c r="C176" s="988">
        <v>7620</v>
      </c>
      <c r="D176" s="988">
        <v>7570</v>
      </c>
      <c r="E176" s="988">
        <v>7990</v>
      </c>
      <c r="F176" s="1006">
        <v>1480</v>
      </c>
      <c r="H176" s="1010"/>
    </row>
    <row r="177" spans="1:8" s="982" customFormat="1" ht="14.25" customHeight="1" thickBot="1">
      <c r="A177" s="994" t="s">
        <v>1389</v>
      </c>
      <c r="B177" s="988" t="s">
        <v>1249</v>
      </c>
      <c r="C177" s="988">
        <v>8590</v>
      </c>
      <c r="D177" s="988">
        <v>8570</v>
      </c>
      <c r="E177" s="988">
        <v>8740</v>
      </c>
      <c r="F177" s="1006">
        <v>1540</v>
      </c>
      <c r="H177" s="1010"/>
    </row>
    <row r="178" spans="1:8" s="982" customFormat="1" ht="14.25" customHeight="1" thickBot="1">
      <c r="A178" s="994" t="s">
        <v>1389</v>
      </c>
      <c r="B178" s="988" t="s">
        <v>1258</v>
      </c>
      <c r="C178" s="988">
        <v>7510</v>
      </c>
      <c r="D178" s="988">
        <v>7470</v>
      </c>
      <c r="E178" s="988">
        <v>8090</v>
      </c>
      <c r="F178" s="1006">
        <v>1320</v>
      </c>
      <c r="H178" s="1010"/>
    </row>
    <row r="179" spans="1:8" s="982" customFormat="1" ht="14.25" customHeight="1" thickBot="1">
      <c r="A179" s="994" t="s">
        <v>1389</v>
      </c>
      <c r="B179" s="988" t="s">
        <v>1266</v>
      </c>
      <c r="C179" s="988">
        <v>6380</v>
      </c>
      <c r="D179" s="988">
        <v>6340</v>
      </c>
      <c r="E179" s="988">
        <v>6810</v>
      </c>
      <c r="F179" s="1014"/>
      <c r="H179" s="1010"/>
    </row>
    <row r="180" spans="1:8" s="982" customFormat="1" ht="14.25" customHeight="1" thickBot="1">
      <c r="A180" s="994" t="s">
        <v>1389</v>
      </c>
      <c r="B180" s="988" t="s">
        <v>1273</v>
      </c>
      <c r="C180" s="988">
        <v>7830</v>
      </c>
      <c r="D180" s="988">
        <v>7800</v>
      </c>
      <c r="E180" s="988">
        <v>7780</v>
      </c>
      <c r="F180" s="1006">
        <v>1440</v>
      </c>
      <c r="H180" s="1010"/>
    </row>
    <row r="181" spans="1:8" s="982" customFormat="1" ht="14.25" customHeight="1" thickBot="1">
      <c r="A181" s="994" t="s">
        <v>1389</v>
      </c>
      <c r="B181" s="988" t="s">
        <v>1280</v>
      </c>
      <c r="C181" s="988">
        <v>7110</v>
      </c>
      <c r="D181" s="988">
        <v>7080</v>
      </c>
      <c r="E181" s="988">
        <v>7730</v>
      </c>
      <c r="F181" s="1006">
        <v>1350</v>
      </c>
      <c r="H181" s="1010"/>
    </row>
    <row r="182" spans="1:8" s="982" customFormat="1" ht="14.25" customHeight="1" thickBot="1">
      <c r="A182" s="994" t="s">
        <v>1389</v>
      </c>
      <c r="B182" s="988" t="s">
        <v>1287</v>
      </c>
      <c r="C182" s="988">
        <v>7310</v>
      </c>
      <c r="D182" s="988">
        <v>7280</v>
      </c>
      <c r="E182" s="988">
        <v>7950</v>
      </c>
      <c r="F182" s="1006">
        <v>1220</v>
      </c>
      <c r="H182" s="1010"/>
    </row>
    <row r="183" spans="1:8" s="982" customFormat="1" ht="14.25" customHeight="1" thickBot="1">
      <c r="A183" s="994" t="s">
        <v>1389</v>
      </c>
      <c r="B183" s="988" t="s">
        <v>1294</v>
      </c>
      <c r="C183" s="988">
        <v>7470</v>
      </c>
      <c r="D183" s="988">
        <v>7440</v>
      </c>
      <c r="E183" s="988">
        <v>7880</v>
      </c>
      <c r="F183" s="1014"/>
      <c r="H183" s="1010"/>
    </row>
    <row r="184" spans="1:8" s="982" customFormat="1" ht="14.25" customHeight="1" thickBot="1">
      <c r="A184" s="994" t="s">
        <v>1389</v>
      </c>
      <c r="B184" s="988" t="s">
        <v>1301</v>
      </c>
      <c r="C184" s="988">
        <v>6960</v>
      </c>
      <c r="D184" s="988">
        <v>6930</v>
      </c>
      <c r="E184" s="988">
        <v>7570</v>
      </c>
      <c r="F184" s="1014"/>
      <c r="H184" s="1010"/>
    </row>
    <row r="185" spans="1:8" s="982" customFormat="1" ht="14.25" customHeight="1" thickBot="1">
      <c r="A185" s="994" t="s">
        <v>1389</v>
      </c>
      <c r="B185" s="988" t="s">
        <v>1308</v>
      </c>
      <c r="C185" s="988">
        <v>7260</v>
      </c>
      <c r="D185" s="988">
        <v>7230</v>
      </c>
      <c r="E185" s="988">
        <v>7710</v>
      </c>
      <c r="F185" s="1006">
        <v>1360</v>
      </c>
      <c r="H185" s="1010"/>
    </row>
    <row r="186" spans="1:8" s="982" customFormat="1" ht="14.25" customHeight="1" thickBot="1">
      <c r="A186" s="994" t="s">
        <v>1389</v>
      </c>
      <c r="B186" s="988" t="s">
        <v>1313</v>
      </c>
      <c r="C186" s="988"/>
      <c r="D186" s="988"/>
      <c r="E186" s="988"/>
      <c r="F186" s="1006">
        <v>1560</v>
      </c>
      <c r="H186" s="1010"/>
    </row>
    <row r="187" spans="1:8" s="982" customFormat="1" ht="14.25" customHeight="1" thickBot="1">
      <c r="A187" s="994" t="s">
        <v>1389</v>
      </c>
      <c r="B187" s="988" t="s">
        <v>1317</v>
      </c>
      <c r="C187" s="988"/>
      <c r="D187" s="988"/>
      <c r="E187" s="988"/>
      <c r="F187" s="1006">
        <v>1560</v>
      </c>
      <c r="H187" s="1010"/>
    </row>
    <row r="188" spans="1:8" s="982" customFormat="1" ht="14.25" customHeight="1" thickBot="1">
      <c r="A188" s="994" t="s">
        <v>1389</v>
      </c>
      <c r="B188" s="988" t="s">
        <v>1322</v>
      </c>
      <c r="C188" s="988"/>
      <c r="D188" s="988"/>
      <c r="E188" s="988"/>
      <c r="F188" s="1006">
        <v>1560</v>
      </c>
      <c r="H188" s="1010"/>
    </row>
    <row r="189" spans="1:8" s="982" customFormat="1" ht="14.25" customHeight="1" thickBot="1">
      <c r="A189" s="994" t="s">
        <v>1389</v>
      </c>
      <c r="B189" s="988" t="s">
        <v>1327</v>
      </c>
      <c r="C189" s="988"/>
      <c r="D189" s="988"/>
      <c r="E189" s="988"/>
      <c r="F189" s="1006">
        <v>1320</v>
      </c>
      <c r="H189" s="1010"/>
    </row>
    <row r="190" spans="1:8" s="982" customFormat="1" ht="14.25" customHeight="1" thickBot="1">
      <c r="A190" s="994" t="s">
        <v>1389</v>
      </c>
      <c r="B190" s="988" t="s">
        <v>1332</v>
      </c>
      <c r="C190" s="988"/>
      <c r="D190" s="988"/>
      <c r="E190" s="988"/>
      <c r="F190" s="1006">
        <v>1320</v>
      </c>
      <c r="H190" s="1010"/>
    </row>
    <row r="191" spans="1:8" s="982" customFormat="1" ht="14.25" customHeight="1" thickBot="1">
      <c r="A191" s="994" t="s">
        <v>1389</v>
      </c>
      <c r="B191" s="988" t="s">
        <v>1337</v>
      </c>
      <c r="C191" s="988"/>
      <c r="D191" s="988"/>
      <c r="E191" s="988"/>
      <c r="F191" s="1006">
        <v>1320</v>
      </c>
      <c r="H191" s="1010"/>
    </row>
    <row r="192" spans="1:8" s="982" customFormat="1" ht="14.25" customHeight="1" thickBot="1">
      <c r="A192" s="994" t="s">
        <v>1389</v>
      </c>
      <c r="B192" s="988" t="s">
        <v>1341</v>
      </c>
      <c r="C192" s="988"/>
      <c r="D192" s="988"/>
      <c r="E192" s="988"/>
      <c r="F192" s="1006">
        <v>1100</v>
      </c>
      <c r="H192" s="1010"/>
    </row>
    <row r="193" spans="1:8" s="982" customFormat="1" ht="14.25" customHeight="1" thickBot="1">
      <c r="A193" s="994" t="s">
        <v>1389</v>
      </c>
      <c r="B193" s="988" t="s">
        <v>1345</v>
      </c>
      <c r="C193" s="988"/>
      <c r="D193" s="988"/>
      <c r="E193" s="988"/>
      <c r="F193" s="1006">
        <v>1100</v>
      </c>
      <c r="H193" s="1010"/>
    </row>
    <row r="194" spans="1:8" s="982" customFormat="1" ht="14.25" customHeight="1" thickBot="1">
      <c r="A194" s="994" t="s">
        <v>1389</v>
      </c>
      <c r="B194" s="988" t="s">
        <v>1349</v>
      </c>
      <c r="C194" s="988"/>
      <c r="D194" s="988"/>
      <c r="E194" s="988"/>
      <c r="F194" s="1006">
        <v>1080</v>
      </c>
      <c r="H194" s="1010"/>
    </row>
    <row r="195" spans="1:8" s="982" customFormat="1" ht="14.25" customHeight="1" thickBot="1">
      <c r="A195" s="994" t="s">
        <v>1389</v>
      </c>
      <c r="B195" s="988" t="s">
        <v>1353</v>
      </c>
      <c r="C195" s="988"/>
      <c r="D195" s="988"/>
      <c r="E195" s="988"/>
      <c r="F195" s="1006">
        <v>1270</v>
      </c>
      <c r="H195" s="1010"/>
    </row>
    <row r="196" spans="1:8" s="982" customFormat="1" ht="14.25" customHeight="1" thickBot="1">
      <c r="A196" s="994" t="s">
        <v>1389</v>
      </c>
      <c r="B196" s="988" t="s">
        <v>1357</v>
      </c>
      <c r="C196" s="988"/>
      <c r="D196" s="988"/>
      <c r="E196" s="988"/>
      <c r="F196" s="1006">
        <v>1150</v>
      </c>
      <c r="H196" s="1010"/>
    </row>
    <row r="197" spans="1:8" s="982" customFormat="1" ht="14.25" customHeight="1" thickBot="1">
      <c r="A197" s="994" t="s">
        <v>1389</v>
      </c>
      <c r="B197" s="988" t="s">
        <v>1361</v>
      </c>
      <c r="C197" s="988"/>
      <c r="D197" s="988"/>
      <c r="E197" s="988"/>
      <c r="F197" s="1006">
        <v>1330</v>
      </c>
      <c r="H197" s="1010"/>
    </row>
    <row r="198" spans="1:8" s="982" customFormat="1" ht="14.25" customHeight="1" thickBot="1">
      <c r="A198" s="994" t="s">
        <v>1389</v>
      </c>
      <c r="B198" s="988" t="s">
        <v>1364</v>
      </c>
      <c r="C198" s="988"/>
      <c r="D198" s="988"/>
      <c r="E198" s="988"/>
      <c r="F198" s="1006">
        <v>1170</v>
      </c>
      <c r="H198" s="1010"/>
    </row>
    <row r="199" spans="1:8" s="982" customFormat="1" ht="14.25" customHeight="1" thickBot="1">
      <c r="A199" s="994" t="s">
        <v>1389</v>
      </c>
      <c r="B199" s="988" t="s">
        <v>1367</v>
      </c>
      <c r="C199" s="988"/>
      <c r="D199" s="988"/>
      <c r="E199" s="988"/>
      <c r="F199" s="1006">
        <v>1120</v>
      </c>
      <c r="H199" s="1010"/>
    </row>
    <row r="200" spans="1:8" s="982" customFormat="1" ht="14.25" customHeight="1" thickBot="1">
      <c r="A200" s="994" t="s">
        <v>1389</v>
      </c>
      <c r="B200" s="988" t="s">
        <v>1370</v>
      </c>
      <c r="C200" s="988"/>
      <c r="D200" s="988"/>
      <c r="E200" s="988"/>
      <c r="F200" s="1006">
        <v>1120</v>
      </c>
      <c r="H200" s="1010"/>
    </row>
    <row r="201" spans="1:8" s="982" customFormat="1" ht="14.25" customHeight="1" thickBot="1">
      <c r="A201" s="994" t="s">
        <v>1389</v>
      </c>
      <c r="B201" s="988" t="s">
        <v>1373</v>
      </c>
      <c r="C201" s="988"/>
      <c r="D201" s="988"/>
      <c r="E201" s="988"/>
      <c r="F201" s="1006">
        <v>1540</v>
      </c>
      <c r="H201" s="1010"/>
    </row>
    <row r="202" spans="1:8" s="982" customFormat="1" ht="14.25" customHeight="1" thickBot="1">
      <c r="A202" s="994" t="s">
        <v>1389</v>
      </c>
      <c r="B202" s="988" t="s">
        <v>1376</v>
      </c>
      <c r="C202" s="988"/>
      <c r="D202" s="988"/>
      <c r="E202" s="988"/>
      <c r="F202" s="1006">
        <v>1310</v>
      </c>
      <c r="H202" s="1010"/>
    </row>
    <row r="203" spans="1:8" s="982" customFormat="1" ht="14.25" customHeight="1" thickBot="1">
      <c r="A203" s="994" t="s">
        <v>1389</v>
      </c>
      <c r="B203" s="988" t="s">
        <v>1379</v>
      </c>
      <c r="C203" s="988"/>
      <c r="D203" s="988"/>
      <c r="E203" s="988"/>
      <c r="F203" s="1006">
        <v>1310</v>
      </c>
      <c r="H203" s="1010"/>
    </row>
    <row r="204" spans="1:8" s="982" customFormat="1" ht="14.25" customHeight="1" thickBot="1">
      <c r="A204" s="994" t="s">
        <v>1389</v>
      </c>
      <c r="B204" s="988" t="s">
        <v>1381</v>
      </c>
      <c r="C204" s="988"/>
      <c r="D204" s="988"/>
      <c r="E204" s="988"/>
      <c r="F204" s="1006">
        <v>1080</v>
      </c>
      <c r="H204" s="1010"/>
    </row>
    <row r="205" spans="1:8" s="982" customFormat="1" ht="14.25" customHeight="1" thickBot="1">
      <c r="A205" s="994" t="s">
        <v>1389</v>
      </c>
      <c r="B205" s="988" t="s">
        <v>1384</v>
      </c>
      <c r="C205" s="988"/>
      <c r="D205" s="988"/>
      <c r="E205" s="988"/>
      <c r="F205" s="1006">
        <v>1080</v>
      </c>
      <c r="H205" s="1010"/>
    </row>
    <row r="206" spans="1:8" s="982" customFormat="1" ht="14.25" customHeight="1" thickBot="1">
      <c r="A206" s="994" t="s">
        <v>1391</v>
      </c>
      <c r="B206" s="995" t="s">
        <v>1392</v>
      </c>
      <c r="C206" s="995">
        <v>5450</v>
      </c>
      <c r="D206" s="995">
        <v>5430</v>
      </c>
      <c r="E206" s="995">
        <v>5700</v>
      </c>
      <c r="F206" s="996">
        <v>1020</v>
      </c>
      <c r="H206" s="1010"/>
    </row>
    <row r="207" spans="1:8" s="982" customFormat="1" ht="14.25" customHeight="1" thickBot="1">
      <c r="A207" s="994" t="s">
        <v>1391</v>
      </c>
      <c r="B207" s="988" t="s">
        <v>1055</v>
      </c>
      <c r="C207" s="988">
        <v>5860</v>
      </c>
      <c r="D207" s="988">
        <v>5820</v>
      </c>
      <c r="E207" s="988">
        <v>6050</v>
      </c>
      <c r="F207" s="1006">
        <v>1080</v>
      </c>
      <c r="H207" s="1010"/>
    </row>
    <row r="208" spans="1:8" s="982" customFormat="1" ht="14.25" customHeight="1" thickBot="1">
      <c r="A208" s="994" t="s">
        <v>1391</v>
      </c>
      <c r="B208" s="988" t="s">
        <v>1069</v>
      </c>
      <c r="C208" s="988">
        <v>4630</v>
      </c>
      <c r="D208" s="988">
        <v>4600</v>
      </c>
      <c r="E208" s="988">
        <v>4840</v>
      </c>
      <c r="F208" s="1006">
        <v>900</v>
      </c>
      <c r="H208" s="1010"/>
    </row>
    <row r="209" spans="1:8" s="982" customFormat="1" ht="14.25" customHeight="1" thickBot="1">
      <c r="A209" s="994" t="s">
        <v>1391</v>
      </c>
      <c r="B209" s="988" t="s">
        <v>1082</v>
      </c>
      <c r="C209" s="988">
        <v>5320</v>
      </c>
      <c r="D209" s="988">
        <v>5270</v>
      </c>
      <c r="E209" s="988">
        <v>5540</v>
      </c>
      <c r="F209" s="1006">
        <v>980</v>
      </c>
      <c r="H209" s="1010"/>
    </row>
    <row r="210" spans="1:8" s="982" customFormat="1" ht="14.25" customHeight="1" thickBot="1">
      <c r="A210" s="994" t="s">
        <v>1391</v>
      </c>
      <c r="B210" s="988" t="s">
        <v>1096</v>
      </c>
      <c r="C210" s="988">
        <v>5760</v>
      </c>
      <c r="D210" s="988">
        <v>5710</v>
      </c>
      <c r="E210" s="988">
        <v>6010</v>
      </c>
      <c r="F210" s="1006">
        <v>870</v>
      </c>
      <c r="H210" s="1010"/>
    </row>
    <row r="211" spans="1:8" s="982" customFormat="1" ht="14.25" customHeight="1" thickBot="1">
      <c r="A211" s="994" t="s">
        <v>1391</v>
      </c>
      <c r="B211" s="988" t="s">
        <v>1107</v>
      </c>
      <c r="C211" s="988">
        <v>4160</v>
      </c>
      <c r="D211" s="988">
        <v>4100</v>
      </c>
      <c r="E211" s="988">
        <v>4270</v>
      </c>
      <c r="F211" s="1006">
        <v>790</v>
      </c>
      <c r="H211" s="1010"/>
    </row>
    <row r="212" spans="1:8" s="982" customFormat="1" ht="14.25" customHeight="1" thickBot="1">
      <c r="A212" s="994" t="s">
        <v>1391</v>
      </c>
      <c r="B212" s="988" t="s">
        <v>1118</v>
      </c>
      <c r="C212" s="988">
        <v>4880</v>
      </c>
      <c r="D212" s="988">
        <v>4850</v>
      </c>
      <c r="E212" s="988">
        <v>5110</v>
      </c>
      <c r="F212" s="1006">
        <v>940</v>
      </c>
      <c r="H212" s="1010"/>
    </row>
    <row r="213" spans="1:8" s="982" customFormat="1" ht="14.25" customHeight="1" thickBot="1">
      <c r="A213" s="994" t="s">
        <v>1391</v>
      </c>
      <c r="B213" s="988" t="s">
        <v>1129</v>
      </c>
      <c r="C213" s="988">
        <v>4640</v>
      </c>
      <c r="D213" s="988">
        <v>4590</v>
      </c>
      <c r="E213" s="988">
        <v>4700</v>
      </c>
      <c r="F213" s="1006">
        <v>1030</v>
      </c>
      <c r="H213" s="1010"/>
    </row>
    <row r="214" spans="1:8" s="982" customFormat="1" ht="14.25" customHeight="1" thickBot="1">
      <c r="A214" s="994" t="s">
        <v>1391</v>
      </c>
      <c r="B214" s="988" t="s">
        <v>1141</v>
      </c>
      <c r="C214" s="988">
        <v>4540</v>
      </c>
      <c r="D214" s="988">
        <v>4490</v>
      </c>
      <c r="E214" s="988">
        <v>4610</v>
      </c>
      <c r="F214" s="1014"/>
      <c r="H214" s="1010"/>
    </row>
    <row r="215" spans="1:8" s="982" customFormat="1" ht="14.25" customHeight="1" thickBot="1">
      <c r="A215" s="994" t="s">
        <v>1391</v>
      </c>
      <c r="B215" s="988" t="s">
        <v>1151</v>
      </c>
      <c r="C215" s="988">
        <v>5280</v>
      </c>
      <c r="D215" s="988">
        <v>5250</v>
      </c>
      <c r="E215" s="988">
        <v>5520</v>
      </c>
      <c r="F215" s="1006">
        <v>1000</v>
      </c>
      <c r="H215" s="1010"/>
    </row>
    <row r="216" spans="1:8" s="982" customFormat="1" ht="14.25" customHeight="1" thickBot="1">
      <c r="A216" s="994" t="s">
        <v>1391</v>
      </c>
      <c r="B216" s="988" t="s">
        <v>1161</v>
      </c>
      <c r="C216" s="988">
        <v>5100</v>
      </c>
      <c r="D216" s="988">
        <v>5050</v>
      </c>
      <c r="E216" s="988">
        <v>5300</v>
      </c>
      <c r="F216" s="1006">
        <v>950</v>
      </c>
      <c r="H216" s="1010"/>
    </row>
    <row r="217" spans="1:8" s="982" customFormat="1" ht="14.25" customHeight="1" thickBot="1">
      <c r="A217" s="994" t="s">
        <v>1391</v>
      </c>
      <c r="B217" s="988" t="s">
        <v>1171</v>
      </c>
      <c r="C217" s="988">
        <v>5370</v>
      </c>
      <c r="D217" s="988">
        <v>5320</v>
      </c>
      <c r="E217" s="988">
        <v>5410</v>
      </c>
      <c r="F217" s="1006">
        <v>950</v>
      </c>
      <c r="H217" s="1010"/>
    </row>
    <row r="218" spans="1:8" s="982" customFormat="1" ht="14.25" customHeight="1" thickBot="1">
      <c r="A218" s="994" t="s">
        <v>1391</v>
      </c>
      <c r="B218" s="988" t="s">
        <v>1181</v>
      </c>
      <c r="C218" s="988">
        <v>5540</v>
      </c>
      <c r="D218" s="988">
        <v>5480</v>
      </c>
      <c r="E218" s="988">
        <v>5740</v>
      </c>
      <c r="F218" s="1006">
        <v>1020</v>
      </c>
      <c r="H218" s="1010"/>
    </row>
    <row r="219" spans="1:8" s="982" customFormat="1" ht="14.25" customHeight="1" thickBot="1">
      <c r="A219" s="994" t="s">
        <v>1391</v>
      </c>
      <c r="B219" s="988" t="s">
        <v>1191</v>
      </c>
      <c r="C219" s="988">
        <v>5140</v>
      </c>
      <c r="D219" s="988">
        <v>5100</v>
      </c>
      <c r="E219" s="988">
        <v>5350</v>
      </c>
      <c r="F219" s="1006">
        <v>1120</v>
      </c>
      <c r="H219" s="1010"/>
    </row>
    <row r="220" spans="1:8" s="982" customFormat="1" ht="14.25" customHeight="1" thickBot="1">
      <c r="A220" s="994" t="s">
        <v>1391</v>
      </c>
      <c r="B220" s="988" t="s">
        <v>1201</v>
      </c>
      <c r="C220" s="988">
        <v>5040</v>
      </c>
      <c r="D220" s="988">
        <v>5000</v>
      </c>
      <c r="E220" s="988">
        <v>5240</v>
      </c>
      <c r="F220" s="1006">
        <v>980</v>
      </c>
      <c r="H220" s="1010"/>
    </row>
    <row r="221" spans="1:8" s="982" customFormat="1" ht="14.25" customHeight="1" thickBot="1">
      <c r="A221" s="994" t="s">
        <v>1391</v>
      </c>
      <c r="B221" s="988" t="s">
        <v>1211</v>
      </c>
      <c r="C221" s="1015"/>
      <c r="D221" s="1015"/>
      <c r="E221" s="1015"/>
      <c r="F221" s="1006">
        <v>1070</v>
      </c>
      <c r="H221" s="1010"/>
    </row>
    <row r="222" spans="1:8" s="982" customFormat="1" ht="14.25" customHeight="1" thickBot="1">
      <c r="A222" s="994" t="s">
        <v>1391</v>
      </c>
      <c r="B222" s="988" t="s">
        <v>1221</v>
      </c>
      <c r="C222" s="1015"/>
      <c r="D222" s="1015"/>
      <c r="E222" s="1015"/>
      <c r="F222" s="1006">
        <v>870</v>
      </c>
      <c r="H222" s="1010"/>
    </row>
    <row r="223" spans="1:8" s="982" customFormat="1" ht="14.25" customHeight="1" thickBot="1">
      <c r="A223" s="994" t="s">
        <v>1391</v>
      </c>
      <c r="B223" s="988" t="s">
        <v>1231</v>
      </c>
      <c r="C223" s="1015"/>
      <c r="D223" s="1015"/>
      <c r="E223" s="1015"/>
      <c r="F223" s="1006">
        <v>940</v>
      </c>
      <c r="H223" s="1010"/>
    </row>
    <row r="224" spans="1:8" s="982" customFormat="1" ht="14.25" customHeight="1" thickBot="1">
      <c r="A224" s="994" t="s">
        <v>1391</v>
      </c>
      <c r="B224" s="988" t="s">
        <v>1241</v>
      </c>
      <c r="C224" s="1015"/>
      <c r="D224" s="1015"/>
      <c r="E224" s="1015"/>
      <c r="F224" s="1006">
        <v>990</v>
      </c>
      <c r="H224" s="1010"/>
    </row>
    <row r="225" spans="1:8" s="982" customFormat="1" ht="14.25" customHeight="1" thickBot="1">
      <c r="A225" s="994" t="s">
        <v>1391</v>
      </c>
      <c r="B225" s="988" t="s">
        <v>1250</v>
      </c>
      <c r="C225" s="988">
        <v>5730</v>
      </c>
      <c r="D225" s="988">
        <v>5680</v>
      </c>
      <c r="E225" s="988">
        <v>6020</v>
      </c>
      <c r="F225" s="1006">
        <v>1000</v>
      </c>
      <c r="H225" s="1010"/>
    </row>
    <row r="226" spans="1:8" s="982" customFormat="1" ht="14.25" customHeight="1" thickBot="1">
      <c r="A226" s="994" t="s">
        <v>1391</v>
      </c>
      <c r="B226" s="988" t="s">
        <v>1259</v>
      </c>
      <c r="C226" s="988">
        <v>4970</v>
      </c>
      <c r="D226" s="988">
        <v>4940</v>
      </c>
      <c r="E226" s="988">
        <v>5180</v>
      </c>
      <c r="F226" s="1006">
        <v>960</v>
      </c>
      <c r="H226" s="1010"/>
    </row>
    <row r="227" spans="1:8" s="982" customFormat="1" ht="14.25" customHeight="1" thickBot="1">
      <c r="A227" s="994" t="s">
        <v>1391</v>
      </c>
      <c r="B227" s="988" t="s">
        <v>1267</v>
      </c>
      <c r="C227" s="988">
        <v>5550</v>
      </c>
      <c r="D227" s="988">
        <v>5500</v>
      </c>
      <c r="E227" s="988">
        <v>5780</v>
      </c>
      <c r="F227" s="1006">
        <v>940</v>
      </c>
      <c r="H227" s="1010"/>
    </row>
    <row r="228" spans="1:8" s="982" customFormat="1" ht="14.25" customHeight="1" thickBot="1">
      <c r="A228" s="994" t="s">
        <v>1391</v>
      </c>
      <c r="B228" s="988" t="s">
        <v>1274</v>
      </c>
      <c r="C228" s="988">
        <v>5460</v>
      </c>
      <c r="D228" s="988">
        <v>5420</v>
      </c>
      <c r="E228" s="988">
        <v>5690</v>
      </c>
      <c r="F228" s="1006">
        <v>910</v>
      </c>
      <c r="H228" s="1010"/>
    </row>
    <row r="229" spans="1:8" s="982" customFormat="1" ht="14.25" customHeight="1" thickBot="1">
      <c r="A229" s="994" t="s">
        <v>1391</v>
      </c>
      <c r="B229" s="988" t="s">
        <v>1281</v>
      </c>
      <c r="C229" s="988">
        <v>5310</v>
      </c>
      <c r="D229" s="988">
        <v>5270</v>
      </c>
      <c r="E229" s="988">
        <v>5510</v>
      </c>
      <c r="F229" s="1014"/>
      <c r="H229" s="1010"/>
    </row>
    <row r="230" spans="1:8" s="982" customFormat="1" ht="14.25" customHeight="1" thickBot="1">
      <c r="A230" s="994" t="s">
        <v>1391</v>
      </c>
      <c r="B230" s="988" t="s">
        <v>1288</v>
      </c>
      <c r="C230" s="988">
        <v>4540</v>
      </c>
      <c r="D230" s="988">
        <v>4500</v>
      </c>
      <c r="E230" s="988">
        <v>4730</v>
      </c>
      <c r="F230" s="1014"/>
      <c r="H230" s="1010"/>
    </row>
    <row r="231" spans="1:8" s="982" customFormat="1" ht="14.25" customHeight="1" thickBot="1">
      <c r="A231" s="994" t="s">
        <v>1391</v>
      </c>
      <c r="B231" s="988" t="s">
        <v>1295</v>
      </c>
      <c r="C231" s="988">
        <v>4480</v>
      </c>
      <c r="D231" s="988">
        <v>4410</v>
      </c>
      <c r="E231" s="988">
        <v>4640</v>
      </c>
      <c r="F231" s="1014"/>
      <c r="H231" s="1010"/>
    </row>
    <row r="232" spans="1:8" s="982" customFormat="1" ht="14.25" customHeight="1" thickBot="1">
      <c r="A232" s="994" t="s">
        <v>1391</v>
      </c>
      <c r="B232" s="988" t="s">
        <v>1302</v>
      </c>
      <c r="C232" s="988">
        <v>5670</v>
      </c>
      <c r="D232" s="988">
        <v>5600</v>
      </c>
      <c r="E232" s="988">
        <v>5890</v>
      </c>
      <c r="F232" s="1006">
        <v>1150</v>
      </c>
      <c r="H232" s="1010"/>
    </row>
    <row r="233" spans="1:8" s="982" customFormat="1" ht="14.25" customHeight="1" thickBot="1">
      <c r="A233" s="994" t="s">
        <v>1391</v>
      </c>
      <c r="B233" s="988" t="s">
        <v>1309</v>
      </c>
      <c r="C233" s="988">
        <v>4590</v>
      </c>
      <c r="D233" s="988">
        <v>4500</v>
      </c>
      <c r="E233" s="988">
        <v>4600</v>
      </c>
      <c r="F233" s="1014"/>
      <c r="H233" s="1010"/>
    </row>
    <row r="234" spans="1:8" s="982" customFormat="1" ht="14.25" customHeight="1" thickBot="1">
      <c r="A234" s="994" t="s">
        <v>1391</v>
      </c>
      <c r="B234" s="988" t="s">
        <v>2209</v>
      </c>
      <c r="C234" s="988">
        <v>3990</v>
      </c>
      <c r="D234" s="988">
        <v>3950</v>
      </c>
      <c r="E234" s="988">
        <v>4180</v>
      </c>
      <c r="F234" s="1014"/>
      <c r="H234" s="1010"/>
    </row>
    <row r="235" spans="1:8" s="982" customFormat="1" ht="14.25" customHeight="1" thickBot="1">
      <c r="A235" s="994" t="s">
        <v>1391</v>
      </c>
      <c r="B235" s="988" t="s">
        <v>1318</v>
      </c>
      <c r="C235" s="988">
        <v>5590</v>
      </c>
      <c r="D235" s="988">
        <v>5540</v>
      </c>
      <c r="E235" s="988">
        <v>5810</v>
      </c>
      <c r="F235" s="1006">
        <v>970</v>
      </c>
      <c r="H235" s="1010"/>
    </row>
    <row r="236" spans="1:8" s="982" customFormat="1" ht="14.25" customHeight="1" thickBot="1">
      <c r="A236" s="994" t="s">
        <v>1391</v>
      </c>
      <c r="B236" s="988" t="s">
        <v>1323</v>
      </c>
      <c r="C236" s="988"/>
      <c r="D236" s="988"/>
      <c r="E236" s="988"/>
      <c r="F236" s="1006">
        <v>1020</v>
      </c>
      <c r="H236" s="1010"/>
    </row>
    <row r="237" spans="1:8" s="982" customFormat="1" ht="14.25" customHeight="1" thickBot="1">
      <c r="A237" s="994" t="s">
        <v>1391</v>
      </c>
      <c r="B237" s="988" t="s">
        <v>1328</v>
      </c>
      <c r="C237" s="988"/>
      <c r="D237" s="988"/>
      <c r="E237" s="988"/>
      <c r="F237" s="1006">
        <v>960</v>
      </c>
      <c r="H237" s="1010"/>
    </row>
    <row r="238" spans="1:8" s="982" customFormat="1" ht="14.25" customHeight="1" thickBot="1">
      <c r="A238" s="994" t="s">
        <v>1391</v>
      </c>
      <c r="B238" s="988" t="s">
        <v>1333</v>
      </c>
      <c r="C238" s="988"/>
      <c r="D238" s="988"/>
      <c r="E238" s="988"/>
      <c r="F238" s="1006">
        <v>960</v>
      </c>
      <c r="H238" s="1010"/>
    </row>
    <row r="239" spans="1:8" s="982" customFormat="1" ht="14.25" customHeight="1" thickBot="1">
      <c r="A239" s="994" t="s">
        <v>1391</v>
      </c>
      <c r="B239" s="988" t="s">
        <v>1338</v>
      </c>
      <c r="C239" s="988"/>
      <c r="D239" s="988"/>
      <c r="E239" s="988"/>
      <c r="F239" s="1006">
        <v>960</v>
      </c>
      <c r="H239" s="1010"/>
    </row>
    <row r="240" spans="1:8" s="982" customFormat="1" ht="14.25" customHeight="1" thickBot="1">
      <c r="A240" s="994" t="s">
        <v>1391</v>
      </c>
      <c r="B240" s="988" t="s">
        <v>1342</v>
      </c>
      <c r="C240" s="988"/>
      <c r="D240" s="988"/>
      <c r="E240" s="988"/>
      <c r="F240" s="1006">
        <v>990</v>
      </c>
      <c r="H240" s="1010"/>
    </row>
    <row r="241" spans="1:8" s="982" customFormat="1" ht="14.25" customHeight="1" thickBot="1">
      <c r="A241" s="994" t="s">
        <v>1391</v>
      </c>
      <c r="B241" s="988" t="s">
        <v>1346</v>
      </c>
      <c r="C241" s="988"/>
      <c r="D241" s="988"/>
      <c r="E241" s="988"/>
      <c r="F241" s="1006">
        <v>1000</v>
      </c>
      <c r="H241" s="1010"/>
    </row>
    <row r="242" spans="1:8" s="982" customFormat="1" ht="14.25" customHeight="1" thickBot="1">
      <c r="A242" s="994" t="s">
        <v>1391</v>
      </c>
      <c r="B242" s="988" t="s">
        <v>1350</v>
      </c>
      <c r="C242" s="988"/>
      <c r="D242" s="988"/>
      <c r="E242" s="988"/>
      <c r="F242" s="1006">
        <v>980</v>
      </c>
      <c r="H242" s="1010"/>
    </row>
    <row r="243" spans="1:8" s="982" customFormat="1" ht="14.25" customHeight="1" thickBot="1">
      <c r="A243" s="994" t="s">
        <v>1391</v>
      </c>
      <c r="B243" s="988" t="s">
        <v>1354</v>
      </c>
      <c r="C243" s="988"/>
      <c r="D243" s="988"/>
      <c r="E243" s="988"/>
      <c r="F243" s="1006">
        <v>970</v>
      </c>
      <c r="H243" s="1010"/>
    </row>
    <row r="244" spans="1:8" s="982" customFormat="1" ht="14.25" customHeight="1" thickBot="1">
      <c r="A244" s="994" t="s">
        <v>1391</v>
      </c>
      <c r="B244" s="1004" t="s">
        <v>1358</v>
      </c>
      <c r="C244" s="1004"/>
      <c r="D244" s="1004"/>
      <c r="E244" s="1004"/>
      <c r="F244" s="1013">
        <v>970</v>
      </c>
      <c r="H244" s="1010"/>
    </row>
    <row r="245" spans="1:8" s="982" customFormat="1" ht="14.25" customHeight="1" thickBot="1">
      <c r="A245" s="994" t="s">
        <v>1393</v>
      </c>
      <c r="B245" s="995" t="s">
        <v>1394</v>
      </c>
      <c r="C245" s="995">
        <v>4050</v>
      </c>
      <c r="D245" s="995">
        <v>4020</v>
      </c>
      <c r="E245" s="995">
        <v>4160</v>
      </c>
      <c r="F245" s="996">
        <v>840</v>
      </c>
      <c r="H245" s="1010"/>
    </row>
    <row r="246" spans="1:8" s="982" customFormat="1" ht="14.25" customHeight="1" thickBot="1">
      <c r="A246" s="994" t="s">
        <v>1393</v>
      </c>
      <c r="B246" s="988" t="s">
        <v>1056</v>
      </c>
      <c r="C246" s="988">
        <v>4010</v>
      </c>
      <c r="D246" s="988">
        <v>3960</v>
      </c>
      <c r="E246" s="988">
        <v>4130</v>
      </c>
      <c r="F246" s="1006">
        <v>840</v>
      </c>
      <c r="H246" s="1010"/>
    </row>
    <row r="247" spans="1:8" s="982" customFormat="1" ht="14.25" customHeight="1" thickBot="1">
      <c r="A247" s="994" t="s">
        <v>1393</v>
      </c>
      <c r="B247" s="988" t="s">
        <v>1395</v>
      </c>
      <c r="C247" s="988">
        <v>3170</v>
      </c>
      <c r="D247" s="988">
        <v>3140</v>
      </c>
      <c r="E247" s="988">
        <v>3270</v>
      </c>
      <c r="F247" s="1006">
        <v>640</v>
      </c>
      <c r="H247" s="1010"/>
    </row>
    <row r="248" spans="1:8" s="982" customFormat="1" ht="14.25" customHeight="1" thickBot="1">
      <c r="A248" s="994" t="s">
        <v>1393</v>
      </c>
      <c r="B248" s="988" t="s">
        <v>1396</v>
      </c>
      <c r="C248" s="988">
        <v>3140</v>
      </c>
      <c r="D248" s="988">
        <v>3120</v>
      </c>
      <c r="E248" s="988">
        <v>3240</v>
      </c>
      <c r="F248" s="1006">
        <v>620</v>
      </c>
      <c r="H248" s="1010"/>
    </row>
    <row r="249" spans="1:8" s="982" customFormat="1" ht="14.25" customHeight="1" thickBot="1">
      <c r="A249" s="994" t="s">
        <v>1393</v>
      </c>
      <c r="B249" s="988" t="s">
        <v>1097</v>
      </c>
      <c r="C249" s="988">
        <v>3200</v>
      </c>
      <c r="D249" s="988">
        <v>3100</v>
      </c>
      <c r="E249" s="988">
        <v>3230</v>
      </c>
      <c r="F249" s="1006">
        <v>750</v>
      </c>
      <c r="H249" s="1010"/>
    </row>
    <row r="250" spans="1:8" s="982" customFormat="1" ht="14.25" customHeight="1" thickBot="1">
      <c r="A250" s="994" t="s">
        <v>1393</v>
      </c>
      <c r="B250" s="988" t="s">
        <v>1108</v>
      </c>
      <c r="C250" s="988">
        <v>4060</v>
      </c>
      <c r="D250" s="988">
        <v>4000</v>
      </c>
      <c r="E250" s="988">
        <v>4140</v>
      </c>
      <c r="F250" s="1006">
        <v>790</v>
      </c>
      <c r="H250" s="1010"/>
    </row>
    <row r="251" spans="1:8" s="982" customFormat="1" ht="14.25" customHeight="1" thickBot="1">
      <c r="A251" s="994" t="s">
        <v>1393</v>
      </c>
      <c r="B251" s="988" t="s">
        <v>1119</v>
      </c>
      <c r="C251" s="988">
        <v>3990</v>
      </c>
      <c r="D251" s="988">
        <v>3970</v>
      </c>
      <c r="E251" s="988">
        <v>4110</v>
      </c>
      <c r="F251" s="1006">
        <v>730</v>
      </c>
      <c r="H251" s="1010"/>
    </row>
    <row r="252" spans="1:8" s="982" customFormat="1" ht="14.25" customHeight="1" thickBot="1">
      <c r="A252" s="994" t="s">
        <v>1393</v>
      </c>
      <c r="B252" s="988" t="s">
        <v>1130</v>
      </c>
      <c r="C252" s="988">
        <v>3560</v>
      </c>
      <c r="D252" s="988">
        <v>3530</v>
      </c>
      <c r="E252" s="988">
        <v>3650</v>
      </c>
      <c r="F252" s="1006">
        <v>750</v>
      </c>
      <c r="H252" s="1010"/>
    </row>
    <row r="253" spans="1:8" s="982" customFormat="1" ht="14.25" customHeight="1" thickBot="1">
      <c r="A253" s="994" t="s">
        <v>1393</v>
      </c>
      <c r="B253" s="988" t="s">
        <v>1142</v>
      </c>
      <c r="C253" s="988">
        <v>3780</v>
      </c>
      <c r="D253" s="988">
        <v>3750</v>
      </c>
      <c r="E253" s="988">
        <v>3870</v>
      </c>
      <c r="F253" s="1006">
        <v>770</v>
      </c>
      <c r="H253" s="1010"/>
    </row>
    <row r="254" spans="1:8" s="982" customFormat="1" ht="14.25" customHeight="1" thickBot="1">
      <c r="A254" s="994" t="s">
        <v>1393</v>
      </c>
      <c r="B254" s="988" t="s">
        <v>1152</v>
      </c>
      <c r="C254" s="1015"/>
      <c r="D254" s="1015"/>
      <c r="E254" s="1015"/>
      <c r="F254" s="1006">
        <v>740</v>
      </c>
      <c r="H254" s="1010"/>
    </row>
    <row r="255" spans="1:8" s="982" customFormat="1" ht="14.25" customHeight="1" thickBot="1">
      <c r="A255" s="994" t="s">
        <v>1393</v>
      </c>
      <c r="B255" s="988" t="s">
        <v>1162</v>
      </c>
      <c r="C255" s="1015"/>
      <c r="D255" s="1015"/>
      <c r="E255" s="1015"/>
      <c r="F255" s="1006">
        <v>760</v>
      </c>
      <c r="H255" s="1010"/>
    </row>
    <row r="256" spans="1:8" s="982" customFormat="1" ht="14.25" customHeight="1" thickBot="1">
      <c r="A256" s="994" t="s">
        <v>1393</v>
      </c>
      <c r="B256" s="988" t="s">
        <v>1172</v>
      </c>
      <c r="C256" s="988">
        <v>3760</v>
      </c>
      <c r="D256" s="988">
        <v>3730</v>
      </c>
      <c r="E256" s="988">
        <v>3870</v>
      </c>
      <c r="F256" s="1006">
        <v>830</v>
      </c>
      <c r="H256" s="1010"/>
    </row>
    <row r="257" spans="1:8" s="982" customFormat="1" ht="14.25" customHeight="1" thickBot="1">
      <c r="A257" s="994" t="s">
        <v>1393</v>
      </c>
      <c r="B257" s="988" t="s">
        <v>1182</v>
      </c>
      <c r="C257" s="988">
        <v>3570</v>
      </c>
      <c r="D257" s="988">
        <v>3540</v>
      </c>
      <c r="E257" s="988">
        <v>3650</v>
      </c>
      <c r="F257" s="1006">
        <v>790</v>
      </c>
      <c r="H257" s="1010"/>
    </row>
    <row r="258" spans="1:8" s="982" customFormat="1" ht="14.25" customHeight="1" thickBot="1">
      <c r="A258" s="994" t="s">
        <v>1393</v>
      </c>
      <c r="B258" s="988" t="s">
        <v>1192</v>
      </c>
      <c r="C258" s="988">
        <v>3410</v>
      </c>
      <c r="D258" s="988">
        <v>3380</v>
      </c>
      <c r="E258" s="988">
        <v>3500</v>
      </c>
      <c r="F258" s="1006">
        <v>830</v>
      </c>
      <c r="H258" s="1010"/>
    </row>
    <row r="259" spans="1:8" s="982" customFormat="1" ht="14.25" customHeight="1" thickBot="1">
      <c r="A259" s="994" t="s">
        <v>1393</v>
      </c>
      <c r="B259" s="988" t="s">
        <v>1202</v>
      </c>
      <c r="C259" s="988">
        <v>3870</v>
      </c>
      <c r="D259" s="988">
        <v>3840</v>
      </c>
      <c r="E259" s="988">
        <v>3970</v>
      </c>
      <c r="F259" s="1006">
        <v>830</v>
      </c>
      <c r="H259" s="1010"/>
    </row>
    <row r="260" spans="1:8" s="982" customFormat="1" ht="14.25" customHeight="1" thickBot="1">
      <c r="A260" s="994" t="s">
        <v>1393</v>
      </c>
      <c r="B260" s="988" t="s">
        <v>1212</v>
      </c>
      <c r="C260" s="988">
        <v>3700</v>
      </c>
      <c r="D260" s="988">
        <v>3660</v>
      </c>
      <c r="E260" s="988">
        <v>3810</v>
      </c>
      <c r="F260" s="1006">
        <v>790</v>
      </c>
      <c r="H260" s="1010"/>
    </row>
    <row r="261" spans="1:8" s="982" customFormat="1" ht="14.25" customHeight="1" thickBot="1">
      <c r="A261" s="994" t="s">
        <v>1393</v>
      </c>
      <c r="B261" s="988" t="s">
        <v>1222</v>
      </c>
      <c r="C261" s="988">
        <v>3470</v>
      </c>
      <c r="D261" s="988">
        <v>3430</v>
      </c>
      <c r="E261" s="988">
        <v>3640</v>
      </c>
      <c r="F261" s="1006">
        <v>760</v>
      </c>
      <c r="H261" s="1010"/>
    </row>
    <row r="262" spans="1:8" s="982" customFormat="1" ht="14.25" customHeight="1" thickBot="1">
      <c r="A262" s="994" t="s">
        <v>1393</v>
      </c>
      <c r="B262" s="988" t="s">
        <v>1232</v>
      </c>
      <c r="C262" s="988">
        <v>3510</v>
      </c>
      <c r="D262" s="988">
        <v>3470</v>
      </c>
      <c r="E262" s="988">
        <v>3680</v>
      </c>
      <c r="F262" s="1014"/>
      <c r="H262" s="1010"/>
    </row>
    <row r="263" spans="1:8" s="982" customFormat="1" ht="14.25" customHeight="1" thickBot="1">
      <c r="A263" s="994" t="s">
        <v>1393</v>
      </c>
      <c r="B263" s="988" t="s">
        <v>1242</v>
      </c>
      <c r="C263" s="988">
        <v>3960</v>
      </c>
      <c r="D263" s="988">
        <v>3930</v>
      </c>
      <c r="E263" s="988">
        <v>4070</v>
      </c>
      <c r="F263" s="1006">
        <v>830</v>
      </c>
      <c r="H263" s="1010"/>
    </row>
    <row r="264" spans="1:8" s="982" customFormat="1" ht="14.25" customHeight="1" thickBot="1">
      <c r="A264" s="994" t="s">
        <v>1393</v>
      </c>
      <c r="B264" s="988" t="s">
        <v>1251</v>
      </c>
      <c r="C264" s="988">
        <v>4010</v>
      </c>
      <c r="D264" s="988">
        <v>3980</v>
      </c>
      <c r="E264" s="988">
        <v>4150</v>
      </c>
      <c r="F264" s="1006">
        <v>760</v>
      </c>
      <c r="H264" s="1010"/>
    </row>
    <row r="265" spans="1:8" s="982" customFormat="1" ht="14.25" customHeight="1" thickBot="1">
      <c r="A265" s="994" t="s">
        <v>1393</v>
      </c>
      <c r="B265" s="988" t="s">
        <v>1260</v>
      </c>
      <c r="C265" s="988">
        <v>3910</v>
      </c>
      <c r="D265" s="988">
        <v>3890</v>
      </c>
      <c r="E265" s="988">
        <v>4040</v>
      </c>
      <c r="F265" s="1006">
        <v>780</v>
      </c>
      <c r="H265" s="1010"/>
    </row>
    <row r="266" spans="1:8" s="982" customFormat="1" ht="14.25" customHeight="1" thickBot="1">
      <c r="A266" s="994" t="s">
        <v>1393</v>
      </c>
      <c r="B266" s="988" t="s">
        <v>1268</v>
      </c>
      <c r="C266" s="988">
        <v>3930</v>
      </c>
      <c r="D266" s="988">
        <v>3900</v>
      </c>
      <c r="E266" s="988">
        <v>4080</v>
      </c>
      <c r="F266" s="1006">
        <v>770</v>
      </c>
      <c r="H266" s="1010"/>
    </row>
    <row r="267" spans="1:8" s="982" customFormat="1" ht="14.25" customHeight="1" thickBot="1">
      <c r="A267" s="994" t="s">
        <v>1393</v>
      </c>
      <c r="B267" s="988" t="s">
        <v>1275</v>
      </c>
      <c r="C267" s="988">
        <v>3800</v>
      </c>
      <c r="D267" s="988">
        <v>3780</v>
      </c>
      <c r="E267" s="988">
        <v>3930</v>
      </c>
      <c r="F267" s="1014"/>
      <c r="H267" s="1010"/>
    </row>
    <row r="268" spans="1:8" s="982" customFormat="1" ht="14.25" customHeight="1" thickBot="1">
      <c r="A268" s="994" t="s">
        <v>1393</v>
      </c>
      <c r="B268" s="988" t="s">
        <v>1282</v>
      </c>
      <c r="C268" s="988">
        <v>3460</v>
      </c>
      <c r="D268" s="988">
        <v>3430</v>
      </c>
      <c r="E268" s="988">
        <v>3560</v>
      </c>
      <c r="F268" s="1006">
        <v>840</v>
      </c>
      <c r="H268" s="1010"/>
    </row>
    <row r="269" spans="1:8" s="982" customFormat="1" ht="14.25" customHeight="1" thickBot="1">
      <c r="A269" s="994" t="s">
        <v>1393</v>
      </c>
      <c r="B269" s="988" t="s">
        <v>1289</v>
      </c>
      <c r="C269" s="988">
        <v>3210</v>
      </c>
      <c r="D269" s="988">
        <v>3190</v>
      </c>
      <c r="E269" s="988">
        <v>3310</v>
      </c>
      <c r="F269" s="1006">
        <v>730</v>
      </c>
      <c r="H269" s="1010"/>
    </row>
    <row r="270" spans="1:8" s="982" customFormat="1" ht="14.25" customHeight="1" thickBot="1">
      <c r="A270" s="994" t="s">
        <v>1393</v>
      </c>
      <c r="B270" s="988" t="s">
        <v>1296</v>
      </c>
      <c r="C270" s="988">
        <v>3240</v>
      </c>
      <c r="D270" s="988">
        <v>3210</v>
      </c>
      <c r="E270" s="988">
        <v>3390</v>
      </c>
      <c r="F270" s="1006">
        <v>820</v>
      </c>
      <c r="H270" s="1010"/>
    </row>
    <row r="271" spans="1:8" s="982" customFormat="1" ht="14.25" customHeight="1" thickBot="1">
      <c r="A271" s="994" t="s">
        <v>1393</v>
      </c>
      <c r="B271" s="988" t="s">
        <v>1303</v>
      </c>
      <c r="C271" s="988">
        <v>3300</v>
      </c>
      <c r="D271" s="988">
        <v>3270</v>
      </c>
      <c r="E271" s="988">
        <v>3380</v>
      </c>
      <c r="F271" s="1006">
        <v>750</v>
      </c>
      <c r="H271" s="1010"/>
    </row>
    <row r="272" spans="1:8" s="982" customFormat="1" ht="14.25" customHeight="1" thickBot="1">
      <c r="A272" s="994" t="s">
        <v>1393</v>
      </c>
      <c r="B272" s="988" t="s">
        <v>1310</v>
      </c>
      <c r="C272" s="1015"/>
      <c r="D272" s="1015"/>
      <c r="E272" s="1015"/>
      <c r="F272" s="1006">
        <v>740</v>
      </c>
      <c r="H272" s="1010"/>
    </row>
    <row r="273" spans="1:8" s="982" customFormat="1" ht="14.25" customHeight="1" thickBot="1">
      <c r="A273" s="994" t="s">
        <v>1393</v>
      </c>
      <c r="B273" s="988" t="s">
        <v>1314</v>
      </c>
      <c r="C273" s="988">
        <v>3130</v>
      </c>
      <c r="D273" s="988">
        <v>3100</v>
      </c>
      <c r="E273" s="988">
        <v>3230</v>
      </c>
      <c r="F273" s="1006">
        <v>700</v>
      </c>
      <c r="H273" s="1010"/>
    </row>
    <row r="274" spans="1:8" s="982" customFormat="1" ht="14.25" customHeight="1" thickBot="1">
      <c r="A274" s="994" t="s">
        <v>1393</v>
      </c>
      <c r="B274" s="988" t="s">
        <v>1319</v>
      </c>
      <c r="C274" s="988">
        <v>3460</v>
      </c>
      <c r="D274" s="988">
        <v>3430</v>
      </c>
      <c r="E274" s="988">
        <v>3560</v>
      </c>
      <c r="F274" s="1006">
        <v>690</v>
      </c>
      <c r="H274" s="1010"/>
    </row>
    <row r="275" spans="1:8" s="982" customFormat="1" ht="14.25" customHeight="1" thickBot="1">
      <c r="A275" s="994" t="s">
        <v>1393</v>
      </c>
      <c r="B275" s="988" t="s">
        <v>1324</v>
      </c>
      <c r="C275" s="988">
        <v>4040</v>
      </c>
      <c r="D275" s="988">
        <v>4020</v>
      </c>
      <c r="E275" s="988">
        <v>4160</v>
      </c>
      <c r="F275" s="1006">
        <v>820</v>
      </c>
      <c r="H275" s="1010"/>
    </row>
    <row r="276" spans="1:8" s="982" customFormat="1" ht="14.25" customHeight="1" thickBot="1">
      <c r="A276" s="994" t="s">
        <v>1393</v>
      </c>
      <c r="B276" s="988" t="s">
        <v>1329</v>
      </c>
      <c r="C276" s="988">
        <v>3270</v>
      </c>
      <c r="D276" s="988">
        <v>3240</v>
      </c>
      <c r="E276" s="988">
        <v>3350</v>
      </c>
      <c r="F276" s="1006">
        <v>680</v>
      </c>
      <c r="H276" s="1010"/>
    </row>
    <row r="277" spans="1:8" s="982" customFormat="1" ht="14.25" customHeight="1" thickBot="1">
      <c r="A277" s="994" t="s">
        <v>1393</v>
      </c>
      <c r="B277" s="988" t="s">
        <v>1334</v>
      </c>
      <c r="C277" s="988">
        <v>2930</v>
      </c>
      <c r="D277" s="988">
        <v>2900</v>
      </c>
      <c r="E277" s="988">
        <v>3000</v>
      </c>
      <c r="F277" s="1006">
        <v>640</v>
      </c>
      <c r="H277" s="1010"/>
    </row>
    <row r="278" spans="1:8" s="982" customFormat="1" ht="14.25" customHeight="1" thickBot="1">
      <c r="A278" s="994" t="s">
        <v>1393</v>
      </c>
      <c r="B278" s="988" t="s">
        <v>1339</v>
      </c>
      <c r="C278" s="988">
        <v>4080</v>
      </c>
      <c r="D278" s="988">
        <v>4030</v>
      </c>
      <c r="E278" s="988">
        <v>4140</v>
      </c>
      <c r="F278" s="1006">
        <v>850</v>
      </c>
      <c r="H278" s="1010"/>
    </row>
    <row r="279" spans="1:8" s="982" customFormat="1" ht="14.25" customHeight="1" thickBot="1">
      <c r="A279" s="994" t="s">
        <v>1393</v>
      </c>
      <c r="B279" s="988" t="s">
        <v>1343</v>
      </c>
      <c r="C279" s="988"/>
      <c r="D279" s="988"/>
      <c r="E279" s="988"/>
      <c r="F279" s="1006">
        <v>760</v>
      </c>
      <c r="H279" s="1010"/>
    </row>
    <row r="280" spans="1:8" s="982" customFormat="1" ht="14.25" customHeight="1" thickBot="1">
      <c r="A280" s="994" t="s">
        <v>1393</v>
      </c>
      <c r="B280" s="988" t="s">
        <v>1347</v>
      </c>
      <c r="C280" s="988"/>
      <c r="D280" s="988"/>
      <c r="E280" s="988"/>
      <c r="F280" s="1006">
        <v>760</v>
      </c>
      <c r="H280" s="1010"/>
    </row>
    <row r="281" spans="1:8" s="982" customFormat="1" ht="14.25" customHeight="1" thickBot="1">
      <c r="A281" s="994" t="s">
        <v>1393</v>
      </c>
      <c r="B281" s="988" t="s">
        <v>1351</v>
      </c>
      <c r="C281" s="988"/>
      <c r="D281" s="988"/>
      <c r="E281" s="988"/>
      <c r="F281" s="1006">
        <v>780</v>
      </c>
      <c r="H281" s="1010"/>
    </row>
    <row r="282" spans="1:8" s="982" customFormat="1" ht="14.25" customHeight="1" thickBot="1">
      <c r="A282" s="994" t="s">
        <v>1393</v>
      </c>
      <c r="B282" s="988" t="s">
        <v>1355</v>
      </c>
      <c r="C282" s="988"/>
      <c r="D282" s="988"/>
      <c r="E282" s="988"/>
      <c r="F282" s="1006">
        <v>730</v>
      </c>
      <c r="H282" s="1010"/>
    </row>
    <row r="283" spans="1:8" s="982" customFormat="1" ht="14.25" customHeight="1" thickBot="1">
      <c r="A283" s="994" t="s">
        <v>1393</v>
      </c>
      <c r="B283" s="988" t="s">
        <v>1359</v>
      </c>
      <c r="C283" s="988"/>
      <c r="D283" s="988"/>
      <c r="E283" s="988"/>
      <c r="F283" s="1006">
        <v>770</v>
      </c>
      <c r="H283" s="1010"/>
    </row>
    <row r="284" spans="1:8" s="982" customFormat="1" ht="14.25" customHeight="1" thickBot="1">
      <c r="A284" s="994" t="s">
        <v>1393</v>
      </c>
      <c r="B284" s="988" t="s">
        <v>1362</v>
      </c>
      <c r="C284" s="988"/>
      <c r="D284" s="988"/>
      <c r="E284" s="988"/>
      <c r="F284" s="1006">
        <v>640</v>
      </c>
      <c r="H284" s="1010"/>
    </row>
    <row r="285" spans="1:8" s="982" customFormat="1" ht="14.25" customHeight="1" thickBot="1">
      <c r="A285" s="994" t="s">
        <v>1393</v>
      </c>
      <c r="B285" s="988" t="s">
        <v>1365</v>
      </c>
      <c r="C285" s="988"/>
      <c r="D285" s="988"/>
      <c r="E285" s="988"/>
      <c r="F285" s="1006">
        <v>640</v>
      </c>
      <c r="H285" s="1010"/>
    </row>
    <row r="286" spans="1:8" s="982" customFormat="1" ht="14.25" customHeight="1" thickBot="1">
      <c r="A286" s="994" t="s">
        <v>1393</v>
      </c>
      <c r="B286" s="988" t="s">
        <v>1368</v>
      </c>
      <c r="C286" s="988"/>
      <c r="D286" s="988"/>
      <c r="E286" s="988"/>
      <c r="F286" s="1006">
        <v>850</v>
      </c>
      <c r="H286" s="1010"/>
    </row>
    <row r="287" spans="1:8" s="982" customFormat="1" ht="14.25" customHeight="1" thickBot="1">
      <c r="A287" s="994" t="s">
        <v>1393</v>
      </c>
      <c r="B287" s="988" t="s">
        <v>1371</v>
      </c>
      <c r="C287" s="988"/>
      <c r="D287" s="988"/>
      <c r="E287" s="988"/>
      <c r="F287" s="1006">
        <v>760</v>
      </c>
      <c r="H287" s="1010"/>
    </row>
    <row r="288" spans="1:8" s="982" customFormat="1" ht="14.25" customHeight="1" thickBot="1">
      <c r="A288" s="994" t="s">
        <v>1393</v>
      </c>
      <c r="B288" s="988" t="s">
        <v>1374</v>
      </c>
      <c r="C288" s="988"/>
      <c r="D288" s="988"/>
      <c r="E288" s="988"/>
      <c r="F288" s="1006">
        <v>830</v>
      </c>
      <c r="H288" s="1010"/>
    </row>
    <row r="289" spans="1:8" s="982" customFormat="1" ht="14.25" customHeight="1" thickBot="1">
      <c r="A289" s="994" t="s">
        <v>1393</v>
      </c>
      <c r="B289" s="1004" t="s">
        <v>1377</v>
      </c>
      <c r="C289" s="1004"/>
      <c r="D289" s="1004"/>
      <c r="E289" s="1004"/>
      <c r="F289" s="1013">
        <v>680</v>
      </c>
      <c r="H289" s="1010"/>
    </row>
    <row r="290" spans="1:8" s="982" customFormat="1" ht="14.25" customHeight="1" thickBot="1">
      <c r="A290" s="994" t="s">
        <v>1397</v>
      </c>
      <c r="B290" s="995" t="s">
        <v>1398</v>
      </c>
      <c r="C290" s="995">
        <v>2770</v>
      </c>
      <c r="D290" s="995">
        <v>2740</v>
      </c>
      <c r="E290" s="995">
        <v>2720</v>
      </c>
      <c r="F290" s="1016"/>
      <c r="H290" s="1010"/>
    </row>
    <row r="291" spans="1:8" s="982" customFormat="1" ht="14.25" customHeight="1" thickBot="1">
      <c r="A291" s="994" t="s">
        <v>1397</v>
      </c>
      <c r="B291" s="988" t="s">
        <v>1057</v>
      </c>
      <c r="C291" s="988">
        <v>2670</v>
      </c>
      <c r="D291" s="988">
        <v>2640</v>
      </c>
      <c r="E291" s="988">
        <v>2620</v>
      </c>
      <c r="F291" s="1014"/>
      <c r="H291" s="1010"/>
    </row>
    <row r="292" spans="1:8" s="982" customFormat="1" ht="14.25" customHeight="1" thickBot="1">
      <c r="A292" s="994" t="s">
        <v>1397</v>
      </c>
      <c r="B292" s="988" t="s">
        <v>1399</v>
      </c>
      <c r="C292" s="988">
        <v>2180</v>
      </c>
      <c r="D292" s="988">
        <v>2140</v>
      </c>
      <c r="E292" s="988">
        <v>2120</v>
      </c>
      <c r="F292" s="1006">
        <v>490</v>
      </c>
      <c r="H292" s="1010"/>
    </row>
    <row r="293" spans="1:8" s="982" customFormat="1" ht="14.25" customHeight="1" thickBot="1">
      <c r="A293" s="994" t="s">
        <v>1397</v>
      </c>
      <c r="B293" s="988" t="s">
        <v>1400</v>
      </c>
      <c r="C293" s="988"/>
      <c r="D293" s="988"/>
      <c r="E293" s="988"/>
      <c r="F293" s="1006">
        <v>470</v>
      </c>
      <c r="H293" s="1010"/>
    </row>
    <row r="294" spans="1:8" s="982" customFormat="1" ht="14.25" customHeight="1" thickBot="1">
      <c r="A294" s="994" t="s">
        <v>1397</v>
      </c>
      <c r="B294" s="988" t="s">
        <v>1401</v>
      </c>
      <c r="C294" s="988">
        <v>2730</v>
      </c>
      <c r="D294" s="988">
        <v>2700</v>
      </c>
      <c r="E294" s="988">
        <v>2680</v>
      </c>
      <c r="F294" s="1006">
        <v>490</v>
      </c>
      <c r="H294" s="1010"/>
    </row>
    <row r="295" spans="1:8" s="982" customFormat="1" ht="14.25" customHeight="1" thickBot="1">
      <c r="A295" s="994" t="s">
        <v>1397</v>
      </c>
      <c r="B295" s="988" t="s">
        <v>1098</v>
      </c>
      <c r="C295" s="988">
        <v>2380</v>
      </c>
      <c r="D295" s="988">
        <v>2350</v>
      </c>
      <c r="E295" s="988">
        <v>2330</v>
      </c>
      <c r="F295" s="1006">
        <v>530</v>
      </c>
      <c r="H295" s="1010"/>
    </row>
    <row r="296" spans="1:8" s="982" customFormat="1" ht="14.25" customHeight="1" thickBot="1">
      <c r="A296" s="994" t="s">
        <v>1397</v>
      </c>
      <c r="B296" s="988" t="s">
        <v>1109</v>
      </c>
      <c r="C296" s="988">
        <v>2650</v>
      </c>
      <c r="D296" s="988">
        <v>2620</v>
      </c>
      <c r="E296" s="988">
        <v>2590</v>
      </c>
      <c r="F296" s="1006">
        <v>590</v>
      </c>
      <c r="H296" s="1010"/>
    </row>
    <row r="297" spans="1:8" s="982" customFormat="1" ht="14.25" customHeight="1" thickBot="1">
      <c r="A297" s="994" t="s">
        <v>1397</v>
      </c>
      <c r="B297" s="988" t="s">
        <v>1120</v>
      </c>
      <c r="C297" s="988">
        <v>2700</v>
      </c>
      <c r="D297" s="988">
        <v>2670</v>
      </c>
      <c r="E297" s="988">
        <v>2650</v>
      </c>
      <c r="F297" s="1006">
        <v>630</v>
      </c>
      <c r="H297" s="1010"/>
    </row>
    <row r="298" spans="1:8" s="982" customFormat="1" ht="14.25" customHeight="1" thickBot="1">
      <c r="A298" s="994" t="s">
        <v>1397</v>
      </c>
      <c r="B298" s="988" t="s">
        <v>1131</v>
      </c>
      <c r="C298" s="988">
        <v>2650</v>
      </c>
      <c r="D298" s="988">
        <v>2620</v>
      </c>
      <c r="E298" s="988">
        <v>2590</v>
      </c>
      <c r="F298" s="1006">
        <v>640</v>
      </c>
      <c r="H298" s="1010"/>
    </row>
    <row r="299" spans="1:8" s="982" customFormat="1" ht="14.25" customHeight="1" thickBot="1">
      <c r="A299" s="994" t="s">
        <v>1397</v>
      </c>
      <c r="B299" s="988" t="s">
        <v>1143</v>
      </c>
      <c r="C299" s="988">
        <v>2500</v>
      </c>
      <c r="D299" s="988">
        <v>2480</v>
      </c>
      <c r="E299" s="988">
        <v>2460</v>
      </c>
      <c r="F299" s="1014"/>
      <c r="H299" s="1010"/>
    </row>
    <row r="300" spans="1:8" s="982" customFormat="1" ht="14.25" customHeight="1" thickBot="1">
      <c r="A300" s="994" t="s">
        <v>1397</v>
      </c>
      <c r="B300" s="988" t="s">
        <v>1153</v>
      </c>
      <c r="C300" s="988">
        <v>2760</v>
      </c>
      <c r="D300" s="988">
        <v>2730</v>
      </c>
      <c r="E300" s="988">
        <v>2700</v>
      </c>
      <c r="F300" s="1006">
        <v>630</v>
      </c>
      <c r="H300" s="1010"/>
    </row>
    <row r="301" spans="1:8" s="982" customFormat="1" ht="14.25" customHeight="1" thickBot="1">
      <c r="A301" s="994" t="s">
        <v>1397</v>
      </c>
      <c r="B301" s="988" t="s">
        <v>1163</v>
      </c>
      <c r="C301" s="988">
        <v>2510</v>
      </c>
      <c r="D301" s="988">
        <v>2480</v>
      </c>
      <c r="E301" s="988">
        <v>2460</v>
      </c>
      <c r="F301" s="1014"/>
      <c r="H301" s="1010"/>
    </row>
    <row r="302" spans="1:8" s="982" customFormat="1" ht="14.25" customHeight="1" thickBot="1">
      <c r="A302" s="994" t="s">
        <v>1397</v>
      </c>
      <c r="B302" s="988" t="s">
        <v>1173</v>
      </c>
      <c r="C302" s="988">
        <v>2480</v>
      </c>
      <c r="D302" s="988">
        <v>2450</v>
      </c>
      <c r="E302" s="988">
        <v>2420</v>
      </c>
      <c r="F302" s="1006">
        <v>600</v>
      </c>
      <c r="H302" s="1010"/>
    </row>
    <row r="303" spans="1:8" s="982" customFormat="1" ht="14.25" customHeight="1" thickBot="1">
      <c r="A303" s="994" t="s">
        <v>1397</v>
      </c>
      <c r="B303" s="988" t="s">
        <v>1183</v>
      </c>
      <c r="C303" s="988">
        <v>2270</v>
      </c>
      <c r="D303" s="988">
        <v>2240</v>
      </c>
      <c r="E303" s="988">
        <v>2210</v>
      </c>
      <c r="F303" s="1006">
        <v>540</v>
      </c>
      <c r="H303" s="1010"/>
    </row>
    <row r="304" spans="1:8" s="982" customFormat="1" ht="14.25" customHeight="1" thickBot="1">
      <c r="A304" s="994" t="s">
        <v>1397</v>
      </c>
      <c r="B304" s="988" t="s">
        <v>1193</v>
      </c>
      <c r="C304" s="988">
        <v>2310</v>
      </c>
      <c r="D304" s="988">
        <v>2290</v>
      </c>
      <c r="E304" s="988">
        <v>2270</v>
      </c>
      <c r="F304" s="1014"/>
      <c r="H304" s="1010"/>
    </row>
    <row r="305" spans="1:8" s="982" customFormat="1" ht="14.25" customHeight="1" thickBot="1">
      <c r="A305" s="994" t="s">
        <v>1397</v>
      </c>
      <c r="B305" s="988" t="s">
        <v>1203</v>
      </c>
      <c r="C305" s="988">
        <v>2490</v>
      </c>
      <c r="D305" s="988">
        <v>2470</v>
      </c>
      <c r="E305" s="988">
        <v>2440</v>
      </c>
      <c r="F305" s="1006">
        <v>560</v>
      </c>
      <c r="H305" s="1010"/>
    </row>
    <row r="306" spans="1:8" s="982" customFormat="1" ht="14.25" customHeight="1" thickBot="1">
      <c r="A306" s="994" t="s">
        <v>1397</v>
      </c>
      <c r="B306" s="988" t="s">
        <v>1213</v>
      </c>
      <c r="C306" s="988">
        <v>2420</v>
      </c>
      <c r="D306" s="988">
        <v>2400</v>
      </c>
      <c r="E306" s="988">
        <v>2380</v>
      </c>
      <c r="F306" s="1014"/>
      <c r="H306" s="1010"/>
    </row>
    <row r="307" spans="1:8" s="982" customFormat="1" ht="14.25" customHeight="1" thickBot="1">
      <c r="A307" s="994" t="s">
        <v>1397</v>
      </c>
      <c r="B307" s="988" t="s">
        <v>1223</v>
      </c>
      <c r="C307" s="988">
        <v>2770</v>
      </c>
      <c r="D307" s="988">
        <v>2740</v>
      </c>
      <c r="E307" s="988">
        <v>2710</v>
      </c>
      <c r="F307" s="1006">
        <v>650</v>
      </c>
      <c r="H307" s="1010"/>
    </row>
    <row r="308" spans="1:8" s="982" customFormat="1" ht="14.25" customHeight="1" thickBot="1">
      <c r="A308" s="994" t="s">
        <v>1397</v>
      </c>
      <c r="B308" s="988" t="s">
        <v>1233</v>
      </c>
      <c r="C308" s="988">
        <v>2610</v>
      </c>
      <c r="D308" s="988">
        <v>2580</v>
      </c>
      <c r="E308" s="988">
        <v>2550</v>
      </c>
      <c r="F308" s="1006">
        <v>580</v>
      </c>
      <c r="H308" s="1010"/>
    </row>
    <row r="309" spans="1:8" s="982" customFormat="1" ht="14.25" customHeight="1" thickBot="1">
      <c r="A309" s="994" t="s">
        <v>1397</v>
      </c>
      <c r="B309" s="988" t="s">
        <v>1243</v>
      </c>
      <c r="C309" s="988">
        <v>2690</v>
      </c>
      <c r="D309" s="988">
        <v>2670</v>
      </c>
      <c r="E309" s="988">
        <v>2650</v>
      </c>
      <c r="F309" s="1014"/>
      <c r="H309" s="1010"/>
    </row>
    <row r="310" spans="1:8" s="982" customFormat="1" ht="14.25" customHeight="1" thickBot="1">
      <c r="A310" s="994" t="s">
        <v>1397</v>
      </c>
      <c r="B310" s="988" t="s">
        <v>1252</v>
      </c>
      <c r="C310" s="988">
        <v>2360</v>
      </c>
      <c r="D310" s="988">
        <v>2330</v>
      </c>
      <c r="E310" s="988">
        <v>2310</v>
      </c>
      <c r="F310" s="1006">
        <v>560</v>
      </c>
      <c r="H310" s="1010"/>
    </row>
    <row r="311" spans="1:8" s="982" customFormat="1" ht="14.25" customHeight="1" thickBot="1">
      <c r="A311" s="994" t="s">
        <v>1397</v>
      </c>
      <c r="B311" s="988" t="s">
        <v>1261</v>
      </c>
      <c r="C311" s="988">
        <v>1970</v>
      </c>
      <c r="D311" s="988">
        <v>1950</v>
      </c>
      <c r="E311" s="988">
        <v>1920</v>
      </c>
      <c r="F311" s="1006">
        <v>470</v>
      </c>
      <c r="H311" s="1010"/>
    </row>
    <row r="312" spans="1:8" s="982" customFormat="1" ht="14.25" customHeight="1" thickBot="1">
      <c r="A312" s="994" t="s">
        <v>1397</v>
      </c>
      <c r="B312" s="988" t="s">
        <v>1269</v>
      </c>
      <c r="C312" s="988">
        <v>2230</v>
      </c>
      <c r="D312" s="988">
        <v>2200</v>
      </c>
      <c r="E312" s="988">
        <v>2170</v>
      </c>
      <c r="F312" s="1006">
        <v>460</v>
      </c>
      <c r="H312" s="1010"/>
    </row>
    <row r="313" spans="1:8" s="982" customFormat="1" ht="14.25" customHeight="1" thickBot="1">
      <c r="A313" s="994" t="s">
        <v>1397</v>
      </c>
      <c r="B313" s="988" t="s">
        <v>1276</v>
      </c>
      <c r="C313" s="988">
        <v>2770</v>
      </c>
      <c r="D313" s="988">
        <v>2740</v>
      </c>
      <c r="E313" s="988">
        <v>2710</v>
      </c>
      <c r="F313" s="1006">
        <v>610</v>
      </c>
      <c r="H313" s="1010"/>
    </row>
    <row r="314" spans="1:8" s="982" customFormat="1" ht="14.25" customHeight="1" thickBot="1">
      <c r="A314" s="994" t="s">
        <v>1397</v>
      </c>
      <c r="B314" s="988" t="s">
        <v>1283</v>
      </c>
      <c r="C314" s="988"/>
      <c r="D314" s="988"/>
      <c r="E314" s="988"/>
      <c r="F314" s="1006">
        <v>490</v>
      </c>
      <c r="H314" s="1010"/>
    </row>
    <row r="315" spans="1:8" s="982" customFormat="1" ht="14.25" customHeight="1" thickBot="1">
      <c r="A315" s="994" t="s">
        <v>1397</v>
      </c>
      <c r="B315" s="988" t="s">
        <v>1290</v>
      </c>
      <c r="C315" s="988"/>
      <c r="D315" s="988"/>
      <c r="E315" s="988"/>
      <c r="F315" s="1006">
        <v>520</v>
      </c>
      <c r="H315" s="1010"/>
    </row>
    <row r="316" spans="1:8" s="982" customFormat="1" ht="14.25" customHeight="1" thickBot="1">
      <c r="A316" s="994" t="s">
        <v>1397</v>
      </c>
      <c r="B316" s="1004" t="s">
        <v>1297</v>
      </c>
      <c r="C316" s="1004"/>
      <c r="D316" s="1004"/>
      <c r="E316" s="1004"/>
      <c r="F316" s="1013">
        <v>460</v>
      </c>
      <c r="H316" s="1010"/>
    </row>
    <row r="317" spans="1:8" s="982" customFormat="1" ht="14.25" customHeight="1" thickBot="1">
      <c r="A317" s="994" t="s">
        <v>895</v>
      </c>
      <c r="B317" s="995" t="s">
        <v>1402</v>
      </c>
      <c r="C317" s="995">
        <v>1200</v>
      </c>
      <c r="D317" s="995">
        <v>1180</v>
      </c>
      <c r="E317" s="995">
        <v>1160</v>
      </c>
      <c r="F317" s="996">
        <v>370</v>
      </c>
      <c r="H317" s="979"/>
    </row>
    <row r="318" spans="1:8" s="982" customFormat="1" ht="14.25" customHeight="1" thickBot="1">
      <c r="A318" s="994" t="s">
        <v>895</v>
      </c>
      <c r="B318" s="988" t="s">
        <v>1403</v>
      </c>
      <c r="C318" s="988">
        <v>1090</v>
      </c>
      <c r="D318" s="988">
        <v>1060</v>
      </c>
      <c r="E318" s="988">
        <v>1040</v>
      </c>
      <c r="F318" s="1014"/>
      <c r="H318" s="979"/>
    </row>
    <row r="319" spans="1:8" s="982" customFormat="1" ht="14.25" customHeight="1" thickBot="1">
      <c r="A319" s="994" t="s">
        <v>895</v>
      </c>
      <c r="B319" s="988" t="s">
        <v>1404</v>
      </c>
      <c r="C319" s="988">
        <v>1520</v>
      </c>
      <c r="D319" s="988">
        <v>1470</v>
      </c>
      <c r="E319" s="988">
        <v>1440</v>
      </c>
      <c r="F319" s="1006">
        <v>370</v>
      </c>
      <c r="H319" s="979"/>
    </row>
    <row r="320" spans="1:8" s="982" customFormat="1" ht="14.25" customHeight="1" thickBot="1">
      <c r="A320" s="994" t="s">
        <v>895</v>
      </c>
      <c r="B320" s="988" t="s">
        <v>1085</v>
      </c>
      <c r="C320" s="988">
        <v>1360</v>
      </c>
      <c r="D320" s="988">
        <v>1300</v>
      </c>
      <c r="E320" s="988">
        <v>1270</v>
      </c>
      <c r="F320" s="1014"/>
      <c r="H320" s="979"/>
    </row>
    <row r="321" spans="1:8" s="982" customFormat="1" ht="14.25" customHeight="1" thickBot="1">
      <c r="A321" s="994" t="s">
        <v>895</v>
      </c>
      <c r="B321" s="988" t="s">
        <v>1099</v>
      </c>
      <c r="C321" s="988">
        <v>1750</v>
      </c>
      <c r="D321" s="988">
        <v>1690</v>
      </c>
      <c r="E321" s="988">
        <v>1660</v>
      </c>
      <c r="F321" s="1014"/>
      <c r="H321" s="979"/>
    </row>
    <row r="322" spans="1:8" s="982" customFormat="1" ht="14.25" customHeight="1" thickBot="1">
      <c r="A322" s="994" t="s">
        <v>895</v>
      </c>
      <c r="B322" s="988" t="s">
        <v>1110</v>
      </c>
      <c r="C322" s="988">
        <v>1650</v>
      </c>
      <c r="D322" s="988">
        <v>1610</v>
      </c>
      <c r="E322" s="988">
        <v>1580</v>
      </c>
      <c r="F322" s="1006">
        <v>500</v>
      </c>
      <c r="H322" s="979"/>
    </row>
    <row r="323" spans="1:8" s="982" customFormat="1" ht="14.25" customHeight="1" thickBot="1">
      <c r="A323" s="994" t="s">
        <v>895</v>
      </c>
      <c r="B323" s="988" t="s">
        <v>1121</v>
      </c>
      <c r="C323" s="988">
        <v>1780</v>
      </c>
      <c r="D323" s="988">
        <v>1740</v>
      </c>
      <c r="E323" s="988">
        <v>1720</v>
      </c>
      <c r="F323" s="1014"/>
      <c r="H323" s="979"/>
    </row>
    <row r="324" spans="1:8" s="982" customFormat="1" ht="14.25" customHeight="1" thickBot="1">
      <c r="A324" s="994" t="s">
        <v>895</v>
      </c>
      <c r="B324" s="988" t="s">
        <v>1132</v>
      </c>
      <c r="C324" s="988">
        <v>1650</v>
      </c>
      <c r="D324" s="988">
        <v>1610</v>
      </c>
      <c r="E324" s="988">
        <v>1580</v>
      </c>
      <c r="F324" s="1014"/>
      <c r="H324" s="979"/>
    </row>
    <row r="325" spans="1:8" s="982" customFormat="1" ht="14.25" customHeight="1" thickBot="1">
      <c r="A325" s="994" t="s">
        <v>895</v>
      </c>
      <c r="B325" s="988" t="s">
        <v>1144</v>
      </c>
      <c r="C325" s="988">
        <v>1330</v>
      </c>
      <c r="D325" s="988">
        <v>1270</v>
      </c>
      <c r="E325" s="988">
        <v>1240</v>
      </c>
      <c r="F325" s="1006">
        <v>430</v>
      </c>
      <c r="H325" s="979"/>
    </row>
    <row r="326" spans="1:8" s="982" customFormat="1" ht="14.25" customHeight="1" thickBot="1">
      <c r="A326" s="994" t="s">
        <v>895</v>
      </c>
      <c r="B326" s="988" t="s">
        <v>1154</v>
      </c>
      <c r="C326" s="988">
        <v>1470</v>
      </c>
      <c r="D326" s="988">
        <v>1430</v>
      </c>
      <c r="E326" s="988">
        <v>1400</v>
      </c>
      <c r="F326" s="1014"/>
      <c r="H326" s="979"/>
    </row>
    <row r="327" spans="1:8" s="982" customFormat="1" ht="14.25" customHeight="1" thickBot="1">
      <c r="A327" s="994" t="s">
        <v>895</v>
      </c>
      <c r="B327" s="988" t="s">
        <v>1164</v>
      </c>
      <c r="C327" s="988">
        <v>1420</v>
      </c>
      <c r="D327" s="988">
        <v>1380</v>
      </c>
      <c r="E327" s="988">
        <v>1360</v>
      </c>
      <c r="F327" s="1006">
        <v>420</v>
      </c>
      <c r="H327" s="979"/>
    </row>
    <row r="328" spans="1:8" s="982" customFormat="1" ht="14.25" customHeight="1" thickBot="1">
      <c r="A328" s="994" t="s">
        <v>895</v>
      </c>
      <c r="B328" s="988" t="s">
        <v>1174</v>
      </c>
      <c r="C328" s="988">
        <v>1400</v>
      </c>
      <c r="D328" s="988">
        <v>1360</v>
      </c>
      <c r="E328" s="988">
        <v>1330</v>
      </c>
      <c r="F328" s="1006">
        <v>460</v>
      </c>
      <c r="H328" s="979"/>
    </row>
    <row r="329" spans="1:8" s="982" customFormat="1" ht="14.25" customHeight="1" thickBot="1">
      <c r="A329" s="994" t="s">
        <v>895</v>
      </c>
      <c r="B329" s="988" t="s">
        <v>1184</v>
      </c>
      <c r="C329" s="988">
        <v>1640</v>
      </c>
      <c r="D329" s="988">
        <v>1610</v>
      </c>
      <c r="E329" s="988">
        <v>1580</v>
      </c>
      <c r="F329" s="1006">
        <v>410</v>
      </c>
      <c r="H329" s="979"/>
    </row>
    <row r="330" spans="1:8" s="982" customFormat="1" ht="14.25" customHeight="1" thickBot="1">
      <c r="A330" s="994" t="s">
        <v>895</v>
      </c>
      <c r="B330" s="988" t="s">
        <v>1194</v>
      </c>
      <c r="C330" s="988">
        <v>1260</v>
      </c>
      <c r="D330" s="988">
        <v>1220</v>
      </c>
      <c r="E330" s="988">
        <v>1200</v>
      </c>
      <c r="F330" s="1014"/>
      <c r="H330" s="979"/>
    </row>
    <row r="331" spans="1:8" s="982" customFormat="1" ht="14.25" customHeight="1" thickBot="1">
      <c r="A331" s="994" t="s">
        <v>895</v>
      </c>
      <c r="B331" s="988" t="s">
        <v>1204</v>
      </c>
      <c r="C331" s="988">
        <v>1620</v>
      </c>
      <c r="D331" s="988">
        <v>1560</v>
      </c>
      <c r="E331" s="988">
        <v>1530</v>
      </c>
      <c r="F331" s="1006">
        <v>490</v>
      </c>
      <c r="H331" s="979"/>
    </row>
    <row r="332" spans="1:8" s="982" customFormat="1" ht="14.25" customHeight="1" thickBot="1">
      <c r="A332" s="994" t="s">
        <v>895</v>
      </c>
      <c r="B332" s="988" t="s">
        <v>1214</v>
      </c>
      <c r="C332" s="988">
        <v>1520</v>
      </c>
      <c r="D332" s="988">
        <v>1470</v>
      </c>
      <c r="E332" s="988">
        <v>1440</v>
      </c>
      <c r="F332" s="1006">
        <v>440</v>
      </c>
      <c r="H332" s="979"/>
    </row>
    <row r="333" spans="1:8" s="982" customFormat="1" ht="14.25" customHeight="1" thickBot="1">
      <c r="A333" s="994" t="s">
        <v>895</v>
      </c>
      <c r="B333" s="988" t="s">
        <v>1224</v>
      </c>
      <c r="C333" s="988">
        <v>1370</v>
      </c>
      <c r="D333" s="988">
        <v>1320</v>
      </c>
      <c r="E333" s="988">
        <v>1300</v>
      </c>
      <c r="F333" s="1006">
        <v>460</v>
      </c>
      <c r="H333" s="979"/>
    </row>
    <row r="334" spans="1:8" s="982" customFormat="1" ht="14.25" customHeight="1" thickBot="1">
      <c r="A334" s="994" t="s">
        <v>895</v>
      </c>
      <c r="B334" s="988" t="s">
        <v>1234</v>
      </c>
      <c r="C334" s="988">
        <v>1410</v>
      </c>
      <c r="D334" s="988">
        <v>1340</v>
      </c>
      <c r="E334" s="988">
        <v>1310</v>
      </c>
      <c r="F334" s="1006">
        <v>410</v>
      </c>
      <c r="H334" s="979"/>
    </row>
    <row r="335" spans="1:8" s="982" customFormat="1" ht="14.25" customHeight="1" thickBot="1">
      <c r="A335" s="994" t="s">
        <v>895</v>
      </c>
      <c r="B335" s="988" t="s">
        <v>1244</v>
      </c>
      <c r="C335" s="988">
        <v>1260</v>
      </c>
      <c r="D335" s="988">
        <v>1220</v>
      </c>
      <c r="E335" s="988">
        <v>1200</v>
      </c>
      <c r="F335" s="1014"/>
      <c r="H335" s="979"/>
    </row>
    <row r="336" spans="1:8" s="982" customFormat="1" ht="14.25" customHeight="1" thickBot="1">
      <c r="A336" s="994" t="s">
        <v>895</v>
      </c>
      <c r="B336" s="988" t="s">
        <v>1253</v>
      </c>
      <c r="C336" s="988">
        <v>1160</v>
      </c>
      <c r="D336" s="988">
        <v>1140</v>
      </c>
      <c r="E336" s="988">
        <v>1120</v>
      </c>
      <c r="F336" s="1006">
        <v>430</v>
      </c>
      <c r="H336" s="979"/>
    </row>
    <row r="337" spans="1:8" s="982" customFormat="1" ht="14.25" customHeight="1" thickBot="1">
      <c r="A337" s="994" t="s">
        <v>895</v>
      </c>
      <c r="B337" s="1004" t="s">
        <v>1262</v>
      </c>
      <c r="C337" s="1004"/>
      <c r="D337" s="1004"/>
      <c r="E337" s="1004"/>
      <c r="F337" s="1013">
        <v>380</v>
      </c>
      <c r="H337" s="979"/>
    </row>
    <row r="338" spans="1:8" s="982" customFormat="1" ht="14.25" customHeight="1" thickBot="1">
      <c r="A338" s="994" t="s">
        <v>896</v>
      </c>
      <c r="B338" s="995" t="s">
        <v>1405</v>
      </c>
      <c r="C338" s="995">
        <v>880</v>
      </c>
      <c r="D338" s="995">
        <v>850</v>
      </c>
      <c r="E338" s="995">
        <v>830</v>
      </c>
      <c r="F338" s="1016"/>
      <c r="H338" s="979"/>
    </row>
    <row r="339" spans="1:8" s="982" customFormat="1" ht="14.25" customHeight="1" thickBot="1">
      <c r="A339" s="994" t="s">
        <v>896</v>
      </c>
      <c r="B339" s="988" t="s">
        <v>1406</v>
      </c>
      <c r="C339" s="988">
        <v>830</v>
      </c>
      <c r="D339" s="988">
        <v>800</v>
      </c>
      <c r="E339" s="988">
        <v>780</v>
      </c>
      <c r="F339" s="1014"/>
      <c r="H339" s="979"/>
    </row>
    <row r="340" spans="1:8" s="982" customFormat="1" ht="14.25" customHeight="1" thickBot="1">
      <c r="A340" s="994" t="s">
        <v>896</v>
      </c>
      <c r="B340" s="988" t="s">
        <v>1407</v>
      </c>
      <c r="C340" s="988">
        <v>980</v>
      </c>
      <c r="D340" s="988">
        <v>950</v>
      </c>
      <c r="E340" s="988">
        <v>920</v>
      </c>
      <c r="F340" s="1014"/>
      <c r="H340" s="979"/>
    </row>
    <row r="341" spans="1:8" s="982" customFormat="1" ht="14.25" customHeight="1" thickBot="1">
      <c r="A341" s="994" t="s">
        <v>896</v>
      </c>
      <c r="B341" s="988" t="s">
        <v>1408</v>
      </c>
      <c r="C341" s="988">
        <v>760</v>
      </c>
      <c r="D341" s="988">
        <v>720</v>
      </c>
      <c r="E341" s="988">
        <v>690</v>
      </c>
      <c r="F341" s="1006">
        <v>350</v>
      </c>
      <c r="H341" s="979"/>
    </row>
    <row r="342" spans="1:8" s="982" customFormat="1" ht="14.25" customHeight="1" thickBot="1">
      <c r="A342" s="994" t="s">
        <v>896</v>
      </c>
      <c r="B342" s="988" t="s">
        <v>1100</v>
      </c>
      <c r="C342" s="988">
        <v>910</v>
      </c>
      <c r="D342" s="988">
        <v>870</v>
      </c>
      <c r="E342" s="988">
        <v>850</v>
      </c>
      <c r="F342" s="1006">
        <v>370</v>
      </c>
      <c r="H342" s="979"/>
    </row>
    <row r="343" spans="1:8" s="982" customFormat="1" ht="14.25" customHeight="1" thickBot="1">
      <c r="A343" s="994" t="s">
        <v>896</v>
      </c>
      <c r="B343" s="988" t="s">
        <v>1111</v>
      </c>
      <c r="C343" s="988">
        <v>800</v>
      </c>
      <c r="D343" s="988">
        <v>760</v>
      </c>
      <c r="E343" s="988">
        <v>730</v>
      </c>
      <c r="F343" s="1006">
        <v>340</v>
      </c>
      <c r="H343" s="979"/>
    </row>
    <row r="344" spans="1:8" s="982" customFormat="1" ht="14.25" customHeight="1" thickBot="1">
      <c r="A344" s="994" t="s">
        <v>896</v>
      </c>
      <c r="B344" s="1004" t="s">
        <v>1122</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860</v>
      </c>
      <c r="B1" s="928"/>
      <c r="C1" s="928"/>
      <c r="D1" s="928"/>
      <c r="E1" s="928"/>
      <c r="F1" s="928"/>
      <c r="G1" s="928"/>
      <c r="H1" s="928"/>
      <c r="I1" s="928"/>
      <c r="J1" s="928"/>
      <c r="K1" s="928"/>
      <c r="L1" s="928"/>
      <c r="M1" s="928"/>
      <c r="N1" s="928"/>
    </row>
    <row r="2" spans="1:14">
      <c r="A2" s="930" t="s">
        <v>861</v>
      </c>
      <c r="B2" s="931" t="s">
        <v>862</v>
      </c>
      <c r="C2" s="931" t="s">
        <v>863</v>
      </c>
      <c r="D2" s="931" t="s">
        <v>864</v>
      </c>
      <c r="E2" s="931" t="s">
        <v>865</v>
      </c>
      <c r="F2" s="931" t="s">
        <v>866</v>
      </c>
      <c r="G2" s="931" t="s">
        <v>867</v>
      </c>
      <c r="H2" s="932" t="s">
        <v>868</v>
      </c>
      <c r="I2" s="932" t="s">
        <v>869</v>
      </c>
      <c r="J2" s="933" t="s">
        <v>870</v>
      </c>
      <c r="K2" s="933" t="s">
        <v>871</v>
      </c>
      <c r="L2" s="933" t="s">
        <v>872</v>
      </c>
      <c r="M2" s="933" t="s">
        <v>873</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882</v>
      </c>
      <c r="B103" s="928"/>
      <c r="C103" s="928"/>
      <c r="D103" s="928"/>
      <c r="E103" s="928"/>
      <c r="F103" s="928"/>
      <c r="G103" s="928"/>
      <c r="H103" s="928"/>
      <c r="I103" s="928"/>
      <c r="J103" s="928"/>
      <c r="K103" s="928"/>
      <c r="L103" s="928"/>
      <c r="M103" s="928"/>
      <c r="N103" s="928"/>
    </row>
    <row r="104" spans="1:14" ht="14.25">
      <c r="A104" s="930" t="s">
        <v>861</v>
      </c>
      <c r="B104" s="931" t="s">
        <v>862</v>
      </c>
      <c r="C104" s="931" t="s">
        <v>863</v>
      </c>
      <c r="D104" s="931" t="s">
        <v>864</v>
      </c>
      <c r="E104" s="931" t="s">
        <v>865</v>
      </c>
      <c r="F104" s="931" t="s">
        <v>866</v>
      </c>
      <c r="G104" s="931" t="s">
        <v>867</v>
      </c>
      <c r="H104" s="932" t="s">
        <v>868</v>
      </c>
      <c r="I104" s="932" t="s">
        <v>869</v>
      </c>
      <c r="J104" s="933" t="s">
        <v>870</v>
      </c>
      <c r="K104" s="933" t="s">
        <v>871</v>
      </c>
      <c r="L104" s="933" t="s">
        <v>872</v>
      </c>
      <c r="M104" s="933" t="s">
        <v>873</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883</v>
      </c>
      <c r="B205" s="928"/>
      <c r="C205" s="928"/>
      <c r="D205" s="928"/>
      <c r="E205" s="928"/>
      <c r="F205" s="928"/>
      <c r="G205" s="928"/>
      <c r="H205" s="928"/>
      <c r="I205" s="928"/>
      <c r="J205" s="928"/>
      <c r="K205" s="928"/>
      <c r="L205" s="928"/>
      <c r="M205" s="928"/>
    </row>
    <row r="206" spans="1:13">
      <c r="A206" s="930" t="s">
        <v>884</v>
      </c>
      <c r="B206" s="931" t="s">
        <v>885</v>
      </c>
      <c r="C206" s="931" t="s">
        <v>886</v>
      </c>
      <c r="D206" s="931" t="s">
        <v>887</v>
      </c>
      <c r="E206" s="931" t="s">
        <v>888</v>
      </c>
      <c r="F206" s="931" t="s">
        <v>889</v>
      </c>
      <c r="G206" s="931" t="s">
        <v>890</v>
      </c>
      <c r="H206" s="932" t="s">
        <v>891</v>
      </c>
      <c r="I206" s="932" t="s">
        <v>892</v>
      </c>
      <c r="J206" s="933" t="s">
        <v>893</v>
      </c>
      <c r="K206" s="933" t="s">
        <v>894</v>
      </c>
      <c r="L206" s="933" t="s">
        <v>895</v>
      </c>
      <c r="M206" s="933" t="s">
        <v>896</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897</v>
      </c>
      <c r="B307" s="928"/>
      <c r="C307" s="928"/>
      <c r="D307" s="928"/>
      <c r="E307" s="928"/>
      <c r="F307" s="928"/>
      <c r="G307" s="928"/>
      <c r="H307" s="928"/>
      <c r="I307" s="928"/>
      <c r="J307" s="928"/>
      <c r="K307" s="928"/>
      <c r="L307" s="928"/>
      <c r="M307" s="928"/>
    </row>
    <row r="308" spans="1:13">
      <c r="A308" s="930" t="s">
        <v>884</v>
      </c>
      <c r="B308" s="931" t="s">
        <v>885</v>
      </c>
      <c r="C308" s="931" t="s">
        <v>886</v>
      </c>
      <c r="D308" s="931" t="s">
        <v>887</v>
      </c>
      <c r="E308" s="931" t="s">
        <v>888</v>
      </c>
      <c r="F308" s="931" t="s">
        <v>889</v>
      </c>
      <c r="G308" s="931" t="s">
        <v>890</v>
      </c>
      <c r="H308" s="932" t="s">
        <v>891</v>
      </c>
      <c r="I308" s="932" t="s">
        <v>892</v>
      </c>
      <c r="J308" s="933" t="s">
        <v>893</v>
      </c>
      <c r="K308" s="933" t="s">
        <v>894</v>
      </c>
      <c r="L308" s="933" t="s">
        <v>895</v>
      </c>
      <c r="M308" s="933" t="s">
        <v>896</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651" customWidth="1"/>
    <col min="2" max="2" width="10.125" style="1652" customWidth="1"/>
  </cols>
  <sheetData>
    <row r="1" spans="1:6">
      <c r="A1" s="3491" t="s">
        <v>1870</v>
      </c>
      <c r="B1" s="3491"/>
    </row>
    <row r="2" spans="1:6" ht="14.25" thickBot="1">
      <c r="A2" s="1622"/>
      <c r="B2" s="1622"/>
    </row>
    <row r="3" spans="1:6" ht="14.25" thickBot="1">
      <c r="A3" s="1622"/>
      <c r="B3" s="1622"/>
      <c r="C3" s="1623" t="s">
        <v>1871</v>
      </c>
      <c r="D3" s="1623" t="s">
        <v>1872</v>
      </c>
      <c r="E3" s="1623" t="s">
        <v>1873</v>
      </c>
      <c r="F3" s="1623" t="s">
        <v>1874</v>
      </c>
    </row>
    <row r="4" spans="1:6" ht="14.25" thickBot="1">
      <c r="A4" s="1624" t="s">
        <v>1875</v>
      </c>
      <c r="B4" s="1625" t="s">
        <v>1876</v>
      </c>
      <c r="C4" s="1623"/>
      <c r="D4" s="1623"/>
      <c r="E4" s="1623"/>
      <c r="F4" s="1623"/>
    </row>
    <row r="5" spans="1:6" ht="14.25" thickBot="1">
      <c r="A5" s="1626" t="s">
        <v>1877</v>
      </c>
      <c r="B5" s="1627" t="s">
        <v>1878</v>
      </c>
      <c r="C5" s="1628">
        <v>8.8999999999999996E-2</v>
      </c>
      <c r="D5" s="1628">
        <v>7.3999999999999996E-2</v>
      </c>
      <c r="E5" s="1628">
        <v>7.4999999999999997E-2</v>
      </c>
      <c r="F5" s="1629">
        <v>0.1</v>
      </c>
    </row>
    <row r="6" spans="1:6" ht="14.25" thickBot="1">
      <c r="A6" s="1626" t="s">
        <v>1074</v>
      </c>
      <c r="B6" s="1630" t="s">
        <v>1879</v>
      </c>
      <c r="C6" s="1631">
        <v>0.1</v>
      </c>
      <c r="D6" s="1631">
        <v>9.0999999999999998E-2</v>
      </c>
      <c r="E6" s="1631">
        <v>9.0999999999999998E-2</v>
      </c>
      <c r="F6" s="1632">
        <v>0.1</v>
      </c>
    </row>
    <row r="7" spans="1:6" ht="14.25" thickBot="1">
      <c r="A7" s="1626" t="s">
        <v>1074</v>
      </c>
      <c r="B7" s="1633" t="s">
        <v>1062</v>
      </c>
      <c r="C7" s="1631">
        <v>8.5999999999999993E-2</v>
      </c>
      <c r="D7" s="1631">
        <v>9.6000000000000002E-2</v>
      </c>
      <c r="E7" s="1631">
        <v>7.5999999999999998E-2</v>
      </c>
      <c r="F7" s="1632">
        <v>0.1</v>
      </c>
    </row>
    <row r="8" spans="1:6" ht="14.25" thickBot="1">
      <c r="A8" s="1626" t="s">
        <v>1074</v>
      </c>
      <c r="B8" s="1630" t="s">
        <v>1075</v>
      </c>
      <c r="C8" s="1631">
        <v>9.9000000000000005E-2</v>
      </c>
      <c r="D8" s="1631">
        <v>9.8000000000000004E-2</v>
      </c>
      <c r="E8" s="1631">
        <v>9.8000000000000004E-2</v>
      </c>
      <c r="F8" s="1632">
        <v>0.1</v>
      </c>
    </row>
    <row r="9" spans="1:6" ht="14.25" thickBot="1">
      <c r="A9" s="1634" t="s">
        <v>1074</v>
      </c>
      <c r="B9" s="1635" t="s">
        <v>1089</v>
      </c>
      <c r="C9" s="1636">
        <v>0.05</v>
      </c>
      <c r="D9" s="1637"/>
      <c r="E9" s="1637"/>
      <c r="F9" s="1638"/>
    </row>
    <row r="10" spans="1:6" ht="14.25" thickBot="1">
      <c r="A10" s="1626" t="s">
        <v>1133</v>
      </c>
      <c r="B10" s="1627" t="s">
        <v>1880</v>
      </c>
      <c r="C10" s="1628">
        <v>8.8999999999999996E-2</v>
      </c>
      <c r="D10" s="1628">
        <v>7.2999999999999995E-2</v>
      </c>
      <c r="E10" s="1628">
        <v>8.2000000000000003E-2</v>
      </c>
      <c r="F10" s="1629">
        <v>0.1</v>
      </c>
    </row>
    <row r="11" spans="1:6" ht="14.25" thickBot="1">
      <c r="A11" s="1626" t="s">
        <v>1133</v>
      </c>
      <c r="B11" s="1633" t="s">
        <v>1049</v>
      </c>
      <c r="C11" s="1631">
        <v>8.8999999999999996E-2</v>
      </c>
      <c r="D11" s="1631">
        <v>7.2999999999999995E-2</v>
      </c>
      <c r="E11" s="1631">
        <v>8.2000000000000003E-2</v>
      </c>
      <c r="F11" s="1632">
        <v>0.1</v>
      </c>
    </row>
    <row r="12" spans="1:6" ht="14.25" thickBot="1">
      <c r="A12" s="1626" t="s">
        <v>1133</v>
      </c>
      <c r="B12" s="1633" t="s">
        <v>1063</v>
      </c>
      <c r="C12" s="1631">
        <v>6.0999999999999999E-2</v>
      </c>
      <c r="D12" s="1631">
        <v>7.0999999999999994E-2</v>
      </c>
      <c r="E12" s="1631">
        <v>9.6000000000000002E-2</v>
      </c>
      <c r="F12" s="1632">
        <v>0.1</v>
      </c>
    </row>
    <row r="13" spans="1:6" ht="14.25" thickBot="1">
      <c r="A13" s="1626" t="s">
        <v>1133</v>
      </c>
      <c r="B13" s="1633" t="s">
        <v>1076</v>
      </c>
      <c r="C13" s="1631">
        <v>6.9000000000000006E-2</v>
      </c>
      <c r="D13" s="1631">
        <v>6.5000000000000002E-2</v>
      </c>
      <c r="E13" s="1631">
        <v>6.6000000000000003E-2</v>
      </c>
      <c r="F13" s="1632">
        <v>0.1</v>
      </c>
    </row>
    <row r="14" spans="1:6" ht="14.25" thickBot="1">
      <c r="A14" s="1626" t="s">
        <v>1133</v>
      </c>
      <c r="B14" s="1633" t="s">
        <v>1090</v>
      </c>
      <c r="C14" s="1631">
        <v>0.1</v>
      </c>
      <c r="D14" s="1631">
        <v>6.5000000000000002E-2</v>
      </c>
      <c r="E14" s="1631">
        <v>7.0000000000000007E-2</v>
      </c>
      <c r="F14" s="1632">
        <v>0.1</v>
      </c>
    </row>
    <row r="15" spans="1:6" ht="14.25" thickBot="1">
      <c r="A15" s="1626" t="s">
        <v>1133</v>
      </c>
      <c r="B15" s="1633" t="s">
        <v>1101</v>
      </c>
      <c r="C15" s="1631">
        <v>9.8000000000000004E-2</v>
      </c>
      <c r="D15" s="1631">
        <v>8.8999999999999996E-2</v>
      </c>
      <c r="E15" s="1631">
        <v>8.8999999999999996E-2</v>
      </c>
      <c r="F15" s="1632">
        <v>0.1</v>
      </c>
    </row>
    <row r="16" spans="1:6" ht="14.25" thickBot="1">
      <c r="A16" s="1626" t="s">
        <v>1133</v>
      </c>
      <c r="B16" s="1633" t="s">
        <v>1112</v>
      </c>
      <c r="C16" s="1631">
        <v>7.0000000000000007E-2</v>
      </c>
      <c r="D16" s="1631">
        <v>9.2999999999999999E-2</v>
      </c>
      <c r="E16" s="1631">
        <v>9.6000000000000002E-2</v>
      </c>
      <c r="F16" s="1632">
        <v>0.1</v>
      </c>
    </row>
    <row r="17" spans="1:6" ht="14.25" thickBot="1">
      <c r="A17" s="1626" t="s">
        <v>1133</v>
      </c>
      <c r="B17" s="1633" t="s">
        <v>1123</v>
      </c>
      <c r="C17" s="1631">
        <v>9.5000000000000001E-2</v>
      </c>
      <c r="D17" s="1631">
        <v>0.1</v>
      </c>
      <c r="E17" s="1631">
        <v>0.1</v>
      </c>
      <c r="F17" s="1639"/>
    </row>
    <row r="18" spans="1:6" ht="14.25" thickBot="1">
      <c r="A18" s="1626" t="s">
        <v>1133</v>
      </c>
      <c r="B18" s="1633" t="s">
        <v>1135</v>
      </c>
      <c r="C18" s="1631">
        <v>7.3999999999999996E-2</v>
      </c>
      <c r="D18" s="1631">
        <v>9.9000000000000005E-2</v>
      </c>
      <c r="E18" s="1631">
        <v>0.1</v>
      </c>
      <c r="F18" s="1639"/>
    </row>
    <row r="19" spans="1:6" ht="14.25" thickBot="1">
      <c r="A19" s="1626" t="s">
        <v>1133</v>
      </c>
      <c r="B19" s="1633" t="s">
        <v>1145</v>
      </c>
      <c r="C19" s="1631">
        <v>9.9000000000000005E-2</v>
      </c>
      <c r="D19" s="1631">
        <v>7.5999999999999998E-2</v>
      </c>
      <c r="E19" s="1631">
        <v>8.6999999999999994E-2</v>
      </c>
      <c r="F19" s="1639"/>
    </row>
    <row r="20" spans="1:6" ht="14.25" thickBot="1">
      <c r="A20" s="1626" t="s">
        <v>1133</v>
      </c>
      <c r="B20" s="1633" t="s">
        <v>1155</v>
      </c>
      <c r="C20" s="1631">
        <v>9.8000000000000004E-2</v>
      </c>
      <c r="D20" s="1631">
        <v>8.5000000000000006E-2</v>
      </c>
      <c r="E20" s="1631">
        <v>8.2000000000000003E-2</v>
      </c>
      <c r="F20" s="1639"/>
    </row>
    <row r="21" spans="1:6" ht="14.25" thickBot="1">
      <c r="A21" s="1626" t="s">
        <v>1133</v>
      </c>
      <c r="B21" s="1633" t="s">
        <v>1165</v>
      </c>
      <c r="C21" s="1631">
        <v>6.6000000000000003E-2</v>
      </c>
      <c r="D21" s="1631">
        <v>6.4000000000000001E-2</v>
      </c>
      <c r="E21" s="1631">
        <v>6.5000000000000002E-2</v>
      </c>
      <c r="F21" s="1639"/>
    </row>
    <row r="22" spans="1:6" ht="14.25" thickBot="1">
      <c r="A22" s="1626" t="s">
        <v>1133</v>
      </c>
      <c r="B22" s="1633" t="s">
        <v>1881</v>
      </c>
      <c r="C22" s="1631">
        <v>0.08</v>
      </c>
      <c r="D22" s="1631">
        <v>9.8000000000000004E-2</v>
      </c>
      <c r="E22" s="1631">
        <v>9.8000000000000004E-2</v>
      </c>
      <c r="F22" s="1639"/>
    </row>
    <row r="23" spans="1:6" ht="14.25" thickBot="1">
      <c r="A23" s="1626" t="s">
        <v>1133</v>
      </c>
      <c r="B23" s="1633" t="s">
        <v>1185</v>
      </c>
      <c r="C23" s="1631">
        <v>9.9000000000000005E-2</v>
      </c>
      <c r="D23" s="1631">
        <v>9.8000000000000004E-2</v>
      </c>
      <c r="E23" s="1631">
        <v>9.0999999999999998E-2</v>
      </c>
      <c r="F23" s="1639"/>
    </row>
    <row r="24" spans="1:6" ht="14.25" thickBot="1">
      <c r="A24" s="1626" t="s">
        <v>1133</v>
      </c>
      <c r="B24" s="1633" t="s">
        <v>1195</v>
      </c>
      <c r="C24" s="1631">
        <v>8.8999999999999996E-2</v>
      </c>
      <c r="D24" s="1631">
        <v>9.7000000000000003E-2</v>
      </c>
      <c r="E24" s="1631">
        <v>7.0000000000000007E-2</v>
      </c>
      <c r="F24" s="1639"/>
    </row>
    <row r="25" spans="1:6" ht="14.25" thickBot="1">
      <c r="A25" s="1626" t="s">
        <v>1133</v>
      </c>
      <c r="B25" s="1633" t="s">
        <v>1205</v>
      </c>
      <c r="C25" s="1631">
        <v>8.8999999999999996E-2</v>
      </c>
      <c r="D25" s="1631">
        <v>0.1</v>
      </c>
      <c r="E25" s="1631">
        <v>8.1000000000000003E-2</v>
      </c>
      <c r="F25" s="1639"/>
    </row>
    <row r="26" spans="1:6" ht="14.25" thickBot="1">
      <c r="A26" s="1626" t="s">
        <v>1133</v>
      </c>
      <c r="B26" s="1633" t="s">
        <v>1215</v>
      </c>
      <c r="C26" s="1640"/>
      <c r="D26" s="1631">
        <v>9.6000000000000002E-2</v>
      </c>
      <c r="E26" s="1631">
        <v>9.2999999999999999E-2</v>
      </c>
      <c r="F26" s="1639"/>
    </row>
    <row r="27" spans="1:6" ht="14.25" thickBot="1">
      <c r="A27" s="1626" t="s">
        <v>1133</v>
      </c>
      <c r="B27" s="1633" t="s">
        <v>1225</v>
      </c>
      <c r="C27" s="1640"/>
      <c r="D27" s="1631">
        <v>7.5999999999999998E-2</v>
      </c>
      <c r="E27" s="1631">
        <v>9.1999999999999998E-2</v>
      </c>
      <c r="F27" s="1639"/>
    </row>
    <row r="28" spans="1:6" ht="14.25" thickBot="1">
      <c r="A28" s="1634" t="s">
        <v>1133</v>
      </c>
      <c r="B28" s="1635" t="s">
        <v>1235</v>
      </c>
      <c r="C28" s="1637"/>
      <c r="D28" s="1636">
        <v>7.5999999999999998E-2</v>
      </c>
      <c r="E28" s="1636">
        <v>9.1999999999999998E-2</v>
      </c>
      <c r="F28" s="1638"/>
    </row>
    <row r="29" spans="1:6" ht="14.25" thickBot="1">
      <c r="A29" s="1626" t="s">
        <v>1304</v>
      </c>
      <c r="B29" s="1627" t="s">
        <v>1882</v>
      </c>
      <c r="C29" s="1628">
        <v>6.4000000000000001E-2</v>
      </c>
      <c r="D29" s="1628">
        <v>6.5000000000000002E-2</v>
      </c>
      <c r="E29" s="1628">
        <v>6.9000000000000006E-2</v>
      </c>
      <c r="F29" s="1629">
        <v>0.1</v>
      </c>
    </row>
    <row r="30" spans="1:6" ht="14.25" thickBot="1">
      <c r="A30" s="1626" t="s">
        <v>1304</v>
      </c>
      <c r="B30" s="1633" t="s">
        <v>1050</v>
      </c>
      <c r="C30" s="1631">
        <v>6.4000000000000001E-2</v>
      </c>
      <c r="D30" s="1631">
        <v>9.9000000000000005E-2</v>
      </c>
      <c r="E30" s="1631">
        <v>0.1</v>
      </c>
      <c r="F30" s="1632">
        <v>0.1</v>
      </c>
    </row>
    <row r="31" spans="1:6" ht="14.25" thickBot="1">
      <c r="A31" s="1626" t="s">
        <v>1304</v>
      </c>
      <c r="B31" s="1633" t="s">
        <v>1064</v>
      </c>
      <c r="C31" s="1631">
        <v>0.1</v>
      </c>
      <c r="D31" s="1631">
        <v>9.5000000000000001E-2</v>
      </c>
      <c r="E31" s="1631">
        <v>8.8999999999999996E-2</v>
      </c>
      <c r="F31" s="1632">
        <v>0.1</v>
      </c>
    </row>
    <row r="32" spans="1:6" ht="14.25" thickBot="1">
      <c r="A32" s="1626" t="s">
        <v>1304</v>
      </c>
      <c r="B32" s="1633" t="s">
        <v>1077</v>
      </c>
      <c r="C32" s="1631">
        <v>0.05</v>
      </c>
      <c r="D32" s="1631">
        <v>0.05</v>
      </c>
      <c r="E32" s="1631">
        <v>8.7999999999999995E-2</v>
      </c>
      <c r="F32" s="1632">
        <v>0.1</v>
      </c>
    </row>
    <row r="33" spans="1:6" ht="14.25" thickBot="1">
      <c r="A33" s="1626" t="s">
        <v>1304</v>
      </c>
      <c r="B33" s="1633" t="s">
        <v>1091</v>
      </c>
      <c r="C33" s="1631">
        <v>7.4999999999999997E-2</v>
      </c>
      <c r="D33" s="1631">
        <v>9.4E-2</v>
      </c>
      <c r="E33" s="1631">
        <v>9.7000000000000003E-2</v>
      </c>
      <c r="F33" s="1632">
        <v>0.1</v>
      </c>
    </row>
    <row r="34" spans="1:6" ht="14.25" thickBot="1">
      <c r="A34" s="1626" t="s">
        <v>1304</v>
      </c>
      <c r="B34" s="1633" t="s">
        <v>1102</v>
      </c>
      <c r="C34" s="1631">
        <v>9.8000000000000004E-2</v>
      </c>
      <c r="D34" s="1631">
        <v>8.5999999999999993E-2</v>
      </c>
      <c r="E34" s="1631">
        <v>9.7000000000000003E-2</v>
      </c>
      <c r="F34" s="1632">
        <v>0.1</v>
      </c>
    </row>
    <row r="35" spans="1:6" ht="14.25" thickBot="1">
      <c r="A35" s="1626" t="s">
        <v>1304</v>
      </c>
      <c r="B35" s="1633" t="s">
        <v>1113</v>
      </c>
      <c r="C35" s="1631">
        <v>5.8999999999999997E-2</v>
      </c>
      <c r="D35" s="1631">
        <v>6.5000000000000002E-2</v>
      </c>
      <c r="E35" s="1631">
        <v>7.0000000000000007E-2</v>
      </c>
      <c r="F35" s="1632">
        <v>0.1</v>
      </c>
    </row>
    <row r="36" spans="1:6" ht="14.25" thickBot="1">
      <c r="A36" s="1626" t="s">
        <v>1304</v>
      </c>
      <c r="B36" s="1633" t="s">
        <v>1124</v>
      </c>
      <c r="C36" s="1631">
        <v>6.3E-2</v>
      </c>
      <c r="D36" s="1631">
        <v>0.1</v>
      </c>
      <c r="E36" s="1631">
        <v>0.1</v>
      </c>
      <c r="F36" s="1632">
        <v>0.1</v>
      </c>
    </row>
    <row r="37" spans="1:6" ht="14.25" thickBot="1">
      <c r="A37" s="1626" t="s">
        <v>1304</v>
      </c>
      <c r="B37" s="1633" t="s">
        <v>1136</v>
      </c>
      <c r="C37" s="1631">
        <v>7.3999999999999996E-2</v>
      </c>
      <c r="D37" s="1631">
        <v>0.1</v>
      </c>
      <c r="E37" s="1631">
        <v>0.1</v>
      </c>
      <c r="F37" s="1632">
        <v>0.1</v>
      </c>
    </row>
    <row r="38" spans="1:6" ht="14.25" thickBot="1">
      <c r="A38" s="1626" t="s">
        <v>1304</v>
      </c>
      <c r="B38" s="1633" t="s">
        <v>1146</v>
      </c>
      <c r="C38" s="1631">
        <v>0.1</v>
      </c>
      <c r="D38" s="1631">
        <v>9.6000000000000002E-2</v>
      </c>
      <c r="E38" s="1631">
        <v>9.6000000000000002E-2</v>
      </c>
      <c r="F38" s="1639"/>
    </row>
    <row r="39" spans="1:6" ht="14.25" thickBot="1">
      <c r="A39" s="1626" t="s">
        <v>1304</v>
      </c>
      <c r="B39" s="1633" t="s">
        <v>1156</v>
      </c>
      <c r="C39" s="1631">
        <v>0.1</v>
      </c>
      <c r="D39" s="1631">
        <v>9.6000000000000002E-2</v>
      </c>
      <c r="E39" s="1631">
        <v>9.6000000000000002E-2</v>
      </c>
      <c r="F39" s="1639"/>
    </row>
    <row r="40" spans="1:6" ht="14.25" thickBot="1">
      <c r="A40" s="1626" t="s">
        <v>1304</v>
      </c>
      <c r="B40" s="1633" t="s">
        <v>1166</v>
      </c>
      <c r="C40" s="1631">
        <v>9.6000000000000002E-2</v>
      </c>
      <c r="D40" s="1631">
        <v>0.1</v>
      </c>
      <c r="E40" s="1631">
        <v>9.9000000000000005E-2</v>
      </c>
      <c r="F40" s="1639"/>
    </row>
    <row r="41" spans="1:6" ht="14.25" thickBot="1">
      <c r="A41" s="1626" t="s">
        <v>1304</v>
      </c>
      <c r="B41" s="1633" t="s">
        <v>1176</v>
      </c>
      <c r="C41" s="1631">
        <v>9.6000000000000002E-2</v>
      </c>
      <c r="D41" s="1631">
        <v>9.8000000000000004E-2</v>
      </c>
      <c r="E41" s="1631">
        <v>9.8000000000000004E-2</v>
      </c>
      <c r="F41" s="1639"/>
    </row>
    <row r="42" spans="1:6" ht="14.25" thickBot="1">
      <c r="A42" s="1626" t="s">
        <v>1304</v>
      </c>
      <c r="B42" s="1633" t="s">
        <v>1186</v>
      </c>
      <c r="C42" s="1631">
        <v>0.1</v>
      </c>
      <c r="D42" s="1631">
        <v>8.7999999999999995E-2</v>
      </c>
      <c r="E42" s="1631">
        <v>0.1</v>
      </c>
      <c r="F42" s="1639"/>
    </row>
    <row r="43" spans="1:6" ht="14.25" thickBot="1">
      <c r="A43" s="1626" t="s">
        <v>1304</v>
      </c>
      <c r="B43" s="1633" t="s">
        <v>1196</v>
      </c>
      <c r="C43" s="1631">
        <v>9.8000000000000004E-2</v>
      </c>
      <c r="D43" s="1631">
        <v>9.7000000000000003E-2</v>
      </c>
      <c r="E43" s="1631">
        <v>9.6000000000000002E-2</v>
      </c>
      <c r="F43" s="1639"/>
    </row>
    <row r="44" spans="1:6" ht="14.25" thickBot="1">
      <c r="A44" s="1626" t="s">
        <v>1304</v>
      </c>
      <c r="B44" s="1633" t="s">
        <v>1206</v>
      </c>
      <c r="C44" s="1631">
        <v>8.5999999999999993E-2</v>
      </c>
      <c r="D44" s="1631">
        <v>7.9000000000000001E-2</v>
      </c>
      <c r="E44" s="1631">
        <v>7.0999999999999994E-2</v>
      </c>
      <c r="F44" s="1639"/>
    </row>
    <row r="45" spans="1:6" ht="14.25" thickBot="1">
      <c r="A45" s="1626" t="s">
        <v>1304</v>
      </c>
      <c r="B45" s="1633" t="s">
        <v>1216</v>
      </c>
      <c r="C45" s="1631">
        <v>9.8000000000000004E-2</v>
      </c>
      <c r="D45" s="1631">
        <v>9.6000000000000002E-2</v>
      </c>
      <c r="E45" s="1631">
        <v>9.6000000000000002E-2</v>
      </c>
      <c r="F45" s="1639"/>
    </row>
    <row r="46" spans="1:6" ht="14.25" thickBot="1">
      <c r="A46" s="1626" t="s">
        <v>1304</v>
      </c>
      <c r="B46" s="1633" t="s">
        <v>1226</v>
      </c>
      <c r="C46" s="1631">
        <v>8.5999999999999993E-2</v>
      </c>
      <c r="D46" s="1631">
        <v>9.8000000000000004E-2</v>
      </c>
      <c r="E46" s="1631">
        <v>8.7999999999999995E-2</v>
      </c>
      <c r="F46" s="1639"/>
    </row>
    <row r="47" spans="1:6" ht="14.25" thickBot="1">
      <c r="A47" s="1626" t="s">
        <v>1304</v>
      </c>
      <c r="B47" s="1633" t="s">
        <v>1236</v>
      </c>
      <c r="C47" s="1631">
        <v>9.6000000000000002E-2</v>
      </c>
      <c r="D47" s="1640"/>
      <c r="E47" s="1631">
        <v>6.9000000000000006E-2</v>
      </c>
      <c r="F47" s="1639"/>
    </row>
    <row r="48" spans="1:6" ht="14.25" thickBot="1">
      <c r="A48" s="1634" t="s">
        <v>1304</v>
      </c>
      <c r="B48" s="1635" t="s">
        <v>1245</v>
      </c>
      <c r="C48" s="1636">
        <v>9.8000000000000004E-2</v>
      </c>
      <c r="D48" s="1637"/>
      <c r="E48" s="1636">
        <v>9.5000000000000001E-2</v>
      </c>
      <c r="F48" s="1638"/>
    </row>
    <row r="49" spans="1:6" ht="14.25" thickBot="1">
      <c r="A49" s="1626" t="s">
        <v>903</v>
      </c>
      <c r="B49" s="1627" t="s">
        <v>1883</v>
      </c>
      <c r="C49" s="1628">
        <v>9.7000000000000003E-2</v>
      </c>
      <c r="D49" s="1628">
        <v>9.5000000000000001E-2</v>
      </c>
      <c r="E49" s="1628">
        <v>9.7000000000000003E-2</v>
      </c>
      <c r="F49" s="1629">
        <v>0.1</v>
      </c>
    </row>
    <row r="50" spans="1:6" ht="14.25" thickBot="1">
      <c r="A50" s="1626" t="s">
        <v>903</v>
      </c>
      <c r="B50" s="1630" t="s">
        <v>1051</v>
      </c>
      <c r="C50" s="1631">
        <v>7.4999999999999997E-2</v>
      </c>
      <c r="D50" s="1631">
        <v>9.5000000000000001E-2</v>
      </c>
      <c r="E50" s="1631">
        <v>0.1</v>
      </c>
      <c r="F50" s="1632">
        <v>0.1</v>
      </c>
    </row>
    <row r="51" spans="1:6" ht="14.25" thickBot="1">
      <c r="A51" s="1626" t="s">
        <v>903</v>
      </c>
      <c r="B51" s="1630" t="s">
        <v>1065</v>
      </c>
      <c r="C51" s="1631">
        <v>9.8000000000000004E-2</v>
      </c>
      <c r="D51" s="1631">
        <v>8.8999999999999996E-2</v>
      </c>
      <c r="E51" s="1631">
        <v>0.1</v>
      </c>
      <c r="F51" s="1632">
        <v>0.1</v>
      </c>
    </row>
    <row r="52" spans="1:6" ht="14.25" thickBot="1">
      <c r="A52" s="1626" t="s">
        <v>903</v>
      </c>
      <c r="B52" s="1630" t="s">
        <v>1078</v>
      </c>
      <c r="C52" s="1631">
        <v>9.8000000000000004E-2</v>
      </c>
      <c r="D52" s="1631">
        <v>9.7000000000000003E-2</v>
      </c>
      <c r="E52" s="1631">
        <v>8.1000000000000003E-2</v>
      </c>
      <c r="F52" s="1632">
        <v>0.1</v>
      </c>
    </row>
    <row r="53" spans="1:6" ht="14.25" thickBot="1">
      <c r="A53" s="1626" t="s">
        <v>903</v>
      </c>
      <c r="B53" s="1630" t="s">
        <v>1092</v>
      </c>
      <c r="C53" s="1631">
        <v>9.7000000000000003E-2</v>
      </c>
      <c r="D53" s="1631">
        <v>7.5999999999999998E-2</v>
      </c>
      <c r="E53" s="1631">
        <v>7.0999999999999994E-2</v>
      </c>
      <c r="F53" s="1632">
        <v>0.1</v>
      </c>
    </row>
    <row r="54" spans="1:6" ht="14.25" thickBot="1">
      <c r="A54" s="1626" t="s">
        <v>903</v>
      </c>
      <c r="B54" s="1630" t="s">
        <v>1103</v>
      </c>
      <c r="C54" s="1631">
        <v>7.5999999999999998E-2</v>
      </c>
      <c r="D54" s="1631">
        <v>0.1</v>
      </c>
      <c r="E54" s="1631">
        <v>9.9000000000000005E-2</v>
      </c>
      <c r="F54" s="1632">
        <v>0.1</v>
      </c>
    </row>
    <row r="55" spans="1:6" ht="14.25" thickBot="1">
      <c r="A55" s="1626" t="s">
        <v>903</v>
      </c>
      <c r="B55" s="1630" t="s">
        <v>1114</v>
      </c>
      <c r="C55" s="1631">
        <v>0.1</v>
      </c>
      <c r="D55" s="1631">
        <v>0.1</v>
      </c>
      <c r="E55" s="1631">
        <v>9.6000000000000002E-2</v>
      </c>
      <c r="F55" s="1632">
        <v>0.1</v>
      </c>
    </row>
    <row r="56" spans="1:6" ht="14.25" thickBot="1">
      <c r="A56" s="1626" t="s">
        <v>903</v>
      </c>
      <c r="B56" s="1630" t="s">
        <v>1125</v>
      </c>
      <c r="C56" s="1631">
        <v>0.1</v>
      </c>
      <c r="D56" s="1631">
        <v>9.6000000000000002E-2</v>
      </c>
      <c r="E56" s="1631">
        <v>5.1999999999999998E-2</v>
      </c>
      <c r="F56" s="1632">
        <v>0.1</v>
      </c>
    </row>
    <row r="57" spans="1:6" ht="14.25" thickBot="1">
      <c r="A57" s="1626" t="s">
        <v>903</v>
      </c>
      <c r="B57" s="1630" t="s">
        <v>1137</v>
      </c>
      <c r="C57" s="1631">
        <v>9.7000000000000003E-2</v>
      </c>
      <c r="D57" s="1631">
        <v>9.6000000000000002E-2</v>
      </c>
      <c r="E57" s="1631">
        <v>9.6000000000000002E-2</v>
      </c>
      <c r="F57" s="1632">
        <v>0.1</v>
      </c>
    </row>
    <row r="58" spans="1:6" ht="14.25" thickBot="1">
      <c r="A58" s="1626" t="s">
        <v>903</v>
      </c>
      <c r="B58" s="1630" t="s">
        <v>1147</v>
      </c>
      <c r="C58" s="1631">
        <v>9.6000000000000002E-2</v>
      </c>
      <c r="D58" s="1631">
        <v>9.9000000000000005E-2</v>
      </c>
      <c r="E58" s="1631">
        <v>9.6000000000000002E-2</v>
      </c>
      <c r="F58" s="1632">
        <v>0.1</v>
      </c>
    </row>
    <row r="59" spans="1:6" ht="14.25" thickBot="1">
      <c r="A59" s="1626" t="s">
        <v>903</v>
      </c>
      <c r="B59" s="1630" t="s">
        <v>1157</v>
      </c>
      <c r="C59" s="1631">
        <v>7.1999999999999995E-2</v>
      </c>
      <c r="D59" s="1631">
        <v>9.6000000000000002E-2</v>
      </c>
      <c r="E59" s="1631">
        <v>7.0999999999999994E-2</v>
      </c>
      <c r="F59" s="1632">
        <v>0.1</v>
      </c>
    </row>
    <row r="60" spans="1:6" ht="14.25" thickBot="1">
      <c r="A60" s="1626" t="s">
        <v>903</v>
      </c>
      <c r="B60" s="1630" t="s">
        <v>1167</v>
      </c>
      <c r="C60" s="1631">
        <v>9.6000000000000002E-2</v>
      </c>
      <c r="D60" s="1631">
        <v>8.8999999999999996E-2</v>
      </c>
      <c r="E60" s="1631">
        <v>9.6000000000000002E-2</v>
      </c>
      <c r="F60" s="1632">
        <v>0.1</v>
      </c>
    </row>
    <row r="61" spans="1:6" ht="14.25" thickBot="1">
      <c r="A61" s="1626" t="s">
        <v>903</v>
      </c>
      <c r="B61" s="1630" t="s">
        <v>1177</v>
      </c>
      <c r="C61" s="1631">
        <v>8.8999999999999996E-2</v>
      </c>
      <c r="D61" s="1631">
        <v>9.8000000000000004E-2</v>
      </c>
      <c r="E61" s="1631">
        <v>8.7999999999999995E-2</v>
      </c>
      <c r="F61" s="1639"/>
    </row>
    <row r="62" spans="1:6" ht="14.25" thickBot="1">
      <c r="A62" s="1626" t="s">
        <v>903</v>
      </c>
      <c r="B62" s="1630" t="s">
        <v>1187</v>
      </c>
      <c r="C62" s="1631">
        <v>9.8000000000000004E-2</v>
      </c>
      <c r="D62" s="1631">
        <v>9.2999999999999999E-2</v>
      </c>
      <c r="E62" s="1631">
        <v>9.7000000000000003E-2</v>
      </c>
      <c r="F62" s="1639"/>
    </row>
    <row r="63" spans="1:6" ht="14.25" thickBot="1">
      <c r="A63" s="1626" t="s">
        <v>903</v>
      </c>
      <c r="B63" s="1630" t="s">
        <v>1197</v>
      </c>
      <c r="C63" s="1631">
        <v>9.6000000000000002E-2</v>
      </c>
      <c r="D63" s="1631">
        <v>9.8000000000000004E-2</v>
      </c>
      <c r="E63" s="1631">
        <v>0.09</v>
      </c>
      <c r="F63" s="1639"/>
    </row>
    <row r="64" spans="1:6" ht="14.25" thickBot="1">
      <c r="A64" s="1626" t="s">
        <v>903</v>
      </c>
      <c r="B64" s="1630" t="s">
        <v>1207</v>
      </c>
      <c r="C64" s="1631">
        <v>9.9000000000000005E-2</v>
      </c>
      <c r="D64" s="1631">
        <v>9.7000000000000003E-2</v>
      </c>
      <c r="E64" s="1631">
        <v>9.9000000000000005E-2</v>
      </c>
      <c r="F64" s="1639"/>
    </row>
    <row r="65" spans="1:6" ht="14.25" thickBot="1">
      <c r="A65" s="1626" t="s">
        <v>903</v>
      </c>
      <c r="B65" s="1630" t="s">
        <v>1217</v>
      </c>
      <c r="C65" s="1631">
        <v>9.8000000000000004E-2</v>
      </c>
      <c r="D65" s="1631">
        <v>9.6000000000000002E-2</v>
      </c>
      <c r="E65" s="1631">
        <v>9.6000000000000002E-2</v>
      </c>
      <c r="F65" s="1639"/>
    </row>
    <row r="66" spans="1:6" ht="14.25" thickBot="1">
      <c r="A66" s="1626" t="s">
        <v>903</v>
      </c>
      <c r="B66" s="1630" t="s">
        <v>1227</v>
      </c>
      <c r="C66" s="1631">
        <v>9.6000000000000002E-2</v>
      </c>
      <c r="D66" s="1631">
        <v>9.1999999999999998E-2</v>
      </c>
      <c r="E66" s="1631">
        <v>9.6000000000000002E-2</v>
      </c>
      <c r="F66" s="1639"/>
    </row>
    <row r="67" spans="1:6" ht="14.25" thickBot="1">
      <c r="A67" s="1626" t="s">
        <v>903</v>
      </c>
      <c r="B67" s="1630" t="s">
        <v>1237</v>
      </c>
      <c r="C67" s="1631">
        <v>9.4E-2</v>
      </c>
      <c r="D67" s="1631">
        <v>0.1</v>
      </c>
      <c r="E67" s="1631">
        <v>8.7999999999999995E-2</v>
      </c>
      <c r="F67" s="1639"/>
    </row>
    <row r="68" spans="1:6" ht="14.25" thickBot="1">
      <c r="A68" s="1626" t="s">
        <v>903</v>
      </c>
      <c r="B68" s="1630" t="s">
        <v>1246</v>
      </c>
      <c r="C68" s="1631">
        <v>0.1</v>
      </c>
      <c r="D68" s="1631">
        <v>8.7999999999999995E-2</v>
      </c>
      <c r="E68" s="1631">
        <v>9.7000000000000003E-2</v>
      </c>
      <c r="F68" s="1639"/>
    </row>
    <row r="69" spans="1:6" ht="14.25" thickBot="1">
      <c r="A69" s="1626" t="s">
        <v>903</v>
      </c>
      <c r="B69" s="1630" t="s">
        <v>1255</v>
      </c>
      <c r="C69" s="1631">
        <v>6.4000000000000001E-2</v>
      </c>
      <c r="D69" s="1631">
        <v>0.1</v>
      </c>
      <c r="E69" s="1631">
        <v>0.1</v>
      </c>
      <c r="F69" s="1639"/>
    </row>
    <row r="70" spans="1:6" ht="14.25" thickBot="1">
      <c r="A70" s="1626" t="s">
        <v>903</v>
      </c>
      <c r="B70" s="1630" t="s">
        <v>1263</v>
      </c>
      <c r="C70" s="1631">
        <v>9.0999999999999998E-2</v>
      </c>
      <c r="D70" s="1640"/>
      <c r="E70" s="1640"/>
      <c r="F70" s="1639"/>
    </row>
    <row r="71" spans="1:6" ht="14.25" thickBot="1">
      <c r="A71" s="1626" t="s">
        <v>903</v>
      </c>
      <c r="B71" s="1630" t="s">
        <v>1270</v>
      </c>
      <c r="C71" s="1631">
        <v>0.1</v>
      </c>
      <c r="D71" s="1640"/>
      <c r="E71" s="1640"/>
      <c r="F71" s="1639"/>
    </row>
    <row r="72" spans="1:6" ht="24.75" thickBot="1">
      <c r="A72" s="1626" t="s">
        <v>903</v>
      </c>
      <c r="B72" s="1630" t="s">
        <v>1884</v>
      </c>
      <c r="C72" s="1640"/>
      <c r="D72" s="1640"/>
      <c r="E72" s="1640"/>
      <c r="F72" s="1632">
        <v>0.05</v>
      </c>
    </row>
    <row r="73" spans="1:6" ht="24.75" thickBot="1">
      <c r="A73" s="1626" t="s">
        <v>903</v>
      </c>
      <c r="B73" s="1630" t="s">
        <v>1885</v>
      </c>
      <c r="C73" s="1640"/>
      <c r="D73" s="1640"/>
      <c r="E73" s="1640"/>
      <c r="F73" s="1632">
        <v>0.05</v>
      </c>
    </row>
    <row r="74" spans="1:6" ht="24.75" thickBot="1">
      <c r="A74" s="1626" t="s">
        <v>903</v>
      </c>
      <c r="B74" s="1630" t="s">
        <v>1886</v>
      </c>
      <c r="C74" s="1640"/>
      <c r="D74" s="1640"/>
      <c r="E74" s="1640"/>
      <c r="F74" s="1632">
        <v>0.05</v>
      </c>
    </row>
    <row r="75" spans="1:6" ht="24.75" thickBot="1">
      <c r="A75" s="1634" t="s">
        <v>903</v>
      </c>
      <c r="B75" s="1641" t="s">
        <v>1887</v>
      </c>
      <c r="C75" s="1637"/>
      <c r="D75" s="1637"/>
      <c r="E75" s="1637"/>
      <c r="F75" s="1642">
        <v>0.05</v>
      </c>
    </row>
    <row r="76" spans="1:6" ht="14.25" thickBot="1">
      <c r="A76" s="1626" t="s">
        <v>1385</v>
      </c>
      <c r="B76" s="1627" t="s">
        <v>1888</v>
      </c>
      <c r="C76" s="1628">
        <v>0.1</v>
      </c>
      <c r="D76" s="1628">
        <v>0.1</v>
      </c>
      <c r="E76" s="1628">
        <v>0.1</v>
      </c>
      <c r="F76" s="1629">
        <v>0.1</v>
      </c>
    </row>
    <row r="77" spans="1:6" ht="14.25" thickBot="1">
      <c r="A77" s="1626" t="s">
        <v>1385</v>
      </c>
      <c r="B77" s="1630" t="s">
        <v>1052</v>
      </c>
      <c r="C77" s="1631">
        <v>8.7999999999999995E-2</v>
      </c>
      <c r="D77" s="1631">
        <v>8.6999999999999994E-2</v>
      </c>
      <c r="E77" s="1631">
        <v>7.9000000000000001E-2</v>
      </c>
      <c r="F77" s="1632">
        <v>0.1</v>
      </c>
    </row>
    <row r="78" spans="1:6" ht="14.25" thickBot="1">
      <c r="A78" s="1626" t="s">
        <v>1385</v>
      </c>
      <c r="B78" s="1630" t="s">
        <v>1066</v>
      </c>
      <c r="C78" s="1631">
        <v>8.6999999999999994E-2</v>
      </c>
      <c r="D78" s="1631">
        <v>8.4000000000000005E-2</v>
      </c>
      <c r="E78" s="1631">
        <v>9.6000000000000002E-2</v>
      </c>
      <c r="F78" s="1632">
        <v>0.1</v>
      </c>
    </row>
    <row r="79" spans="1:6" ht="14.25" thickBot="1">
      <c r="A79" s="1626" t="s">
        <v>1385</v>
      </c>
      <c r="B79" s="1630" t="s">
        <v>1079</v>
      </c>
      <c r="C79" s="1631">
        <v>9.8000000000000004E-2</v>
      </c>
      <c r="D79" s="1631">
        <v>9.8000000000000004E-2</v>
      </c>
      <c r="E79" s="1631">
        <v>9.0999999999999998E-2</v>
      </c>
      <c r="F79" s="1632">
        <v>0.1</v>
      </c>
    </row>
    <row r="80" spans="1:6" ht="14.25" thickBot="1">
      <c r="A80" s="1626" t="s">
        <v>1385</v>
      </c>
      <c r="B80" s="1630" t="s">
        <v>1093</v>
      </c>
      <c r="C80" s="1631">
        <v>9.6000000000000002E-2</v>
      </c>
      <c r="D80" s="1631">
        <v>9.6000000000000002E-2</v>
      </c>
      <c r="E80" s="1631">
        <v>0.1</v>
      </c>
      <c r="F80" s="1632">
        <v>0.1</v>
      </c>
    </row>
    <row r="81" spans="1:6" ht="14.25" thickBot="1">
      <c r="A81" s="1626" t="s">
        <v>1385</v>
      </c>
      <c r="B81" s="1630" t="s">
        <v>1104</v>
      </c>
      <c r="C81" s="1631">
        <v>9.9000000000000005E-2</v>
      </c>
      <c r="D81" s="1631">
        <v>9.9000000000000005E-2</v>
      </c>
      <c r="E81" s="1631">
        <v>9.8000000000000004E-2</v>
      </c>
      <c r="F81" s="1632">
        <v>0.1</v>
      </c>
    </row>
    <row r="82" spans="1:6" ht="14.25" thickBot="1">
      <c r="A82" s="1626" t="s">
        <v>1385</v>
      </c>
      <c r="B82" s="1630" t="s">
        <v>1115</v>
      </c>
      <c r="C82" s="1631">
        <v>9.9000000000000005E-2</v>
      </c>
      <c r="D82" s="1631">
        <v>9.9000000000000005E-2</v>
      </c>
      <c r="E82" s="1631">
        <v>9.7000000000000003E-2</v>
      </c>
      <c r="F82" s="1632">
        <v>0.1</v>
      </c>
    </row>
    <row r="83" spans="1:6" ht="14.25" thickBot="1">
      <c r="A83" s="1626" t="s">
        <v>1385</v>
      </c>
      <c r="B83" s="1630" t="s">
        <v>1126</v>
      </c>
      <c r="C83" s="1631">
        <v>9.8000000000000004E-2</v>
      </c>
      <c r="D83" s="1631">
        <v>9.8000000000000004E-2</v>
      </c>
      <c r="E83" s="1631">
        <v>9.8000000000000004E-2</v>
      </c>
      <c r="F83" s="1632">
        <v>0.1</v>
      </c>
    </row>
    <row r="84" spans="1:6" ht="14.25" thickBot="1">
      <c r="A84" s="1626" t="s">
        <v>1385</v>
      </c>
      <c r="B84" s="1630" t="s">
        <v>1138</v>
      </c>
      <c r="C84" s="1631">
        <v>9.9000000000000005E-2</v>
      </c>
      <c r="D84" s="1631">
        <v>9.9000000000000005E-2</v>
      </c>
      <c r="E84" s="1631">
        <v>9.9000000000000005E-2</v>
      </c>
      <c r="F84" s="1632">
        <v>0.1</v>
      </c>
    </row>
    <row r="85" spans="1:6" ht="14.25" thickBot="1">
      <c r="A85" s="1626" t="s">
        <v>1385</v>
      </c>
      <c r="B85" s="1630" t="s">
        <v>1148</v>
      </c>
      <c r="C85" s="1631">
        <v>9.9000000000000005E-2</v>
      </c>
      <c r="D85" s="1631">
        <v>9.9000000000000005E-2</v>
      </c>
      <c r="E85" s="1631">
        <v>9.9000000000000005E-2</v>
      </c>
      <c r="F85" s="1632">
        <v>0.1</v>
      </c>
    </row>
    <row r="86" spans="1:6" ht="14.25" thickBot="1">
      <c r="A86" s="1626" t="s">
        <v>1385</v>
      </c>
      <c r="B86" s="1630" t="s">
        <v>1158</v>
      </c>
      <c r="C86" s="1631">
        <v>0.1</v>
      </c>
      <c r="D86" s="1631">
        <v>0.1</v>
      </c>
      <c r="E86" s="1631">
        <v>7.6999999999999999E-2</v>
      </c>
      <c r="F86" s="1632">
        <v>0.1</v>
      </c>
    </row>
    <row r="87" spans="1:6" ht="14.25" thickBot="1">
      <c r="A87" s="1626" t="s">
        <v>1385</v>
      </c>
      <c r="B87" s="1630" t="s">
        <v>1168</v>
      </c>
      <c r="C87" s="1631">
        <v>0.1</v>
      </c>
      <c r="D87" s="1631">
        <v>0.1</v>
      </c>
      <c r="E87" s="1631">
        <v>9.8000000000000004E-2</v>
      </c>
      <c r="F87" s="1639"/>
    </row>
    <row r="88" spans="1:6" ht="14.25" thickBot="1">
      <c r="A88" s="1626" t="s">
        <v>1385</v>
      </c>
      <c r="B88" s="1630" t="s">
        <v>1178</v>
      </c>
      <c r="C88" s="1631">
        <v>9.1999999999999998E-2</v>
      </c>
      <c r="D88" s="1631">
        <v>8.5000000000000006E-2</v>
      </c>
      <c r="E88" s="1631">
        <v>9.6000000000000002E-2</v>
      </c>
      <c r="F88" s="1639"/>
    </row>
    <row r="89" spans="1:6" ht="14.25" thickBot="1">
      <c r="A89" s="1626" t="s">
        <v>1385</v>
      </c>
      <c r="B89" s="1630" t="s">
        <v>1188</v>
      </c>
      <c r="C89" s="1631">
        <v>0.1</v>
      </c>
      <c r="D89" s="1631">
        <v>0.1</v>
      </c>
      <c r="E89" s="1631">
        <v>9.7000000000000003E-2</v>
      </c>
      <c r="F89" s="1639"/>
    </row>
    <row r="90" spans="1:6" ht="14.25" thickBot="1">
      <c r="A90" s="1626" t="s">
        <v>1385</v>
      </c>
      <c r="B90" s="1630" t="s">
        <v>1198</v>
      </c>
      <c r="C90" s="1631">
        <v>9.8000000000000004E-2</v>
      </c>
      <c r="D90" s="1631">
        <v>9.8000000000000004E-2</v>
      </c>
      <c r="E90" s="1631">
        <v>8.7999999999999995E-2</v>
      </c>
      <c r="F90" s="1639"/>
    </row>
    <row r="91" spans="1:6" ht="14.25" thickBot="1">
      <c r="A91" s="1626" t="s">
        <v>1385</v>
      </c>
      <c r="B91" s="1630" t="s">
        <v>1208</v>
      </c>
      <c r="C91" s="1631">
        <v>9.9000000000000005E-2</v>
      </c>
      <c r="D91" s="1631">
        <v>9.9000000000000005E-2</v>
      </c>
      <c r="E91" s="1631">
        <v>9.0999999999999998E-2</v>
      </c>
      <c r="F91" s="1639"/>
    </row>
    <row r="92" spans="1:6" ht="14.25" thickBot="1">
      <c r="A92" s="1626" t="s">
        <v>1385</v>
      </c>
      <c r="B92" s="1630" t="s">
        <v>1218</v>
      </c>
      <c r="C92" s="1631">
        <v>9.6000000000000002E-2</v>
      </c>
      <c r="D92" s="1631">
        <v>9.6000000000000002E-2</v>
      </c>
      <c r="E92" s="1631">
        <v>7.2999999999999995E-2</v>
      </c>
      <c r="F92" s="1639"/>
    </row>
    <row r="93" spans="1:6" ht="14.25" thickBot="1">
      <c r="A93" s="1626" t="s">
        <v>1385</v>
      </c>
      <c r="B93" s="1630" t="s">
        <v>1228</v>
      </c>
      <c r="C93" s="1631">
        <v>9.6000000000000002E-2</v>
      </c>
      <c r="D93" s="1631">
        <v>9.6000000000000002E-2</v>
      </c>
      <c r="E93" s="1631">
        <v>9.9000000000000005E-2</v>
      </c>
      <c r="F93" s="1639"/>
    </row>
    <row r="94" spans="1:6" ht="14.25" thickBot="1">
      <c r="A94" s="1626" t="s">
        <v>1385</v>
      </c>
      <c r="B94" s="1630" t="s">
        <v>1238</v>
      </c>
      <c r="C94" s="1631">
        <v>7.5999999999999998E-2</v>
      </c>
      <c r="D94" s="1631">
        <v>7.3999999999999996E-2</v>
      </c>
      <c r="E94" s="1631">
        <v>9.7000000000000003E-2</v>
      </c>
      <c r="F94" s="1639"/>
    </row>
    <row r="95" spans="1:6" ht="14.25" thickBot="1">
      <c r="A95" s="1626" t="s">
        <v>1385</v>
      </c>
      <c r="B95" s="1630" t="s">
        <v>1247</v>
      </c>
      <c r="C95" s="1631">
        <v>9.9000000000000005E-2</v>
      </c>
      <c r="D95" s="1631">
        <v>9.4E-2</v>
      </c>
      <c r="E95" s="1631">
        <v>9.6000000000000002E-2</v>
      </c>
      <c r="F95" s="1639"/>
    </row>
    <row r="96" spans="1:6" ht="14.25" thickBot="1">
      <c r="A96" s="1626" t="s">
        <v>1385</v>
      </c>
      <c r="B96" s="1630" t="s">
        <v>1256</v>
      </c>
      <c r="C96" s="1631">
        <v>9.9000000000000005E-2</v>
      </c>
      <c r="D96" s="1631">
        <v>9.9000000000000005E-2</v>
      </c>
      <c r="E96" s="1631">
        <v>9.9000000000000005E-2</v>
      </c>
      <c r="F96" s="1639"/>
    </row>
    <row r="97" spans="1:6" ht="14.25" thickBot="1">
      <c r="A97" s="1626" t="s">
        <v>1385</v>
      </c>
      <c r="B97" s="1630" t="s">
        <v>1264</v>
      </c>
      <c r="C97" s="1631">
        <v>9.8000000000000004E-2</v>
      </c>
      <c r="D97" s="1631">
        <v>9.8000000000000004E-2</v>
      </c>
      <c r="E97" s="1631">
        <v>9.7000000000000003E-2</v>
      </c>
      <c r="F97" s="1639"/>
    </row>
    <row r="98" spans="1:6" ht="14.25" thickBot="1">
      <c r="A98" s="1626" t="s">
        <v>1385</v>
      </c>
      <c r="B98" s="1630" t="s">
        <v>1271</v>
      </c>
      <c r="C98" s="1631">
        <v>0.1</v>
      </c>
      <c r="D98" s="1631">
        <v>0.1</v>
      </c>
      <c r="E98" s="1631">
        <v>9.7000000000000003E-2</v>
      </c>
      <c r="F98" s="1639"/>
    </row>
    <row r="99" spans="1:6" ht="14.25" thickBot="1">
      <c r="A99" s="1626" t="s">
        <v>1385</v>
      </c>
      <c r="B99" s="1630" t="s">
        <v>1278</v>
      </c>
      <c r="C99" s="1631">
        <v>0.1</v>
      </c>
      <c r="D99" s="1631">
        <v>0.1</v>
      </c>
      <c r="E99" s="1640"/>
      <c r="F99" s="1639"/>
    </row>
    <row r="100" spans="1:6" ht="14.25" thickBot="1">
      <c r="A100" s="1626" t="s">
        <v>1385</v>
      </c>
      <c r="B100" s="1630" t="s">
        <v>1285</v>
      </c>
      <c r="C100" s="1631">
        <v>0.09</v>
      </c>
      <c r="D100" s="1631">
        <v>8.8999999999999996E-2</v>
      </c>
      <c r="E100" s="1640"/>
      <c r="F100" s="1639"/>
    </row>
    <row r="101" spans="1:6" ht="14.25" thickBot="1">
      <c r="A101" s="1626" t="s">
        <v>1385</v>
      </c>
      <c r="B101" s="1630" t="s">
        <v>1292</v>
      </c>
      <c r="C101" s="1631">
        <v>9.8000000000000004E-2</v>
      </c>
      <c r="D101" s="1631">
        <v>9.7000000000000003E-2</v>
      </c>
      <c r="E101" s="1640"/>
      <c r="F101" s="1639"/>
    </row>
    <row r="102" spans="1:6" ht="24.75" thickBot="1">
      <c r="A102" s="1626" t="s">
        <v>1385</v>
      </c>
      <c r="B102" s="1630" t="s">
        <v>1889</v>
      </c>
      <c r="C102" s="1640"/>
      <c r="D102" s="1640"/>
      <c r="E102" s="1640"/>
      <c r="F102" s="1632">
        <v>0.05</v>
      </c>
    </row>
    <row r="103" spans="1:6" ht="24.75" thickBot="1">
      <c r="A103" s="1626" t="s">
        <v>1385</v>
      </c>
      <c r="B103" s="1630" t="s">
        <v>1890</v>
      </c>
      <c r="C103" s="1640"/>
      <c r="D103" s="1640"/>
      <c r="E103" s="1640"/>
      <c r="F103" s="1632">
        <v>0.05</v>
      </c>
    </row>
    <row r="104" spans="1:6" ht="14.25" thickBot="1">
      <c r="A104" s="1626" t="s">
        <v>1385</v>
      </c>
      <c r="B104" s="1630" t="s">
        <v>1891</v>
      </c>
      <c r="C104" s="1640"/>
      <c r="D104" s="1640"/>
      <c r="E104" s="1640"/>
      <c r="F104" s="1632">
        <v>0.05</v>
      </c>
    </row>
    <row r="105" spans="1:6" ht="14.25" thickBot="1">
      <c r="A105" s="1626" t="s">
        <v>1385</v>
      </c>
      <c r="B105" s="1630" t="s">
        <v>1892</v>
      </c>
      <c r="C105" s="1640"/>
      <c r="D105" s="1640"/>
      <c r="E105" s="1640"/>
      <c r="F105" s="1632">
        <v>0.05</v>
      </c>
    </row>
    <row r="106" spans="1:6" ht="14.25" thickBot="1">
      <c r="A106" s="1626" t="s">
        <v>1385</v>
      </c>
      <c r="B106" s="1630" t="s">
        <v>1893</v>
      </c>
      <c r="C106" s="1640"/>
      <c r="D106" s="1640"/>
      <c r="E106" s="1640"/>
      <c r="F106" s="1632">
        <v>0.05</v>
      </c>
    </row>
    <row r="107" spans="1:6" ht="24.75" thickBot="1">
      <c r="A107" s="1626" t="s">
        <v>1385</v>
      </c>
      <c r="B107" s="1630" t="s">
        <v>1894</v>
      </c>
      <c r="C107" s="1640"/>
      <c r="D107" s="1640"/>
      <c r="E107" s="1640"/>
      <c r="F107" s="1632">
        <v>0.05</v>
      </c>
    </row>
    <row r="108" spans="1:6" ht="24.75" thickBot="1">
      <c r="A108" s="1626" t="s">
        <v>1385</v>
      </c>
      <c r="B108" s="1630" t="s">
        <v>1895</v>
      </c>
      <c r="C108" s="1640"/>
      <c r="D108" s="1640"/>
      <c r="E108" s="1640"/>
      <c r="F108" s="1632">
        <v>0.05</v>
      </c>
    </row>
    <row r="109" spans="1:6" ht="24.75" thickBot="1">
      <c r="A109" s="1634" t="s">
        <v>1385</v>
      </c>
      <c r="B109" s="1641" t="s">
        <v>1896</v>
      </c>
      <c r="C109" s="1637"/>
      <c r="D109" s="1637"/>
      <c r="E109" s="1637"/>
      <c r="F109" s="1642">
        <v>0.05</v>
      </c>
    </row>
    <row r="110" spans="1:6" ht="14.25" thickBot="1">
      <c r="A110" s="1626" t="s">
        <v>1387</v>
      </c>
      <c r="B110" s="1627" t="s">
        <v>1897</v>
      </c>
      <c r="C110" s="1628">
        <v>0.129</v>
      </c>
      <c r="D110" s="1628">
        <v>0.129</v>
      </c>
      <c r="E110" s="1628">
        <v>0.126</v>
      </c>
      <c r="F110" s="1629">
        <v>0.13</v>
      </c>
    </row>
    <row r="111" spans="1:6" ht="14.25" thickBot="1">
      <c r="A111" s="1626" t="s">
        <v>1387</v>
      </c>
      <c r="B111" s="1630" t="s">
        <v>1053</v>
      </c>
      <c r="C111" s="1631">
        <v>0.11</v>
      </c>
      <c r="D111" s="1631">
        <v>0.11</v>
      </c>
      <c r="E111" s="1631">
        <v>9.9000000000000005E-2</v>
      </c>
      <c r="F111" s="1632">
        <v>0.128</v>
      </c>
    </row>
    <row r="112" spans="1:6" ht="14.25" thickBot="1">
      <c r="A112" s="1626" t="s">
        <v>1387</v>
      </c>
      <c r="B112" s="1630" t="s">
        <v>1067</v>
      </c>
      <c r="C112" s="1631">
        <v>0.125</v>
      </c>
      <c r="D112" s="1631">
        <v>0.125</v>
      </c>
      <c r="E112" s="1631">
        <v>0.12</v>
      </c>
      <c r="F112" s="1632">
        <v>0.125</v>
      </c>
    </row>
    <row r="113" spans="1:6" ht="14.25" thickBot="1">
      <c r="A113" s="1626" t="s">
        <v>1387</v>
      </c>
      <c r="B113" s="1630" t="s">
        <v>1080</v>
      </c>
      <c r="C113" s="1631">
        <v>0.13</v>
      </c>
      <c r="D113" s="1631">
        <v>0.13</v>
      </c>
      <c r="E113" s="1631">
        <v>0.13</v>
      </c>
      <c r="F113" s="1632">
        <v>0.13</v>
      </c>
    </row>
    <row r="114" spans="1:6" ht="14.25" thickBot="1">
      <c r="A114" s="1626" t="s">
        <v>1387</v>
      </c>
      <c r="B114" s="1630" t="s">
        <v>1094</v>
      </c>
      <c r="C114" s="1631">
        <v>0.123</v>
      </c>
      <c r="D114" s="1631">
        <v>0.123</v>
      </c>
      <c r="E114" s="1631">
        <v>0.12</v>
      </c>
      <c r="F114" s="1632">
        <v>0.13</v>
      </c>
    </row>
    <row r="115" spans="1:6" ht="14.25" thickBot="1">
      <c r="A115" s="1626" t="s">
        <v>1387</v>
      </c>
      <c r="B115" s="1630" t="s">
        <v>1105</v>
      </c>
      <c r="C115" s="1631">
        <v>0.125</v>
      </c>
      <c r="D115" s="1631">
        <v>0.125</v>
      </c>
      <c r="E115" s="1631">
        <v>0.11700000000000001</v>
      </c>
      <c r="F115" s="1632">
        <v>0.13</v>
      </c>
    </row>
    <row r="116" spans="1:6" ht="14.25" thickBot="1">
      <c r="A116" s="1626" t="s">
        <v>1387</v>
      </c>
      <c r="B116" s="1630" t="s">
        <v>1116</v>
      </c>
      <c r="C116" s="1631">
        <v>0.11700000000000001</v>
      </c>
      <c r="D116" s="1631">
        <v>0.11700000000000001</v>
      </c>
      <c r="E116" s="1631">
        <v>8.7999999999999995E-2</v>
      </c>
      <c r="F116" s="1632">
        <v>0.13</v>
      </c>
    </row>
    <row r="117" spans="1:6" ht="14.25" thickBot="1">
      <c r="A117" s="1626" t="s">
        <v>1387</v>
      </c>
      <c r="B117" s="1630" t="s">
        <v>1127</v>
      </c>
      <c r="C117" s="1631">
        <v>0.13</v>
      </c>
      <c r="D117" s="1631">
        <v>0.13</v>
      </c>
      <c r="E117" s="1631">
        <v>0.129</v>
      </c>
      <c r="F117" s="1632">
        <v>0.13</v>
      </c>
    </row>
    <row r="118" spans="1:6" ht="14.25" thickBot="1">
      <c r="A118" s="1626" t="s">
        <v>1387</v>
      </c>
      <c r="B118" s="1630" t="s">
        <v>1139</v>
      </c>
      <c r="C118" s="1631">
        <v>0.123</v>
      </c>
      <c r="D118" s="1631">
        <v>0.123</v>
      </c>
      <c r="E118" s="1631">
        <v>0.11600000000000001</v>
      </c>
      <c r="F118" s="1632">
        <v>0.13</v>
      </c>
    </row>
    <row r="119" spans="1:6" ht="14.25" thickBot="1">
      <c r="A119" s="1626" t="s">
        <v>1387</v>
      </c>
      <c r="B119" s="1630" t="s">
        <v>1149</v>
      </c>
      <c r="C119" s="1631">
        <v>0.127</v>
      </c>
      <c r="D119" s="1631">
        <v>0.127</v>
      </c>
      <c r="E119" s="1631">
        <v>0.124</v>
      </c>
      <c r="F119" s="1632">
        <v>0.13</v>
      </c>
    </row>
    <row r="120" spans="1:6" ht="14.25" thickBot="1">
      <c r="A120" s="1626" t="s">
        <v>1387</v>
      </c>
      <c r="B120" s="1630" t="s">
        <v>1159</v>
      </c>
      <c r="C120" s="1631">
        <v>0.125</v>
      </c>
      <c r="D120" s="1631">
        <v>0.125</v>
      </c>
      <c r="E120" s="1631">
        <v>0.122</v>
      </c>
      <c r="F120" s="1632">
        <v>0.13</v>
      </c>
    </row>
    <row r="121" spans="1:6" ht="14.25" thickBot="1">
      <c r="A121" s="1626" t="s">
        <v>1387</v>
      </c>
      <c r="B121" s="1630" t="s">
        <v>1169</v>
      </c>
      <c r="C121" s="1631">
        <v>0.13</v>
      </c>
      <c r="D121" s="1631">
        <v>0.13</v>
      </c>
      <c r="E121" s="1631">
        <v>0.13</v>
      </c>
      <c r="F121" s="1632">
        <v>0.13</v>
      </c>
    </row>
    <row r="122" spans="1:6" ht="14.25" thickBot="1">
      <c r="A122" s="1626" t="s">
        <v>1387</v>
      </c>
      <c r="B122" s="1630" t="s">
        <v>1179</v>
      </c>
      <c r="C122" s="1631">
        <v>0.13</v>
      </c>
      <c r="D122" s="1631">
        <v>0.13</v>
      </c>
      <c r="E122" s="1631">
        <v>0.125</v>
      </c>
      <c r="F122" s="1632">
        <v>0.13</v>
      </c>
    </row>
    <row r="123" spans="1:6" ht="14.25" thickBot="1">
      <c r="A123" s="1626" t="s">
        <v>1387</v>
      </c>
      <c r="B123" s="1630" t="s">
        <v>1189</v>
      </c>
      <c r="C123" s="1631">
        <v>0.129</v>
      </c>
      <c r="D123" s="1631">
        <v>0.129</v>
      </c>
      <c r="E123" s="1631">
        <v>0.123</v>
      </c>
      <c r="F123" s="1632">
        <v>0.13</v>
      </c>
    </row>
    <row r="124" spans="1:6" ht="14.25" thickBot="1">
      <c r="A124" s="1626" t="s">
        <v>1387</v>
      </c>
      <c r="B124" s="1630" t="s">
        <v>1199</v>
      </c>
      <c r="C124" s="1631">
        <v>0.10199999999999999</v>
      </c>
      <c r="D124" s="1631">
        <v>0.10100000000000001</v>
      </c>
      <c r="E124" s="1631">
        <v>0.08</v>
      </c>
      <c r="F124" s="1639"/>
    </row>
    <row r="125" spans="1:6" ht="14.25" thickBot="1">
      <c r="A125" s="1626" t="s">
        <v>1387</v>
      </c>
      <c r="B125" s="1630" t="s">
        <v>1209</v>
      </c>
      <c r="C125" s="1631">
        <v>0.13</v>
      </c>
      <c r="D125" s="1631">
        <v>0.13</v>
      </c>
      <c r="E125" s="1631">
        <v>0.129</v>
      </c>
      <c r="F125" s="1639"/>
    </row>
    <row r="126" spans="1:6" ht="14.25" thickBot="1">
      <c r="A126" s="1626" t="s">
        <v>1387</v>
      </c>
      <c r="B126" s="1630" t="s">
        <v>1219</v>
      </c>
      <c r="C126" s="1631">
        <v>0.13</v>
      </c>
      <c r="D126" s="1631">
        <v>0.13</v>
      </c>
      <c r="E126" s="1631">
        <v>0.126</v>
      </c>
      <c r="F126" s="1639"/>
    </row>
    <row r="127" spans="1:6" ht="14.25" thickBot="1">
      <c r="A127" s="1626" t="s">
        <v>1387</v>
      </c>
      <c r="B127" s="1630" t="s">
        <v>1229</v>
      </c>
      <c r="C127" s="1631">
        <v>0.125</v>
      </c>
      <c r="D127" s="1631">
        <v>0.125</v>
      </c>
      <c r="E127" s="1631">
        <v>0.121</v>
      </c>
      <c r="F127" s="1639"/>
    </row>
    <row r="128" spans="1:6" ht="14.25" thickBot="1">
      <c r="A128" s="1626" t="s">
        <v>1387</v>
      </c>
      <c r="B128" s="1630" t="s">
        <v>1239</v>
      </c>
      <c r="C128" s="1631">
        <v>0.12</v>
      </c>
      <c r="D128" s="1631">
        <v>0.12</v>
      </c>
      <c r="E128" s="1631">
        <v>0.105</v>
      </c>
      <c r="F128" s="1639"/>
    </row>
    <row r="129" spans="1:6" ht="14.25" thickBot="1">
      <c r="A129" s="1626" t="s">
        <v>1387</v>
      </c>
      <c r="B129" s="1630" t="s">
        <v>1248</v>
      </c>
      <c r="C129" s="1631">
        <v>0.13</v>
      </c>
      <c r="D129" s="1631">
        <v>0.13</v>
      </c>
      <c r="E129" s="1631">
        <v>0.126</v>
      </c>
      <c r="F129" s="1639"/>
    </row>
    <row r="130" spans="1:6" ht="14.25" thickBot="1">
      <c r="A130" s="1626" t="s">
        <v>1387</v>
      </c>
      <c r="B130" s="1630" t="s">
        <v>1257</v>
      </c>
      <c r="C130" s="1631">
        <v>0.125</v>
      </c>
      <c r="D130" s="1631">
        <v>0.125</v>
      </c>
      <c r="E130" s="1631">
        <v>0.122</v>
      </c>
      <c r="F130" s="1639"/>
    </row>
    <row r="131" spans="1:6" ht="14.25" thickBot="1">
      <c r="A131" s="1626" t="s">
        <v>1387</v>
      </c>
      <c r="B131" s="1630" t="s">
        <v>1265</v>
      </c>
      <c r="C131" s="1631">
        <v>0.127</v>
      </c>
      <c r="D131" s="1631">
        <v>0.126</v>
      </c>
      <c r="E131" s="1631">
        <v>0.123</v>
      </c>
      <c r="F131" s="1639"/>
    </row>
    <row r="132" spans="1:6" ht="14.25" thickBot="1">
      <c r="A132" s="1626" t="s">
        <v>1387</v>
      </c>
      <c r="B132" s="1630" t="s">
        <v>1272</v>
      </c>
      <c r="C132" s="1631">
        <v>9.0999999999999998E-2</v>
      </c>
      <c r="D132" s="1631">
        <v>0.121</v>
      </c>
      <c r="E132" s="1631">
        <v>9.9000000000000005E-2</v>
      </c>
      <c r="F132" s="1639"/>
    </row>
    <row r="133" spans="1:6" ht="14.25" thickBot="1">
      <c r="A133" s="1626" t="s">
        <v>1387</v>
      </c>
      <c r="B133" s="1630" t="s">
        <v>1279</v>
      </c>
      <c r="C133" s="1631">
        <v>0.13</v>
      </c>
      <c r="D133" s="1631">
        <v>0.13</v>
      </c>
      <c r="E133" s="1631">
        <v>0.129</v>
      </c>
      <c r="F133" s="1639"/>
    </row>
    <row r="134" spans="1:6" ht="14.25" thickBot="1">
      <c r="A134" s="1626" t="s">
        <v>1387</v>
      </c>
      <c r="B134" s="1630" t="s">
        <v>1898</v>
      </c>
      <c r="C134" s="1631">
        <v>6.8000000000000005E-2</v>
      </c>
      <c r="D134" s="1631">
        <v>6.5000000000000002E-2</v>
      </c>
      <c r="E134" s="1631">
        <v>6.5000000000000002E-2</v>
      </c>
      <c r="F134" s="1632">
        <v>0.13</v>
      </c>
    </row>
    <row r="135" spans="1:6" ht="14.25" thickBot="1">
      <c r="A135" s="1626" t="s">
        <v>1387</v>
      </c>
      <c r="B135" s="1630" t="s">
        <v>1293</v>
      </c>
      <c r="C135" s="1631">
        <v>0.123</v>
      </c>
      <c r="D135" s="1631">
        <v>0.123</v>
      </c>
      <c r="E135" s="1631">
        <v>0.11</v>
      </c>
      <c r="F135" s="1639"/>
    </row>
    <row r="136" spans="1:6" ht="14.25" thickBot="1">
      <c r="A136" s="1626" t="s">
        <v>1387</v>
      </c>
      <c r="B136" s="1630" t="s">
        <v>1300</v>
      </c>
      <c r="C136" s="1631">
        <v>0.13</v>
      </c>
      <c r="D136" s="1631">
        <v>0.13</v>
      </c>
      <c r="E136" s="1631">
        <v>0.125</v>
      </c>
      <c r="F136" s="1639"/>
    </row>
    <row r="137" spans="1:6" ht="14.25" thickBot="1">
      <c r="A137" s="1626" t="s">
        <v>1387</v>
      </c>
      <c r="B137" s="1630" t="s">
        <v>1307</v>
      </c>
      <c r="C137" s="1631">
        <v>0.121</v>
      </c>
      <c r="D137" s="1631">
        <v>0.122</v>
      </c>
      <c r="E137" s="1631">
        <v>0.115</v>
      </c>
      <c r="F137" s="1639"/>
    </row>
    <row r="138" spans="1:6" ht="14.25" thickBot="1">
      <c r="A138" s="1626" t="s">
        <v>1387</v>
      </c>
      <c r="B138" s="1630" t="s">
        <v>1899</v>
      </c>
      <c r="C138" s="1631">
        <v>0.105</v>
      </c>
      <c r="D138" s="1631">
        <v>0.125</v>
      </c>
      <c r="E138" s="1631">
        <v>0.112</v>
      </c>
      <c r="F138" s="1639"/>
    </row>
    <row r="139" spans="1:6" ht="14.25" thickBot="1">
      <c r="A139" s="1626" t="s">
        <v>1387</v>
      </c>
      <c r="B139" s="1630" t="s">
        <v>1900</v>
      </c>
      <c r="C139" s="1631">
        <v>0.127</v>
      </c>
      <c r="D139" s="1631">
        <v>0.127</v>
      </c>
      <c r="E139" s="1631">
        <v>0.122</v>
      </c>
      <c r="F139" s="1632">
        <v>0.13</v>
      </c>
    </row>
    <row r="140" spans="1:6" ht="14.25" thickBot="1">
      <c r="A140" s="1626" t="s">
        <v>1387</v>
      </c>
      <c r="B140" s="1630" t="s">
        <v>1901</v>
      </c>
      <c r="C140" s="1631">
        <v>0.125</v>
      </c>
      <c r="D140" s="1631">
        <v>0.125</v>
      </c>
      <c r="E140" s="1631">
        <v>0.11899999999999999</v>
      </c>
      <c r="F140" s="1632">
        <v>0.13</v>
      </c>
    </row>
    <row r="141" spans="1:6" ht="14.25" thickBot="1">
      <c r="A141" s="1626" t="s">
        <v>1387</v>
      </c>
      <c r="B141" s="1630" t="s">
        <v>1326</v>
      </c>
      <c r="C141" s="1631">
        <v>0.125</v>
      </c>
      <c r="D141" s="1631">
        <v>0.125</v>
      </c>
      <c r="E141" s="1631">
        <v>0.11700000000000001</v>
      </c>
      <c r="F141" s="1639"/>
    </row>
    <row r="142" spans="1:6" ht="14.25" thickBot="1">
      <c r="A142" s="1626" t="s">
        <v>1387</v>
      </c>
      <c r="B142" s="1630" t="s">
        <v>1331</v>
      </c>
      <c r="C142" s="1631">
        <v>0.125</v>
      </c>
      <c r="D142" s="1631">
        <v>0.125</v>
      </c>
      <c r="E142" s="1631">
        <v>0.115</v>
      </c>
      <c r="F142" s="1639"/>
    </row>
    <row r="143" spans="1:6" ht="14.25" thickBot="1">
      <c r="A143" s="1626" t="s">
        <v>1387</v>
      </c>
      <c r="B143" s="1630" t="s">
        <v>1336</v>
      </c>
      <c r="C143" s="1631">
        <v>0.121</v>
      </c>
      <c r="D143" s="1631">
        <v>0.121</v>
      </c>
      <c r="E143" s="1631">
        <v>0.108</v>
      </c>
      <c r="F143" s="1639"/>
    </row>
    <row r="144" spans="1:6" ht="14.25" thickBot="1">
      <c r="A144" s="1626" t="s">
        <v>1387</v>
      </c>
      <c r="B144" s="1643" t="s">
        <v>1902</v>
      </c>
      <c r="C144" s="1644">
        <v>0.126</v>
      </c>
      <c r="D144" s="1644">
        <v>0.126</v>
      </c>
      <c r="E144" s="1644">
        <v>0.121</v>
      </c>
      <c r="F144" s="1639"/>
    </row>
    <row r="145" spans="1:6" ht="14.25" thickBot="1">
      <c r="A145" s="1634" t="s">
        <v>1387</v>
      </c>
      <c r="B145" s="1645" t="s">
        <v>1903</v>
      </c>
      <c r="C145" s="1646"/>
      <c r="D145" s="1646"/>
      <c r="E145" s="1646"/>
      <c r="F145" s="1647">
        <v>0.05</v>
      </c>
    </row>
    <row r="146" spans="1:6" ht="24.75" thickBot="1">
      <c r="A146" s="1648" t="s">
        <v>1387</v>
      </c>
      <c r="B146" s="1633" t="s">
        <v>1904</v>
      </c>
      <c r="C146" s="1640"/>
      <c r="D146" s="1640"/>
      <c r="E146" s="1640"/>
      <c r="F146" s="1649">
        <v>0.05</v>
      </c>
    </row>
    <row r="147" spans="1:6" ht="24.75" thickBot="1">
      <c r="A147" s="1626" t="s">
        <v>1387</v>
      </c>
      <c r="B147" s="1630" t="s">
        <v>1905</v>
      </c>
      <c r="C147" s="1640"/>
      <c r="D147" s="1640"/>
      <c r="E147" s="1640"/>
      <c r="F147" s="1632">
        <v>0.05</v>
      </c>
    </row>
    <row r="148" spans="1:6" ht="24.75" thickBot="1">
      <c r="A148" s="1626" t="s">
        <v>1387</v>
      </c>
      <c r="B148" s="1630" t="s">
        <v>1906</v>
      </c>
      <c r="C148" s="1640"/>
      <c r="D148" s="1640"/>
      <c r="E148" s="1640"/>
      <c r="F148" s="1632">
        <v>0.05</v>
      </c>
    </row>
    <row r="149" spans="1:6" ht="24.75" thickBot="1">
      <c r="A149" s="1626" t="s">
        <v>1387</v>
      </c>
      <c r="B149" s="1630" t="s">
        <v>1907</v>
      </c>
      <c r="C149" s="1640"/>
      <c r="D149" s="1640"/>
      <c r="E149" s="1640"/>
      <c r="F149" s="1632">
        <v>0.05</v>
      </c>
    </row>
    <row r="150" spans="1:6" ht="24.75" thickBot="1">
      <c r="A150" s="1626" t="s">
        <v>1387</v>
      </c>
      <c r="B150" s="1630" t="s">
        <v>1908</v>
      </c>
      <c r="C150" s="1640"/>
      <c r="D150" s="1640"/>
      <c r="E150" s="1640"/>
      <c r="F150" s="1632">
        <v>0.05</v>
      </c>
    </row>
    <row r="151" spans="1:6" ht="24.75" thickBot="1">
      <c r="A151" s="1626" t="s">
        <v>1387</v>
      </c>
      <c r="B151" s="1630" t="s">
        <v>1909</v>
      </c>
      <c r="C151" s="1640"/>
      <c r="D151" s="1640"/>
      <c r="E151" s="1640"/>
      <c r="F151" s="1632">
        <v>0.05</v>
      </c>
    </row>
    <row r="152" spans="1:6" ht="24.75" thickBot="1">
      <c r="A152" s="1626" t="s">
        <v>1387</v>
      </c>
      <c r="B152" s="1630" t="s">
        <v>1369</v>
      </c>
      <c r="C152" s="1640"/>
      <c r="D152" s="1640"/>
      <c r="E152" s="1640"/>
      <c r="F152" s="1632">
        <v>0.05</v>
      </c>
    </row>
    <row r="153" spans="1:6" ht="14.25" thickBot="1">
      <c r="A153" s="1626" t="s">
        <v>1387</v>
      </c>
      <c r="B153" s="1630" t="s">
        <v>1910</v>
      </c>
      <c r="C153" s="1640"/>
      <c r="D153" s="1640"/>
      <c r="E153" s="1640"/>
      <c r="F153" s="1632">
        <v>0.05</v>
      </c>
    </row>
    <row r="154" spans="1:6" ht="14.25" thickBot="1">
      <c r="A154" s="1626" t="s">
        <v>1387</v>
      </c>
      <c r="B154" s="1630" t="s">
        <v>1911</v>
      </c>
      <c r="C154" s="1640"/>
      <c r="D154" s="1640"/>
      <c r="E154" s="1640"/>
      <c r="F154" s="1632">
        <v>0.05</v>
      </c>
    </row>
    <row r="155" spans="1:6" ht="24.75" thickBot="1">
      <c r="A155" s="1626" t="s">
        <v>1387</v>
      </c>
      <c r="B155" s="1630" t="s">
        <v>1912</v>
      </c>
      <c r="C155" s="1640"/>
      <c r="D155" s="1640"/>
      <c r="E155" s="1640"/>
      <c r="F155" s="1632">
        <v>0.05</v>
      </c>
    </row>
    <row r="156" spans="1:6" ht="24.75" thickBot="1">
      <c r="A156" s="1626" t="s">
        <v>1387</v>
      </c>
      <c r="B156" s="1630" t="s">
        <v>1913</v>
      </c>
      <c r="C156" s="1640"/>
      <c r="D156" s="1640"/>
      <c r="E156" s="1640"/>
      <c r="F156" s="1632">
        <v>0.05</v>
      </c>
    </row>
    <row r="157" spans="1:6" ht="14.25" thickBot="1">
      <c r="A157" s="1634" t="s">
        <v>1387</v>
      </c>
      <c r="B157" s="1641" t="s">
        <v>1914</v>
      </c>
      <c r="C157" s="1637"/>
      <c r="D157" s="1637"/>
      <c r="E157" s="1637"/>
      <c r="F157" s="1642">
        <v>0.05</v>
      </c>
    </row>
    <row r="158" spans="1:6" ht="14.25" thickBot="1">
      <c r="A158" s="1626" t="s">
        <v>1389</v>
      </c>
      <c r="B158" s="1627" t="s">
        <v>1915</v>
      </c>
      <c r="C158" s="1628">
        <v>0.13</v>
      </c>
      <c r="D158" s="1628">
        <v>0.13</v>
      </c>
      <c r="E158" s="1628">
        <v>0.13</v>
      </c>
      <c r="F158" s="1629">
        <v>0.13</v>
      </c>
    </row>
    <row r="159" spans="1:6" ht="14.25" thickBot="1">
      <c r="A159" s="1626" t="s">
        <v>1389</v>
      </c>
      <c r="B159" s="1630" t="s">
        <v>1054</v>
      </c>
      <c r="C159" s="1631">
        <v>0.13</v>
      </c>
      <c r="D159" s="1631">
        <v>0.13</v>
      </c>
      <c r="E159" s="1631">
        <v>0.13</v>
      </c>
      <c r="F159" s="1632">
        <v>0.13</v>
      </c>
    </row>
    <row r="160" spans="1:6" ht="14.25" thickBot="1">
      <c r="A160" s="1626" t="s">
        <v>1389</v>
      </c>
      <c r="B160" s="1630" t="s">
        <v>1068</v>
      </c>
      <c r="C160" s="1631">
        <v>0.13</v>
      </c>
      <c r="D160" s="1631">
        <v>0.13</v>
      </c>
      <c r="E160" s="1631">
        <v>0.129</v>
      </c>
      <c r="F160" s="1632">
        <v>0.13</v>
      </c>
    </row>
    <row r="161" spans="1:6" ht="14.25" thickBot="1">
      <c r="A161" s="1626" t="s">
        <v>1389</v>
      </c>
      <c r="B161" s="1630" t="s">
        <v>1081</v>
      </c>
      <c r="C161" s="1631">
        <v>0.128</v>
      </c>
      <c r="D161" s="1631">
        <v>0.128</v>
      </c>
      <c r="E161" s="1631">
        <v>0.125</v>
      </c>
      <c r="F161" s="1632">
        <v>0.13</v>
      </c>
    </row>
    <row r="162" spans="1:6" ht="14.25" thickBot="1">
      <c r="A162" s="1626" t="s">
        <v>1389</v>
      </c>
      <c r="B162" s="1630" t="s">
        <v>1095</v>
      </c>
      <c r="C162" s="1631">
        <v>0.122</v>
      </c>
      <c r="D162" s="1631">
        <v>0.122</v>
      </c>
      <c r="E162" s="1631">
        <v>0.126</v>
      </c>
      <c r="F162" s="1632">
        <v>0.122</v>
      </c>
    </row>
    <row r="163" spans="1:6" ht="14.25" thickBot="1">
      <c r="A163" s="1626" t="s">
        <v>1389</v>
      </c>
      <c r="B163" s="1630" t="s">
        <v>1106</v>
      </c>
      <c r="C163" s="1631">
        <v>0.13</v>
      </c>
      <c r="D163" s="1631">
        <v>0.13</v>
      </c>
      <c r="E163" s="1631">
        <v>0.125</v>
      </c>
      <c r="F163" s="1632">
        <v>0.13</v>
      </c>
    </row>
    <row r="164" spans="1:6" ht="14.25" thickBot="1">
      <c r="A164" s="1626" t="s">
        <v>1389</v>
      </c>
      <c r="B164" s="1630" t="s">
        <v>1117</v>
      </c>
      <c r="C164" s="1631">
        <v>0.13</v>
      </c>
      <c r="D164" s="1631">
        <v>0.13</v>
      </c>
      <c r="E164" s="1631">
        <v>0.13</v>
      </c>
      <c r="F164" s="1632">
        <v>0.13</v>
      </c>
    </row>
    <row r="165" spans="1:6" ht="14.25" thickBot="1">
      <c r="A165" s="1626" t="s">
        <v>1389</v>
      </c>
      <c r="B165" s="1630" t="s">
        <v>1128</v>
      </c>
      <c r="C165" s="1631">
        <v>0.13</v>
      </c>
      <c r="D165" s="1631">
        <v>0.13</v>
      </c>
      <c r="E165" s="1631">
        <v>0.124</v>
      </c>
      <c r="F165" s="1632">
        <v>0.13</v>
      </c>
    </row>
    <row r="166" spans="1:6" ht="14.25" thickBot="1">
      <c r="A166" s="1626" t="s">
        <v>1389</v>
      </c>
      <c r="B166" s="1630" t="s">
        <v>1140</v>
      </c>
      <c r="C166" s="1631">
        <v>0.13</v>
      </c>
      <c r="D166" s="1631">
        <v>0.13</v>
      </c>
      <c r="E166" s="1631">
        <v>0.13</v>
      </c>
      <c r="F166" s="1632">
        <v>0.13</v>
      </c>
    </row>
    <row r="167" spans="1:6" ht="14.25" thickBot="1">
      <c r="A167" s="1626" t="s">
        <v>1389</v>
      </c>
      <c r="B167" s="1630" t="s">
        <v>1150</v>
      </c>
      <c r="C167" s="1631">
        <v>0.125</v>
      </c>
      <c r="D167" s="1631">
        <v>0.125</v>
      </c>
      <c r="E167" s="1631">
        <v>0.121</v>
      </c>
      <c r="F167" s="1639"/>
    </row>
    <row r="168" spans="1:6" ht="14.25" thickBot="1">
      <c r="A168" s="1626" t="s">
        <v>1389</v>
      </c>
      <c r="B168" s="1630" t="s">
        <v>1160</v>
      </c>
      <c r="C168" s="1631">
        <v>0.13</v>
      </c>
      <c r="D168" s="1631">
        <v>0.13</v>
      </c>
      <c r="E168" s="1631">
        <v>0.126</v>
      </c>
      <c r="F168" s="1639"/>
    </row>
    <row r="169" spans="1:6" ht="14.25" thickBot="1">
      <c r="A169" s="1626" t="s">
        <v>1389</v>
      </c>
      <c r="B169" s="1630" t="s">
        <v>1170</v>
      </c>
      <c r="C169" s="1631">
        <v>0.128</v>
      </c>
      <c r="D169" s="1631">
        <v>0.129</v>
      </c>
      <c r="E169" s="1631">
        <v>0.13</v>
      </c>
      <c r="F169" s="1639"/>
    </row>
    <row r="170" spans="1:6" ht="14.25" thickBot="1">
      <c r="A170" s="1626" t="s">
        <v>1389</v>
      </c>
      <c r="B170" s="1630" t="s">
        <v>1180</v>
      </c>
      <c r="C170" s="1631">
        <v>0.14099999999999999</v>
      </c>
      <c r="D170" s="1631">
        <v>0.13</v>
      </c>
      <c r="E170" s="1631">
        <v>0.125</v>
      </c>
      <c r="F170" s="1639"/>
    </row>
    <row r="171" spans="1:6" ht="14.25" thickBot="1">
      <c r="A171" s="1626" t="s">
        <v>1389</v>
      </c>
      <c r="B171" s="1630" t="s">
        <v>1916</v>
      </c>
      <c r="C171" s="1631">
        <v>0.127</v>
      </c>
      <c r="D171" s="1631">
        <v>0.126</v>
      </c>
      <c r="E171" s="1631">
        <v>0.126</v>
      </c>
      <c r="F171" s="1632">
        <v>0.11799999999999999</v>
      </c>
    </row>
    <row r="172" spans="1:6" ht="14.25" thickBot="1">
      <c r="A172" s="1626" t="s">
        <v>1389</v>
      </c>
      <c r="B172" s="1630" t="s">
        <v>1917</v>
      </c>
      <c r="C172" s="1631">
        <v>0.13</v>
      </c>
      <c r="D172" s="1631">
        <v>0.13</v>
      </c>
      <c r="E172" s="1631">
        <v>0.13</v>
      </c>
      <c r="F172" s="1639"/>
    </row>
    <row r="173" spans="1:6" ht="14.25" thickBot="1">
      <c r="A173" s="1626" t="s">
        <v>1389</v>
      </c>
      <c r="B173" s="1630" t="s">
        <v>1210</v>
      </c>
      <c r="C173" s="1631">
        <v>0.13</v>
      </c>
      <c r="D173" s="1631">
        <v>0.13</v>
      </c>
      <c r="E173" s="1631">
        <v>0.13</v>
      </c>
      <c r="F173" s="1639"/>
    </row>
    <row r="174" spans="1:6" ht="14.25" thickBot="1">
      <c r="A174" s="1626" t="s">
        <v>1389</v>
      </c>
      <c r="B174" s="1630" t="s">
        <v>1918</v>
      </c>
      <c r="C174" s="1631">
        <v>0.13</v>
      </c>
      <c r="D174" s="1631">
        <v>0.13</v>
      </c>
      <c r="E174" s="1631">
        <v>0.13</v>
      </c>
      <c r="F174" s="1632">
        <v>0.13</v>
      </c>
    </row>
    <row r="175" spans="1:6" ht="14.25" thickBot="1">
      <c r="A175" s="1626" t="s">
        <v>1389</v>
      </c>
      <c r="B175" s="1630" t="s">
        <v>1919</v>
      </c>
      <c r="C175" s="1631">
        <v>0.13</v>
      </c>
      <c r="D175" s="1631">
        <v>0.13</v>
      </c>
      <c r="E175" s="1631">
        <v>0.13</v>
      </c>
      <c r="F175" s="1632">
        <v>0.13</v>
      </c>
    </row>
    <row r="176" spans="1:6" ht="14.25" thickBot="1">
      <c r="A176" s="1626" t="s">
        <v>1389</v>
      </c>
      <c r="B176" s="1630" t="s">
        <v>1240</v>
      </c>
      <c r="C176" s="1631">
        <v>0.13</v>
      </c>
      <c r="D176" s="1631">
        <v>0.13</v>
      </c>
      <c r="E176" s="1631">
        <v>0.13</v>
      </c>
      <c r="F176" s="1632">
        <v>0.13</v>
      </c>
    </row>
    <row r="177" spans="1:6" ht="14.25" thickBot="1">
      <c r="A177" s="1626" t="s">
        <v>1389</v>
      </c>
      <c r="B177" s="1630" t="s">
        <v>1920</v>
      </c>
      <c r="C177" s="1631">
        <v>0.13</v>
      </c>
      <c r="D177" s="1631">
        <v>0.13</v>
      </c>
      <c r="E177" s="1631">
        <v>0.13</v>
      </c>
      <c r="F177" s="1632">
        <v>0.13</v>
      </c>
    </row>
    <row r="178" spans="1:6" ht="14.25" thickBot="1">
      <c r="A178" s="1626" t="s">
        <v>1389</v>
      </c>
      <c r="B178" s="1630" t="s">
        <v>1258</v>
      </c>
      <c r="C178" s="1631">
        <v>0.13</v>
      </c>
      <c r="D178" s="1631">
        <v>0.13</v>
      </c>
      <c r="E178" s="1631">
        <v>0.13</v>
      </c>
      <c r="F178" s="1632">
        <v>0.127</v>
      </c>
    </row>
    <row r="179" spans="1:6" ht="14.25" thickBot="1">
      <c r="A179" s="1626" t="s">
        <v>1389</v>
      </c>
      <c r="B179" s="1630" t="s">
        <v>1266</v>
      </c>
      <c r="C179" s="1631">
        <v>0.13</v>
      </c>
      <c r="D179" s="1631">
        <v>0.13</v>
      </c>
      <c r="E179" s="1631">
        <v>0.13</v>
      </c>
      <c r="F179" s="1639"/>
    </row>
    <row r="180" spans="1:6" ht="14.25" thickBot="1">
      <c r="A180" s="1626" t="s">
        <v>1389</v>
      </c>
      <c r="B180" s="1630" t="s">
        <v>1921</v>
      </c>
      <c r="C180" s="1631">
        <v>0.13</v>
      </c>
      <c r="D180" s="1631">
        <v>0.13</v>
      </c>
      <c r="E180" s="1631">
        <v>0.125</v>
      </c>
      <c r="F180" s="1632">
        <v>0.13</v>
      </c>
    </row>
    <row r="181" spans="1:6" ht="14.25" thickBot="1">
      <c r="A181" s="1626" t="s">
        <v>1389</v>
      </c>
      <c r="B181" s="1630" t="s">
        <v>1280</v>
      </c>
      <c r="C181" s="1631">
        <v>0.122</v>
      </c>
      <c r="D181" s="1631">
        <v>0.123</v>
      </c>
      <c r="E181" s="1631">
        <v>0.126</v>
      </c>
      <c r="F181" s="1632">
        <v>0.121</v>
      </c>
    </row>
    <row r="182" spans="1:6" ht="14.25" thickBot="1">
      <c r="A182" s="1626" t="s">
        <v>1389</v>
      </c>
      <c r="B182" s="1630" t="s">
        <v>1287</v>
      </c>
      <c r="C182" s="1631">
        <v>0.125</v>
      </c>
      <c r="D182" s="1631">
        <v>0.125</v>
      </c>
      <c r="E182" s="1631">
        <v>0.11700000000000001</v>
      </c>
      <c r="F182" s="1632">
        <v>0.13</v>
      </c>
    </row>
    <row r="183" spans="1:6" ht="14.25" thickBot="1">
      <c r="A183" s="1626" t="s">
        <v>1389</v>
      </c>
      <c r="B183" s="1630" t="s">
        <v>1294</v>
      </c>
      <c r="C183" s="1631">
        <v>0.127</v>
      </c>
      <c r="D183" s="1631">
        <v>0.127</v>
      </c>
      <c r="E183" s="1631">
        <v>0.128</v>
      </c>
      <c r="F183" s="1639"/>
    </row>
    <row r="184" spans="1:6" ht="14.25" thickBot="1">
      <c r="A184" s="1626" t="s">
        <v>1389</v>
      </c>
      <c r="B184" s="1630" t="s">
        <v>1301</v>
      </c>
      <c r="C184" s="1631">
        <v>0.125</v>
      </c>
      <c r="D184" s="1631">
        <v>0.125</v>
      </c>
      <c r="E184" s="1631">
        <v>0.127</v>
      </c>
      <c r="F184" s="1639"/>
    </row>
    <row r="185" spans="1:6" ht="14.25" thickBot="1">
      <c r="A185" s="1626" t="s">
        <v>1389</v>
      </c>
      <c r="B185" s="1630" t="s">
        <v>1922</v>
      </c>
      <c r="C185" s="1631">
        <v>0.127</v>
      </c>
      <c r="D185" s="1631">
        <v>0.127</v>
      </c>
      <c r="E185" s="1631">
        <v>0.128</v>
      </c>
      <c r="F185" s="1632">
        <v>0.13</v>
      </c>
    </row>
    <row r="186" spans="1:6" ht="24.75" thickBot="1">
      <c r="A186" s="1626" t="s">
        <v>1389</v>
      </c>
      <c r="B186" s="1630" t="s">
        <v>1923</v>
      </c>
      <c r="C186" s="1640"/>
      <c r="D186" s="1640"/>
      <c r="E186" s="1640"/>
      <c r="F186" s="1632">
        <v>0.05</v>
      </c>
    </row>
    <row r="187" spans="1:6" ht="14.25" thickBot="1">
      <c r="A187" s="1626" t="s">
        <v>1389</v>
      </c>
      <c r="B187" s="1630" t="s">
        <v>1924</v>
      </c>
      <c r="C187" s="1640"/>
      <c r="D187" s="1640"/>
      <c r="E187" s="1640"/>
      <c r="F187" s="1632">
        <v>0.05</v>
      </c>
    </row>
    <row r="188" spans="1:6" ht="24.75" thickBot="1">
      <c r="A188" s="1626" t="s">
        <v>1389</v>
      </c>
      <c r="B188" s="1630" t="s">
        <v>1925</v>
      </c>
      <c r="C188" s="1640"/>
      <c r="D188" s="1640"/>
      <c r="E188" s="1640"/>
      <c r="F188" s="1632">
        <v>0.05</v>
      </c>
    </row>
    <row r="189" spans="1:6" ht="24.75" thickBot="1">
      <c r="A189" s="1626" t="s">
        <v>1389</v>
      </c>
      <c r="B189" s="1630" t="s">
        <v>1926</v>
      </c>
      <c r="C189" s="1640"/>
      <c r="D189" s="1640"/>
      <c r="E189" s="1640"/>
      <c r="F189" s="1632">
        <v>0.05</v>
      </c>
    </row>
    <row r="190" spans="1:6" ht="24.75" thickBot="1">
      <c r="A190" s="1626" t="s">
        <v>1389</v>
      </c>
      <c r="B190" s="1630" t="s">
        <v>1927</v>
      </c>
      <c r="C190" s="1640"/>
      <c r="D190" s="1640"/>
      <c r="E190" s="1640"/>
      <c r="F190" s="1632">
        <v>0.05</v>
      </c>
    </row>
    <row r="191" spans="1:6" ht="24.75" thickBot="1">
      <c r="A191" s="1626" t="s">
        <v>1389</v>
      </c>
      <c r="B191" s="1630" t="s">
        <v>1928</v>
      </c>
      <c r="C191" s="1640"/>
      <c r="D191" s="1640"/>
      <c r="E191" s="1640"/>
      <c r="F191" s="1632">
        <v>0.05</v>
      </c>
    </row>
    <row r="192" spans="1:6" ht="24.75" thickBot="1">
      <c r="A192" s="1626" t="s">
        <v>1389</v>
      </c>
      <c r="B192" s="1630" t="s">
        <v>1929</v>
      </c>
      <c r="C192" s="1640"/>
      <c r="D192" s="1640"/>
      <c r="E192" s="1640"/>
      <c r="F192" s="1632">
        <v>0.05</v>
      </c>
    </row>
    <row r="193" spans="1:6" ht="24.75" thickBot="1">
      <c r="A193" s="1626" t="s">
        <v>1389</v>
      </c>
      <c r="B193" s="1630" t="s">
        <v>1930</v>
      </c>
      <c r="C193" s="1640"/>
      <c r="D193" s="1640"/>
      <c r="E193" s="1640"/>
      <c r="F193" s="1632">
        <v>0.05</v>
      </c>
    </row>
    <row r="194" spans="1:6" ht="24.75" thickBot="1">
      <c r="A194" s="1626" t="s">
        <v>1389</v>
      </c>
      <c r="B194" s="1630" t="s">
        <v>1931</v>
      </c>
      <c r="C194" s="1640"/>
      <c r="D194" s="1640"/>
      <c r="E194" s="1640"/>
      <c r="F194" s="1632">
        <v>0.05</v>
      </c>
    </row>
    <row r="195" spans="1:6" ht="14.25" thickBot="1">
      <c r="A195" s="1626" t="s">
        <v>1389</v>
      </c>
      <c r="B195" s="1630" t="s">
        <v>1932</v>
      </c>
      <c r="C195" s="1640"/>
      <c r="D195" s="1640"/>
      <c r="E195" s="1640"/>
      <c r="F195" s="1632">
        <v>0.05</v>
      </c>
    </row>
    <row r="196" spans="1:6" ht="24.75" thickBot="1">
      <c r="A196" s="1626" t="s">
        <v>1389</v>
      </c>
      <c r="B196" s="1630" t="s">
        <v>1933</v>
      </c>
      <c r="C196" s="1640"/>
      <c r="D196" s="1640"/>
      <c r="E196" s="1640"/>
      <c r="F196" s="1632">
        <v>0.05</v>
      </c>
    </row>
    <row r="197" spans="1:6" ht="24.75" thickBot="1">
      <c r="A197" s="1626" t="s">
        <v>1389</v>
      </c>
      <c r="B197" s="1630" t="s">
        <v>1934</v>
      </c>
      <c r="C197" s="1640"/>
      <c r="D197" s="1640"/>
      <c r="E197" s="1640"/>
      <c r="F197" s="1632">
        <v>0.05</v>
      </c>
    </row>
    <row r="198" spans="1:6" ht="24.75" thickBot="1">
      <c r="A198" s="1626" t="s">
        <v>1389</v>
      </c>
      <c r="B198" s="1630" t="s">
        <v>1935</v>
      </c>
      <c r="C198" s="1640"/>
      <c r="D198" s="1640"/>
      <c r="E198" s="1640"/>
      <c r="F198" s="1632">
        <v>0.05</v>
      </c>
    </row>
    <row r="199" spans="1:6" ht="24.75" thickBot="1">
      <c r="A199" s="1626" t="s">
        <v>1389</v>
      </c>
      <c r="B199" s="1630" t="s">
        <v>1936</v>
      </c>
      <c r="C199" s="1640"/>
      <c r="D199" s="1640"/>
      <c r="E199" s="1640"/>
      <c r="F199" s="1632">
        <v>0.05</v>
      </c>
    </row>
    <row r="200" spans="1:6" ht="24.75" thickBot="1">
      <c r="A200" s="1626" t="s">
        <v>1389</v>
      </c>
      <c r="B200" s="1630" t="s">
        <v>1937</v>
      </c>
      <c r="C200" s="1640"/>
      <c r="D200" s="1640"/>
      <c r="E200" s="1640"/>
      <c r="F200" s="1632">
        <v>0.05</v>
      </c>
    </row>
    <row r="201" spans="1:6" ht="24.75" thickBot="1">
      <c r="A201" s="1626" t="s">
        <v>1389</v>
      </c>
      <c r="B201" s="1630" t="s">
        <v>1938</v>
      </c>
      <c r="C201" s="1640"/>
      <c r="D201" s="1640"/>
      <c r="E201" s="1640"/>
      <c r="F201" s="1632">
        <v>0.05</v>
      </c>
    </row>
    <row r="202" spans="1:6" ht="24.75" thickBot="1">
      <c r="A202" s="1626" t="s">
        <v>1389</v>
      </c>
      <c r="B202" s="1630" t="s">
        <v>1939</v>
      </c>
      <c r="C202" s="1640"/>
      <c r="D202" s="1640"/>
      <c r="E202" s="1640"/>
      <c r="F202" s="1632">
        <v>0.05</v>
      </c>
    </row>
    <row r="203" spans="1:6" ht="24.75" thickBot="1">
      <c r="A203" s="1626" t="s">
        <v>1389</v>
      </c>
      <c r="B203" s="1630" t="s">
        <v>1940</v>
      </c>
      <c r="C203" s="1640"/>
      <c r="D203" s="1640"/>
      <c r="E203" s="1640"/>
      <c r="F203" s="1632">
        <v>0.05</v>
      </c>
    </row>
    <row r="204" spans="1:6" ht="14.25" thickBot="1">
      <c r="A204" s="1626" t="s">
        <v>1389</v>
      </c>
      <c r="B204" s="1630" t="s">
        <v>1941</v>
      </c>
      <c r="C204" s="1640"/>
      <c r="D204" s="1640"/>
      <c r="E204" s="1640"/>
      <c r="F204" s="1632">
        <v>0.05</v>
      </c>
    </row>
    <row r="205" spans="1:6" ht="14.25" thickBot="1">
      <c r="A205" s="1634" t="s">
        <v>1389</v>
      </c>
      <c r="B205" s="1641" t="s">
        <v>1942</v>
      </c>
      <c r="C205" s="1637"/>
      <c r="D205" s="1637"/>
      <c r="E205" s="1637"/>
      <c r="F205" s="1642">
        <v>0.05</v>
      </c>
    </row>
    <row r="206" spans="1:6" ht="14.25" thickBot="1">
      <c r="A206" s="1626" t="s">
        <v>1391</v>
      </c>
      <c r="B206" s="1627" t="s">
        <v>1943</v>
      </c>
      <c r="C206" s="1628">
        <v>0.15</v>
      </c>
      <c r="D206" s="1628">
        <v>0.15</v>
      </c>
      <c r="E206" s="1628">
        <v>0.15</v>
      </c>
      <c r="F206" s="1629">
        <v>0.15</v>
      </c>
    </row>
    <row r="207" spans="1:6" ht="14.25" thickBot="1">
      <c r="A207" s="1626" t="s">
        <v>1391</v>
      </c>
      <c r="B207" s="1630" t="s">
        <v>1055</v>
      </c>
      <c r="C207" s="1631">
        <v>0.15</v>
      </c>
      <c r="D207" s="1631">
        <v>0.15</v>
      </c>
      <c r="E207" s="1631">
        <v>0.15</v>
      </c>
      <c r="F207" s="1632">
        <v>0.14399999999999999</v>
      </c>
    </row>
    <row r="208" spans="1:6" ht="14.25" thickBot="1">
      <c r="A208" s="1626" t="s">
        <v>1391</v>
      </c>
      <c r="B208" s="1630" t="s">
        <v>1069</v>
      </c>
      <c r="C208" s="1631">
        <v>0.15</v>
      </c>
      <c r="D208" s="1631">
        <v>0.15</v>
      </c>
      <c r="E208" s="1631">
        <v>0.15</v>
      </c>
      <c r="F208" s="1632">
        <v>0.15</v>
      </c>
    </row>
    <row r="209" spans="1:6" ht="14.25" thickBot="1">
      <c r="A209" s="1626" t="s">
        <v>1391</v>
      </c>
      <c r="B209" s="1630" t="s">
        <v>1082</v>
      </c>
      <c r="C209" s="1631">
        <v>0.13700000000000001</v>
      </c>
      <c r="D209" s="1631">
        <v>0.13700000000000001</v>
      </c>
      <c r="E209" s="1631">
        <v>0.14000000000000001</v>
      </c>
      <c r="F209" s="1632">
        <v>0.11700000000000001</v>
      </c>
    </row>
    <row r="210" spans="1:6" ht="14.25" thickBot="1">
      <c r="A210" s="1626" t="s">
        <v>1391</v>
      </c>
      <c r="B210" s="1630" t="s">
        <v>1944</v>
      </c>
      <c r="C210" s="1631">
        <v>0.15</v>
      </c>
      <c r="D210" s="1631">
        <v>0.15</v>
      </c>
      <c r="E210" s="1631">
        <v>0.15</v>
      </c>
      <c r="F210" s="1632">
        <v>0.13800000000000001</v>
      </c>
    </row>
    <row r="211" spans="1:6" ht="14.25" thickBot="1">
      <c r="A211" s="1626" t="s">
        <v>1391</v>
      </c>
      <c r="B211" s="1630" t="s">
        <v>1945</v>
      </c>
      <c r="C211" s="1631">
        <v>0.13700000000000001</v>
      </c>
      <c r="D211" s="1631">
        <v>0.13500000000000001</v>
      </c>
      <c r="E211" s="1631">
        <v>0.13600000000000001</v>
      </c>
      <c r="F211" s="1632">
        <v>0.1</v>
      </c>
    </row>
    <row r="212" spans="1:6" ht="14.25" thickBot="1">
      <c r="A212" s="1626" t="s">
        <v>1391</v>
      </c>
      <c r="B212" s="1630" t="s">
        <v>1946</v>
      </c>
      <c r="C212" s="1631">
        <v>0.15</v>
      </c>
      <c r="D212" s="1631">
        <v>0.15</v>
      </c>
      <c r="E212" s="1631">
        <v>0.14799999999999999</v>
      </c>
      <c r="F212" s="1632">
        <v>0.13600000000000001</v>
      </c>
    </row>
    <row r="213" spans="1:6" ht="14.25" thickBot="1">
      <c r="A213" s="1626" t="s">
        <v>1391</v>
      </c>
      <c r="B213" s="1630" t="s">
        <v>1129</v>
      </c>
      <c r="C213" s="1631">
        <v>0.15</v>
      </c>
      <c r="D213" s="1631">
        <v>0.15</v>
      </c>
      <c r="E213" s="1631">
        <v>0.15</v>
      </c>
      <c r="F213" s="1632">
        <v>0.13800000000000001</v>
      </c>
    </row>
    <row r="214" spans="1:6" ht="14.25" thickBot="1">
      <c r="A214" s="1626" t="s">
        <v>1391</v>
      </c>
      <c r="B214" s="1630" t="s">
        <v>1141</v>
      </c>
      <c r="C214" s="1631">
        <v>9.0999999999999998E-2</v>
      </c>
      <c r="D214" s="1631">
        <v>0.09</v>
      </c>
      <c r="E214" s="1631">
        <v>9.1999999999999998E-2</v>
      </c>
      <c r="F214" s="1639"/>
    </row>
    <row r="215" spans="1:6" ht="14.25" thickBot="1">
      <c r="A215" s="1626" t="s">
        <v>1391</v>
      </c>
      <c r="B215" s="1630" t="s">
        <v>1947</v>
      </c>
      <c r="C215" s="1631">
        <v>0.15</v>
      </c>
      <c r="D215" s="1631">
        <v>0.15</v>
      </c>
      <c r="E215" s="1631">
        <v>0.15</v>
      </c>
      <c r="F215" s="1632">
        <v>0.15</v>
      </c>
    </row>
    <row r="216" spans="1:6" ht="14.25" thickBot="1">
      <c r="A216" s="1626" t="s">
        <v>1391</v>
      </c>
      <c r="B216" s="1630" t="s">
        <v>1161</v>
      </c>
      <c r="C216" s="1631">
        <v>0.14699999999999999</v>
      </c>
      <c r="D216" s="1631">
        <v>0.14699999999999999</v>
      </c>
      <c r="E216" s="1631">
        <v>0.15</v>
      </c>
      <c r="F216" s="1632">
        <v>0.14000000000000001</v>
      </c>
    </row>
    <row r="217" spans="1:6" ht="14.25" thickBot="1">
      <c r="A217" s="1626" t="s">
        <v>1391</v>
      </c>
      <c r="B217" s="1630" t="s">
        <v>1171</v>
      </c>
      <c r="C217" s="1631">
        <v>0.15</v>
      </c>
      <c r="D217" s="1631">
        <v>0.15</v>
      </c>
      <c r="E217" s="1631">
        <v>0.15</v>
      </c>
      <c r="F217" s="1632">
        <v>0.15</v>
      </c>
    </row>
    <row r="218" spans="1:6" ht="14.25" thickBot="1">
      <c r="A218" s="1626" t="s">
        <v>1391</v>
      </c>
      <c r="B218" s="1630" t="s">
        <v>1948</v>
      </c>
      <c r="C218" s="1631">
        <v>0.15</v>
      </c>
      <c r="D218" s="1631">
        <v>0.15</v>
      </c>
      <c r="E218" s="1631">
        <v>0.15</v>
      </c>
      <c r="F218" s="1632">
        <v>0.15</v>
      </c>
    </row>
    <row r="219" spans="1:6" ht="14.25" thickBot="1">
      <c r="A219" s="1626" t="s">
        <v>1391</v>
      </c>
      <c r="B219" s="1630" t="s">
        <v>1191</v>
      </c>
      <c r="C219" s="1631">
        <v>0.15</v>
      </c>
      <c r="D219" s="1631">
        <v>0.15</v>
      </c>
      <c r="E219" s="1631">
        <v>0.15</v>
      </c>
      <c r="F219" s="1632">
        <v>0.14799999999999999</v>
      </c>
    </row>
    <row r="220" spans="1:6" ht="14.25" thickBot="1">
      <c r="A220" s="1626" t="s">
        <v>1391</v>
      </c>
      <c r="B220" s="1630" t="s">
        <v>1949</v>
      </c>
      <c r="C220" s="1631">
        <v>0.15</v>
      </c>
      <c r="D220" s="1631">
        <v>0.15</v>
      </c>
      <c r="E220" s="1631">
        <v>0.15</v>
      </c>
      <c r="F220" s="1632">
        <v>0.15</v>
      </c>
    </row>
    <row r="221" spans="1:6" ht="14.25" thickBot="1">
      <c r="A221" s="1626" t="s">
        <v>1391</v>
      </c>
      <c r="B221" s="1630" t="s">
        <v>1211</v>
      </c>
      <c r="C221" s="1631"/>
      <c r="D221" s="1640"/>
      <c r="E221" s="1640"/>
      <c r="F221" s="1632">
        <v>0.14799999999999999</v>
      </c>
    </row>
    <row r="222" spans="1:6" ht="14.25" thickBot="1">
      <c r="A222" s="1626" t="s">
        <v>1391</v>
      </c>
      <c r="B222" s="1630" t="s">
        <v>1221</v>
      </c>
      <c r="C222" s="1631"/>
      <c r="D222" s="1640"/>
      <c r="E222" s="1640"/>
      <c r="F222" s="1632">
        <v>0.1</v>
      </c>
    </row>
    <row r="223" spans="1:6" ht="14.25" thickBot="1">
      <c r="A223" s="1626" t="s">
        <v>1391</v>
      </c>
      <c r="B223" s="1630" t="s">
        <v>1231</v>
      </c>
      <c r="C223" s="1631"/>
      <c r="D223" s="1640"/>
      <c r="E223" s="1640"/>
      <c r="F223" s="1632">
        <v>0.15</v>
      </c>
    </row>
    <row r="224" spans="1:6" ht="14.25" thickBot="1">
      <c r="A224" s="1626" t="s">
        <v>1391</v>
      </c>
      <c r="B224" s="1630" t="s">
        <v>1241</v>
      </c>
      <c r="C224" s="1631"/>
      <c r="D224" s="1640"/>
      <c r="E224" s="1640"/>
      <c r="F224" s="1632">
        <v>0.15</v>
      </c>
    </row>
    <row r="225" spans="1:6" ht="14.25" thickBot="1">
      <c r="A225" s="1626" t="s">
        <v>1391</v>
      </c>
      <c r="B225" s="1630" t="s">
        <v>1950</v>
      </c>
      <c r="C225" s="1631">
        <v>0.15</v>
      </c>
      <c r="D225" s="1631">
        <v>0.15</v>
      </c>
      <c r="E225" s="1631">
        <v>0.15</v>
      </c>
      <c r="F225" s="1632">
        <v>0.15</v>
      </c>
    </row>
    <row r="226" spans="1:6" ht="14.25" thickBot="1">
      <c r="A226" s="1626" t="s">
        <v>1391</v>
      </c>
      <c r="B226" s="1630" t="s">
        <v>1259</v>
      </c>
      <c r="C226" s="1631">
        <v>0.15</v>
      </c>
      <c r="D226" s="1631">
        <v>0.15</v>
      </c>
      <c r="E226" s="1631">
        <v>0.15</v>
      </c>
      <c r="F226" s="1632">
        <v>0.14799999999999999</v>
      </c>
    </row>
    <row r="227" spans="1:6" ht="14.25" thickBot="1">
      <c r="A227" s="1626" t="s">
        <v>1391</v>
      </c>
      <c r="B227" s="1630" t="s">
        <v>1951</v>
      </c>
      <c r="C227" s="1631">
        <v>0.15</v>
      </c>
      <c r="D227" s="1631">
        <v>0.15</v>
      </c>
      <c r="E227" s="1631">
        <v>0.15</v>
      </c>
      <c r="F227" s="1632">
        <v>0.15</v>
      </c>
    </row>
    <row r="228" spans="1:6" ht="14.25" thickBot="1">
      <c r="A228" s="1626" t="s">
        <v>1391</v>
      </c>
      <c r="B228" s="1630" t="s">
        <v>1274</v>
      </c>
      <c r="C228" s="1631">
        <v>0.15</v>
      </c>
      <c r="D228" s="1631">
        <v>0.15</v>
      </c>
      <c r="E228" s="1631">
        <v>0.15</v>
      </c>
      <c r="F228" s="1632">
        <v>0.15</v>
      </c>
    </row>
    <row r="229" spans="1:6" ht="14.25" thickBot="1">
      <c r="A229" s="1626" t="s">
        <v>1391</v>
      </c>
      <c r="B229" s="1630" t="s">
        <v>1281</v>
      </c>
      <c r="C229" s="1631">
        <v>0.15</v>
      </c>
      <c r="D229" s="1631">
        <v>0.15</v>
      </c>
      <c r="E229" s="1631">
        <v>0.15</v>
      </c>
      <c r="F229" s="1639"/>
    </row>
    <row r="230" spans="1:6" ht="14.25" thickBot="1">
      <c r="A230" s="1626" t="s">
        <v>1391</v>
      </c>
      <c r="B230" s="1630" t="s">
        <v>1288</v>
      </c>
      <c r="C230" s="1631">
        <v>0.14499999999999999</v>
      </c>
      <c r="D230" s="1631">
        <v>0.14499999999999999</v>
      </c>
      <c r="E230" s="1631">
        <v>0.14399999999999999</v>
      </c>
      <c r="F230" s="1639"/>
    </row>
    <row r="231" spans="1:6" ht="14.25" thickBot="1">
      <c r="A231" s="1626" t="s">
        <v>1391</v>
      </c>
      <c r="B231" s="1630" t="s">
        <v>1952</v>
      </c>
      <c r="C231" s="1631">
        <v>0.128</v>
      </c>
      <c r="D231" s="1631">
        <v>0.125</v>
      </c>
      <c r="E231" s="1631">
        <v>0.13200000000000001</v>
      </c>
      <c r="F231" s="1639"/>
    </row>
    <row r="232" spans="1:6" ht="14.25" thickBot="1">
      <c r="A232" s="1626" t="s">
        <v>1391</v>
      </c>
      <c r="B232" s="1630" t="s">
        <v>1953</v>
      </c>
      <c r="C232" s="1631">
        <v>0.14499999999999999</v>
      </c>
      <c r="D232" s="1631">
        <v>0.14399999999999999</v>
      </c>
      <c r="E232" s="1631">
        <v>0.14599999999999999</v>
      </c>
      <c r="F232" s="1632">
        <v>0.13800000000000001</v>
      </c>
    </row>
    <row r="233" spans="1:6" ht="14.25" thickBot="1">
      <c r="A233" s="1626" t="s">
        <v>1391</v>
      </c>
      <c r="B233" s="1630" t="s">
        <v>1954</v>
      </c>
      <c r="C233" s="1631">
        <v>0.14499999999999999</v>
      </c>
      <c r="D233" s="1631">
        <v>0.14299999999999999</v>
      </c>
      <c r="E233" s="1631">
        <v>0.14199999999999999</v>
      </c>
      <c r="F233" s="1639"/>
    </row>
    <row r="234" spans="1:6" ht="14.25" thickBot="1">
      <c r="A234" s="1626" t="s">
        <v>1391</v>
      </c>
      <c r="B234" s="1630" t="s">
        <v>1955</v>
      </c>
      <c r="C234" s="1631">
        <v>0.14000000000000001</v>
      </c>
      <c r="D234" s="1631">
        <v>0.14000000000000001</v>
      </c>
      <c r="E234" s="1631">
        <v>0.14399999999999999</v>
      </c>
      <c r="F234" s="1639"/>
    </row>
    <row r="235" spans="1:6" ht="14.25" thickBot="1">
      <c r="A235" s="1626" t="s">
        <v>1391</v>
      </c>
      <c r="B235" s="1630" t="s">
        <v>1956</v>
      </c>
      <c r="C235" s="1631">
        <v>0.14099999999999999</v>
      </c>
      <c r="D235" s="1631">
        <v>0.14199999999999999</v>
      </c>
      <c r="E235" s="1631">
        <v>0.14499999999999999</v>
      </c>
      <c r="F235" s="1632">
        <v>0.15</v>
      </c>
    </row>
    <row r="236" spans="1:6" ht="14.25" thickBot="1">
      <c r="A236" s="1626" t="s">
        <v>1391</v>
      </c>
      <c r="B236" s="1630" t="s">
        <v>1323</v>
      </c>
      <c r="C236" s="1640"/>
      <c r="D236" s="1640"/>
      <c r="E236" s="1640"/>
      <c r="F236" s="1632">
        <v>0.14299999999999999</v>
      </c>
    </row>
    <row r="237" spans="1:6" ht="24.75" thickBot="1">
      <c r="A237" s="1626" t="s">
        <v>1391</v>
      </c>
      <c r="B237" s="1630" t="s">
        <v>1957</v>
      </c>
      <c r="C237" s="1640"/>
      <c r="D237" s="1640"/>
      <c r="E237" s="1640"/>
      <c r="F237" s="1632">
        <v>0.05</v>
      </c>
    </row>
    <row r="238" spans="1:6" ht="24.75" thickBot="1">
      <c r="A238" s="1626" t="s">
        <v>1391</v>
      </c>
      <c r="B238" s="1630" t="s">
        <v>1958</v>
      </c>
      <c r="C238" s="1640"/>
      <c r="D238" s="1640"/>
      <c r="E238" s="1640"/>
      <c r="F238" s="1632">
        <v>0.05</v>
      </c>
    </row>
    <row r="239" spans="1:6" ht="24.75" thickBot="1">
      <c r="A239" s="1626" t="s">
        <v>1391</v>
      </c>
      <c r="B239" s="1630" t="s">
        <v>1959</v>
      </c>
      <c r="C239" s="1640"/>
      <c r="D239" s="1640"/>
      <c r="E239" s="1640"/>
      <c r="F239" s="1632">
        <v>0.05</v>
      </c>
    </row>
    <row r="240" spans="1:6" ht="24.75" thickBot="1">
      <c r="A240" s="1626" t="s">
        <v>1391</v>
      </c>
      <c r="B240" s="1630" t="s">
        <v>1960</v>
      </c>
      <c r="C240" s="1640"/>
      <c r="D240" s="1640"/>
      <c r="E240" s="1640"/>
      <c r="F240" s="1632">
        <v>0.05</v>
      </c>
    </row>
    <row r="241" spans="1:6" ht="24.75" thickBot="1">
      <c r="A241" s="1626" t="s">
        <v>1391</v>
      </c>
      <c r="B241" s="1630" t="s">
        <v>1961</v>
      </c>
      <c r="C241" s="1640"/>
      <c r="D241" s="1640"/>
      <c r="E241" s="1640"/>
      <c r="F241" s="1632">
        <v>0.05</v>
      </c>
    </row>
    <row r="242" spans="1:6" ht="24.75" thickBot="1">
      <c r="A242" s="1626" t="s">
        <v>1391</v>
      </c>
      <c r="B242" s="1630" t="s">
        <v>1962</v>
      </c>
      <c r="C242" s="1640"/>
      <c r="D242" s="1640"/>
      <c r="E242" s="1640"/>
      <c r="F242" s="1632">
        <v>0.05</v>
      </c>
    </row>
    <row r="243" spans="1:6" ht="24.75" thickBot="1">
      <c r="A243" s="1626" t="s">
        <v>1391</v>
      </c>
      <c r="B243" s="1630" t="s">
        <v>1963</v>
      </c>
      <c r="C243" s="1640"/>
      <c r="D243" s="1640"/>
      <c r="E243" s="1640"/>
      <c r="F243" s="1632">
        <v>0.05</v>
      </c>
    </row>
    <row r="244" spans="1:6" ht="24.75" thickBot="1">
      <c r="A244" s="1634" t="s">
        <v>1391</v>
      </c>
      <c r="B244" s="1641" t="s">
        <v>1964</v>
      </c>
      <c r="C244" s="1637"/>
      <c r="D244" s="1637"/>
      <c r="E244" s="1637"/>
      <c r="F244" s="1642">
        <v>0.05</v>
      </c>
    </row>
    <row r="245" spans="1:6" ht="14.25" thickBot="1">
      <c r="A245" s="1626" t="s">
        <v>1393</v>
      </c>
      <c r="B245" s="1627" t="s">
        <v>1965</v>
      </c>
      <c r="C245" s="1628">
        <v>0.15</v>
      </c>
      <c r="D245" s="1628">
        <v>0.15</v>
      </c>
      <c r="E245" s="1628">
        <v>0.15</v>
      </c>
      <c r="F245" s="1629">
        <v>0.14299999999999999</v>
      </c>
    </row>
    <row r="246" spans="1:6" ht="14.25" thickBot="1">
      <c r="A246" s="1626" t="s">
        <v>1393</v>
      </c>
      <c r="B246" s="1630" t="s">
        <v>1056</v>
      </c>
      <c r="C246" s="1631">
        <v>0.15</v>
      </c>
      <c r="D246" s="1631">
        <v>0.15</v>
      </c>
      <c r="E246" s="1631">
        <v>0.15</v>
      </c>
      <c r="F246" s="1632">
        <v>0.114</v>
      </c>
    </row>
    <row r="247" spans="1:6" ht="14.25" thickBot="1">
      <c r="A247" s="1626" t="s">
        <v>1393</v>
      </c>
      <c r="B247" s="1630" t="s">
        <v>1966</v>
      </c>
      <c r="C247" s="1631">
        <v>0.15</v>
      </c>
      <c r="D247" s="1631">
        <v>0.15</v>
      </c>
      <c r="E247" s="1631">
        <v>0.15</v>
      </c>
      <c r="F247" s="1632">
        <v>0.15</v>
      </c>
    </row>
    <row r="248" spans="1:6" ht="14.25" thickBot="1">
      <c r="A248" s="1626" t="s">
        <v>1393</v>
      </c>
      <c r="B248" s="1630" t="s">
        <v>1967</v>
      </c>
      <c r="C248" s="1631">
        <v>0.15</v>
      </c>
      <c r="D248" s="1631">
        <v>0.15</v>
      </c>
      <c r="E248" s="1631">
        <v>0.15</v>
      </c>
      <c r="F248" s="1632">
        <v>0.14000000000000001</v>
      </c>
    </row>
    <row r="249" spans="1:6" ht="14.25" thickBot="1">
      <c r="A249" s="1626" t="s">
        <v>1393</v>
      </c>
      <c r="B249" s="1630" t="s">
        <v>1968</v>
      </c>
      <c r="C249" s="1631">
        <v>0.15</v>
      </c>
      <c r="D249" s="1631">
        <v>0.14899999999999999</v>
      </c>
      <c r="E249" s="1631">
        <v>0.15</v>
      </c>
      <c r="F249" s="1632">
        <v>0.1</v>
      </c>
    </row>
    <row r="250" spans="1:6" ht="14.25" thickBot="1">
      <c r="A250" s="1626" t="s">
        <v>1393</v>
      </c>
      <c r="B250" s="1630" t="s">
        <v>1969</v>
      </c>
      <c r="C250" s="1631">
        <v>0.15</v>
      </c>
      <c r="D250" s="1631">
        <v>0.15</v>
      </c>
      <c r="E250" s="1631">
        <v>0.15</v>
      </c>
      <c r="F250" s="1632">
        <v>0.14399999999999999</v>
      </c>
    </row>
    <row r="251" spans="1:6" ht="14.25" thickBot="1">
      <c r="A251" s="1626" t="s">
        <v>1393</v>
      </c>
      <c r="B251" s="1630" t="s">
        <v>1119</v>
      </c>
      <c r="C251" s="1631">
        <v>0.15</v>
      </c>
      <c r="D251" s="1631">
        <v>0.15</v>
      </c>
      <c r="E251" s="1631">
        <v>0.15</v>
      </c>
      <c r="F251" s="1632">
        <v>0.14299999999999999</v>
      </c>
    </row>
    <row r="252" spans="1:6" ht="14.25" thickBot="1">
      <c r="A252" s="1626" t="s">
        <v>1393</v>
      </c>
      <c r="B252" s="1630" t="s">
        <v>1130</v>
      </c>
      <c r="C252" s="1631">
        <v>0.15</v>
      </c>
      <c r="D252" s="1631">
        <v>0.15</v>
      </c>
      <c r="E252" s="1631">
        <v>0.15</v>
      </c>
      <c r="F252" s="1632">
        <v>0.1</v>
      </c>
    </row>
    <row r="253" spans="1:6" ht="14.25" thickBot="1">
      <c r="A253" s="1626" t="s">
        <v>1393</v>
      </c>
      <c r="B253" s="1630" t="s">
        <v>1142</v>
      </c>
      <c r="C253" s="1631">
        <v>0.15</v>
      </c>
      <c r="D253" s="1631">
        <v>0.15</v>
      </c>
      <c r="E253" s="1631">
        <v>0.15</v>
      </c>
      <c r="F253" s="1632">
        <v>0.1</v>
      </c>
    </row>
    <row r="254" spans="1:6" ht="14.25" thickBot="1">
      <c r="A254" s="1626" t="s">
        <v>1393</v>
      </c>
      <c r="B254" s="1630" t="s">
        <v>1152</v>
      </c>
      <c r="C254" s="1640"/>
      <c r="D254" s="1640"/>
      <c r="E254" s="1640"/>
      <c r="F254" s="1632">
        <v>0.15</v>
      </c>
    </row>
    <row r="255" spans="1:6" ht="14.25" thickBot="1">
      <c r="A255" s="1626" t="s">
        <v>1393</v>
      </c>
      <c r="B255" s="1630" t="s">
        <v>1162</v>
      </c>
      <c r="C255" s="1640"/>
      <c r="D255" s="1640"/>
      <c r="E255" s="1640"/>
      <c r="F255" s="1632">
        <v>0.14299999999999999</v>
      </c>
    </row>
    <row r="256" spans="1:6" ht="14.25" thickBot="1">
      <c r="A256" s="1626" t="s">
        <v>1393</v>
      </c>
      <c r="B256" s="1630" t="s">
        <v>1970</v>
      </c>
      <c r="C256" s="1631">
        <v>0.14599999999999999</v>
      </c>
      <c r="D256" s="1631">
        <v>0.14699999999999999</v>
      </c>
      <c r="E256" s="1631">
        <v>0.15</v>
      </c>
      <c r="F256" s="1632">
        <v>0.13200000000000001</v>
      </c>
    </row>
    <row r="257" spans="1:6" ht="14.25" thickBot="1">
      <c r="A257" s="1626" t="s">
        <v>1393</v>
      </c>
      <c r="B257" s="1630" t="s">
        <v>1182</v>
      </c>
      <c r="C257" s="1631">
        <v>0.15</v>
      </c>
      <c r="D257" s="1631">
        <v>0.15</v>
      </c>
      <c r="E257" s="1631">
        <v>0.15</v>
      </c>
      <c r="F257" s="1632">
        <v>0.13900000000000001</v>
      </c>
    </row>
    <row r="258" spans="1:6" ht="14.25" thickBot="1">
      <c r="A258" s="1626" t="s">
        <v>1393</v>
      </c>
      <c r="B258" s="1630" t="s">
        <v>1192</v>
      </c>
      <c r="C258" s="1631">
        <v>0.15</v>
      </c>
      <c r="D258" s="1631">
        <v>0.15</v>
      </c>
      <c r="E258" s="1631">
        <v>0.15</v>
      </c>
      <c r="F258" s="1632">
        <v>0.13</v>
      </c>
    </row>
    <row r="259" spans="1:6" ht="14.25" thickBot="1">
      <c r="A259" s="1626" t="s">
        <v>1393</v>
      </c>
      <c r="B259" s="1630" t="s">
        <v>1971</v>
      </c>
      <c r="C259" s="1631">
        <v>0.14799999999999999</v>
      </c>
      <c r="D259" s="1631">
        <v>0.14899999999999999</v>
      </c>
      <c r="E259" s="1631">
        <v>0.15</v>
      </c>
      <c r="F259" s="1632">
        <v>0.13700000000000001</v>
      </c>
    </row>
    <row r="260" spans="1:6" ht="14.25" thickBot="1">
      <c r="A260" s="1626" t="s">
        <v>1393</v>
      </c>
      <c r="B260" s="1630" t="s">
        <v>1212</v>
      </c>
      <c r="C260" s="1631">
        <v>0.15</v>
      </c>
      <c r="D260" s="1631">
        <v>0.15</v>
      </c>
      <c r="E260" s="1631">
        <v>0.15</v>
      </c>
      <c r="F260" s="1632">
        <v>0.14199999999999999</v>
      </c>
    </row>
    <row r="261" spans="1:6" ht="14.25" thickBot="1">
      <c r="A261" s="1626" t="s">
        <v>1393</v>
      </c>
      <c r="B261" s="1630" t="s">
        <v>1222</v>
      </c>
      <c r="C261" s="1631">
        <v>0.15</v>
      </c>
      <c r="D261" s="1631">
        <v>0.15</v>
      </c>
      <c r="E261" s="1631">
        <v>0.14899999999999999</v>
      </c>
      <c r="F261" s="1632">
        <v>0.14799999999999999</v>
      </c>
    </row>
    <row r="262" spans="1:6" ht="14.25" thickBot="1">
      <c r="A262" s="1626" t="s">
        <v>1393</v>
      </c>
      <c r="B262" s="1630" t="s">
        <v>1232</v>
      </c>
      <c r="C262" s="1631">
        <v>0.15</v>
      </c>
      <c r="D262" s="1631">
        <v>0.15</v>
      </c>
      <c r="E262" s="1631">
        <v>0.15</v>
      </c>
      <c r="F262" s="1639"/>
    </row>
    <row r="263" spans="1:6" ht="14.25" thickBot="1">
      <c r="A263" s="1626" t="s">
        <v>1393</v>
      </c>
      <c r="B263" s="1630" t="s">
        <v>1972</v>
      </c>
      <c r="C263" s="1631">
        <v>0.14899999999999999</v>
      </c>
      <c r="D263" s="1631">
        <v>0.14899999999999999</v>
      </c>
      <c r="E263" s="1631">
        <v>0.15</v>
      </c>
      <c r="F263" s="1632">
        <v>0.13</v>
      </c>
    </row>
    <row r="264" spans="1:6" ht="14.25" thickBot="1">
      <c r="A264" s="1626" t="s">
        <v>1393</v>
      </c>
      <c r="B264" s="1630" t="s">
        <v>1251</v>
      </c>
      <c r="C264" s="1631">
        <v>0.14799999999999999</v>
      </c>
      <c r="D264" s="1631">
        <v>0.14699999999999999</v>
      </c>
      <c r="E264" s="1631">
        <v>0.15</v>
      </c>
      <c r="F264" s="1632">
        <v>7.8E-2</v>
      </c>
    </row>
    <row r="265" spans="1:6" ht="14.25" thickBot="1">
      <c r="A265" s="1626" t="s">
        <v>1393</v>
      </c>
      <c r="B265" s="1630" t="s">
        <v>1260</v>
      </c>
      <c r="C265" s="1631">
        <v>0.15</v>
      </c>
      <c r="D265" s="1631">
        <v>0.15</v>
      </c>
      <c r="E265" s="1631">
        <v>0.15</v>
      </c>
      <c r="F265" s="1632">
        <v>7.3999999999999996E-2</v>
      </c>
    </row>
    <row r="266" spans="1:6" ht="14.25" thickBot="1">
      <c r="A266" s="1626" t="s">
        <v>1393</v>
      </c>
      <c r="B266" s="1630" t="s">
        <v>1268</v>
      </c>
      <c r="C266" s="1631">
        <v>0.14699999999999999</v>
      </c>
      <c r="D266" s="1631">
        <v>0.14699999999999999</v>
      </c>
      <c r="E266" s="1631">
        <v>0.15</v>
      </c>
      <c r="F266" s="1632">
        <v>0.14299999999999999</v>
      </c>
    </row>
    <row r="267" spans="1:6" ht="14.25" thickBot="1">
      <c r="A267" s="1626" t="s">
        <v>1393</v>
      </c>
      <c r="B267" s="1630" t="s">
        <v>1275</v>
      </c>
      <c r="C267" s="1631">
        <v>0.14199999999999999</v>
      </c>
      <c r="D267" s="1631">
        <v>0.14299999999999999</v>
      </c>
      <c r="E267" s="1631">
        <v>0.15</v>
      </c>
      <c r="F267" s="1639"/>
    </row>
    <row r="268" spans="1:6" ht="14.25" thickBot="1">
      <c r="A268" s="1626" t="s">
        <v>1393</v>
      </c>
      <c r="B268" s="1630" t="s">
        <v>1973</v>
      </c>
      <c r="C268" s="1631">
        <v>0.15</v>
      </c>
      <c r="D268" s="1631">
        <v>0.15</v>
      </c>
      <c r="E268" s="1631">
        <v>0.15</v>
      </c>
      <c r="F268" s="1632">
        <v>0.13</v>
      </c>
    </row>
    <row r="269" spans="1:6" ht="14.25" thickBot="1">
      <c r="A269" s="1626" t="s">
        <v>1393</v>
      </c>
      <c r="B269" s="1630" t="s">
        <v>1289</v>
      </c>
      <c r="C269" s="1631">
        <v>0.15</v>
      </c>
      <c r="D269" s="1631">
        <v>0.15</v>
      </c>
      <c r="E269" s="1631">
        <v>0.15</v>
      </c>
      <c r="F269" s="1632">
        <v>0.14299999999999999</v>
      </c>
    </row>
    <row r="270" spans="1:6" ht="14.25" thickBot="1">
      <c r="A270" s="1626" t="s">
        <v>1393</v>
      </c>
      <c r="B270" s="1630" t="s">
        <v>1296</v>
      </c>
      <c r="C270" s="1631">
        <v>0.14499999999999999</v>
      </c>
      <c r="D270" s="1631">
        <v>0.14499999999999999</v>
      </c>
      <c r="E270" s="1631">
        <v>0.15</v>
      </c>
      <c r="F270" s="1632">
        <v>0.14699999999999999</v>
      </c>
    </row>
    <row r="271" spans="1:6" ht="14.25" thickBot="1">
      <c r="A271" s="1626" t="s">
        <v>1393</v>
      </c>
      <c r="B271" s="1630" t="s">
        <v>1303</v>
      </c>
      <c r="C271" s="1631">
        <v>0.15</v>
      </c>
      <c r="D271" s="1631">
        <v>0.15</v>
      </c>
      <c r="E271" s="1631">
        <v>0.15</v>
      </c>
      <c r="F271" s="1632">
        <v>0.13800000000000001</v>
      </c>
    </row>
    <row r="272" spans="1:6" ht="14.25" thickBot="1">
      <c r="A272" s="1626" t="s">
        <v>1393</v>
      </c>
      <c r="B272" s="1630" t="s">
        <v>1310</v>
      </c>
      <c r="C272" s="1640"/>
      <c r="D272" s="1640"/>
      <c r="E272" s="1640"/>
      <c r="F272" s="1632">
        <v>0.14000000000000001</v>
      </c>
    </row>
    <row r="273" spans="1:6" ht="14.25" thickBot="1">
      <c r="A273" s="1626" t="s">
        <v>1393</v>
      </c>
      <c r="B273" s="1630" t="s">
        <v>1974</v>
      </c>
      <c r="C273" s="1631">
        <v>0.14199999999999999</v>
      </c>
      <c r="D273" s="1631">
        <v>0.14299999999999999</v>
      </c>
      <c r="E273" s="1631">
        <v>0.15</v>
      </c>
      <c r="F273" s="1632">
        <v>0.1</v>
      </c>
    </row>
    <row r="274" spans="1:6" ht="14.25" thickBot="1">
      <c r="A274" s="1626" t="s">
        <v>1393</v>
      </c>
      <c r="B274" s="1630" t="s">
        <v>1975</v>
      </c>
      <c r="C274" s="1631">
        <v>0.14799999999999999</v>
      </c>
      <c r="D274" s="1631">
        <v>0.14799999999999999</v>
      </c>
      <c r="E274" s="1631">
        <v>0.15</v>
      </c>
      <c r="F274" s="1632">
        <v>6.7000000000000004E-2</v>
      </c>
    </row>
    <row r="275" spans="1:6" ht="14.25" thickBot="1">
      <c r="A275" s="1626" t="s">
        <v>1393</v>
      </c>
      <c r="B275" s="1630" t="s">
        <v>1976</v>
      </c>
      <c r="C275" s="1631">
        <v>0.15</v>
      </c>
      <c r="D275" s="1631">
        <v>0.15</v>
      </c>
      <c r="E275" s="1631">
        <v>0.15</v>
      </c>
      <c r="F275" s="1632">
        <v>0.15</v>
      </c>
    </row>
    <row r="276" spans="1:6" ht="14.25" thickBot="1">
      <c r="A276" s="1626" t="s">
        <v>1393</v>
      </c>
      <c r="B276" s="1630" t="s">
        <v>1977</v>
      </c>
      <c r="C276" s="1631">
        <v>0.14499999999999999</v>
      </c>
      <c r="D276" s="1631">
        <v>0.14299999999999999</v>
      </c>
      <c r="E276" s="1631">
        <v>0.15</v>
      </c>
      <c r="F276" s="1632">
        <v>5.8999999999999997E-2</v>
      </c>
    </row>
    <row r="277" spans="1:6" ht="14.25" thickBot="1">
      <c r="A277" s="1626" t="s">
        <v>1393</v>
      </c>
      <c r="B277" s="1630" t="s">
        <v>1978</v>
      </c>
      <c r="C277" s="1631">
        <v>0.15</v>
      </c>
      <c r="D277" s="1631">
        <v>0.15</v>
      </c>
      <c r="E277" s="1631">
        <v>0.15</v>
      </c>
      <c r="F277" s="1632">
        <v>0.121</v>
      </c>
    </row>
    <row r="278" spans="1:6" ht="14.25" thickBot="1">
      <c r="A278" s="1626" t="s">
        <v>1393</v>
      </c>
      <c r="B278" s="1630" t="s">
        <v>1979</v>
      </c>
      <c r="C278" s="1631">
        <v>0.15</v>
      </c>
      <c r="D278" s="1631">
        <v>0.15</v>
      </c>
      <c r="E278" s="1631">
        <v>0.15</v>
      </c>
      <c r="F278" s="1632">
        <v>0.13800000000000001</v>
      </c>
    </row>
    <row r="279" spans="1:6" ht="24.75" thickBot="1">
      <c r="A279" s="1626" t="s">
        <v>1393</v>
      </c>
      <c r="B279" s="1630" t="s">
        <v>1980</v>
      </c>
      <c r="C279" s="1640"/>
      <c r="D279" s="1640"/>
      <c r="E279" s="1640"/>
      <c r="F279" s="1632">
        <v>0.05</v>
      </c>
    </row>
    <row r="280" spans="1:6" ht="24.75" thickBot="1">
      <c r="A280" s="1626" t="s">
        <v>1393</v>
      </c>
      <c r="B280" s="1630" t="s">
        <v>1981</v>
      </c>
      <c r="C280" s="1640"/>
      <c r="D280" s="1640"/>
      <c r="E280" s="1640"/>
      <c r="F280" s="1632">
        <v>0.05</v>
      </c>
    </row>
    <row r="281" spans="1:6" ht="24.75" thickBot="1">
      <c r="A281" s="1626" t="s">
        <v>1393</v>
      </c>
      <c r="B281" s="1630" t="s">
        <v>1982</v>
      </c>
      <c r="C281" s="1640"/>
      <c r="D281" s="1640"/>
      <c r="E281" s="1640"/>
      <c r="F281" s="1632">
        <v>0.05</v>
      </c>
    </row>
    <row r="282" spans="1:6" ht="24.75" thickBot="1">
      <c r="A282" s="1626" t="s">
        <v>1393</v>
      </c>
      <c r="B282" s="1630" t="s">
        <v>1983</v>
      </c>
      <c r="C282" s="1640"/>
      <c r="D282" s="1640"/>
      <c r="E282" s="1640"/>
      <c r="F282" s="1632">
        <v>0.05</v>
      </c>
    </row>
    <row r="283" spans="1:6" ht="24.75" thickBot="1">
      <c r="A283" s="1626" t="s">
        <v>1393</v>
      </c>
      <c r="B283" s="1630" t="s">
        <v>1984</v>
      </c>
      <c r="C283" s="1640"/>
      <c r="D283" s="1640"/>
      <c r="E283" s="1640"/>
      <c r="F283" s="1632">
        <v>0.05</v>
      </c>
    </row>
    <row r="284" spans="1:6" ht="24.75" thickBot="1">
      <c r="A284" s="1626" t="s">
        <v>1393</v>
      </c>
      <c r="B284" s="1630" t="s">
        <v>1985</v>
      </c>
      <c r="C284" s="1640"/>
      <c r="D284" s="1640"/>
      <c r="E284" s="1640"/>
      <c r="F284" s="1632">
        <v>0.05</v>
      </c>
    </row>
    <row r="285" spans="1:6" ht="24.75" thickBot="1">
      <c r="A285" s="1626" t="s">
        <v>1393</v>
      </c>
      <c r="B285" s="1630" t="s">
        <v>1986</v>
      </c>
      <c r="C285" s="1640"/>
      <c r="D285" s="1640"/>
      <c r="E285" s="1640"/>
      <c r="F285" s="1632">
        <v>0.05</v>
      </c>
    </row>
    <row r="286" spans="1:6" ht="24.75" thickBot="1">
      <c r="A286" s="1626" t="s">
        <v>1393</v>
      </c>
      <c r="B286" s="1630" t="s">
        <v>1987</v>
      </c>
      <c r="C286" s="1640"/>
      <c r="D286" s="1640"/>
      <c r="E286" s="1640"/>
      <c r="F286" s="1632">
        <v>0.05</v>
      </c>
    </row>
    <row r="287" spans="1:6" ht="24.75" thickBot="1">
      <c r="A287" s="1626" t="s">
        <v>1393</v>
      </c>
      <c r="B287" s="1630" t="s">
        <v>1988</v>
      </c>
      <c r="C287" s="1640"/>
      <c r="D287" s="1640"/>
      <c r="E287" s="1640"/>
      <c r="F287" s="1632">
        <v>0.05</v>
      </c>
    </row>
    <row r="288" spans="1:6" ht="24.75" thickBot="1">
      <c r="A288" s="1626" t="s">
        <v>1393</v>
      </c>
      <c r="B288" s="1630" t="s">
        <v>1989</v>
      </c>
      <c r="C288" s="1640"/>
      <c r="D288" s="1640"/>
      <c r="E288" s="1640"/>
      <c r="F288" s="1632">
        <v>0.05</v>
      </c>
    </row>
    <row r="289" spans="1:6" ht="24.75" thickBot="1">
      <c r="A289" s="1634" t="s">
        <v>1393</v>
      </c>
      <c r="B289" s="1641" t="s">
        <v>1990</v>
      </c>
      <c r="C289" s="1637"/>
      <c r="D289" s="1637"/>
      <c r="E289" s="1637"/>
      <c r="F289" s="1642">
        <v>0.05</v>
      </c>
    </row>
    <row r="290" spans="1:6" ht="14.25" thickBot="1">
      <c r="A290" s="1626" t="s">
        <v>1397</v>
      </c>
      <c r="B290" s="1627" t="s">
        <v>1991</v>
      </c>
      <c r="C290" s="1628">
        <v>0.15</v>
      </c>
      <c r="D290" s="1628">
        <v>0.15</v>
      </c>
      <c r="E290" s="1628">
        <v>0.15</v>
      </c>
      <c r="F290" s="1650"/>
    </row>
    <row r="291" spans="1:6" ht="14.25" thickBot="1">
      <c r="A291" s="1626" t="s">
        <v>1397</v>
      </c>
      <c r="B291" s="1630" t="s">
        <v>1057</v>
      </c>
      <c r="C291" s="1631">
        <v>0.15</v>
      </c>
      <c r="D291" s="1631">
        <v>0.15</v>
      </c>
      <c r="E291" s="1631">
        <v>0.15</v>
      </c>
      <c r="F291" s="1639"/>
    </row>
    <row r="292" spans="1:6" ht="14.25" thickBot="1">
      <c r="A292" s="1626" t="s">
        <v>1397</v>
      </c>
      <c r="B292" s="1630" t="s">
        <v>1992</v>
      </c>
      <c r="C292" s="1631">
        <v>0.15</v>
      </c>
      <c r="D292" s="1631">
        <v>0.15</v>
      </c>
      <c r="E292" s="1631">
        <v>0.15</v>
      </c>
      <c r="F292" s="1632">
        <v>0.14699999999999999</v>
      </c>
    </row>
    <row r="293" spans="1:6" ht="14.25" thickBot="1">
      <c r="A293" s="1626" t="s">
        <v>1397</v>
      </c>
      <c r="B293" s="1630" t="s">
        <v>1993</v>
      </c>
      <c r="C293" s="1640"/>
      <c r="D293" s="1640"/>
      <c r="E293" s="1640"/>
      <c r="F293" s="1632">
        <v>0.1</v>
      </c>
    </row>
    <row r="294" spans="1:6" ht="14.25" thickBot="1">
      <c r="A294" s="1626" t="s">
        <v>1397</v>
      </c>
      <c r="B294" s="1630" t="s">
        <v>1994</v>
      </c>
      <c r="C294" s="1631">
        <v>0.15</v>
      </c>
      <c r="D294" s="1631">
        <v>0.15</v>
      </c>
      <c r="E294" s="1631">
        <v>0.15</v>
      </c>
      <c r="F294" s="1632">
        <v>0.15</v>
      </c>
    </row>
    <row r="295" spans="1:6" ht="14.25" thickBot="1">
      <c r="A295" s="1626" t="s">
        <v>1397</v>
      </c>
      <c r="B295" s="1630" t="s">
        <v>1098</v>
      </c>
      <c r="C295" s="1631">
        <v>0.15</v>
      </c>
      <c r="D295" s="1631">
        <v>0.15</v>
      </c>
      <c r="E295" s="1631">
        <v>0.15</v>
      </c>
      <c r="F295" s="1632">
        <v>0.15</v>
      </c>
    </row>
    <row r="296" spans="1:6" ht="14.25" thickBot="1">
      <c r="A296" s="1626" t="s">
        <v>1397</v>
      </c>
      <c r="B296" s="1630" t="s">
        <v>1995</v>
      </c>
      <c r="C296" s="1631">
        <v>0.15</v>
      </c>
      <c r="D296" s="1631">
        <v>0.15</v>
      </c>
      <c r="E296" s="1631">
        <v>0.15</v>
      </c>
      <c r="F296" s="1632">
        <v>0.15</v>
      </c>
    </row>
    <row r="297" spans="1:6" ht="14.25" thickBot="1">
      <c r="A297" s="1626" t="s">
        <v>1397</v>
      </c>
      <c r="B297" s="1630" t="s">
        <v>1996</v>
      </c>
      <c r="C297" s="1631">
        <v>0.14799999999999999</v>
      </c>
      <c r="D297" s="1631">
        <v>0.14899999999999999</v>
      </c>
      <c r="E297" s="1631">
        <v>0.15</v>
      </c>
      <c r="F297" s="1632">
        <v>0.13700000000000001</v>
      </c>
    </row>
    <row r="298" spans="1:6" ht="14.25" thickBot="1">
      <c r="A298" s="1626" t="s">
        <v>1397</v>
      </c>
      <c r="B298" s="1630" t="s">
        <v>1131</v>
      </c>
      <c r="C298" s="1631">
        <v>0.13400000000000001</v>
      </c>
      <c r="D298" s="1631">
        <v>0.13400000000000001</v>
      </c>
      <c r="E298" s="1631">
        <v>0.14499999999999999</v>
      </c>
      <c r="F298" s="1632">
        <v>0.14799999999999999</v>
      </c>
    </row>
    <row r="299" spans="1:6" ht="14.25" thickBot="1">
      <c r="A299" s="1626" t="s">
        <v>1397</v>
      </c>
      <c r="B299" s="1630" t="s">
        <v>1143</v>
      </c>
      <c r="C299" s="1631">
        <v>0.15</v>
      </c>
      <c r="D299" s="1631">
        <v>0.15</v>
      </c>
      <c r="E299" s="1631">
        <v>0.15</v>
      </c>
      <c r="F299" s="1639"/>
    </row>
    <row r="300" spans="1:6" ht="14.25" thickBot="1">
      <c r="A300" s="1626" t="s">
        <v>1397</v>
      </c>
      <c r="B300" s="1630" t="s">
        <v>1997</v>
      </c>
      <c r="C300" s="1631">
        <v>0.15</v>
      </c>
      <c r="D300" s="1631">
        <v>0.15</v>
      </c>
      <c r="E300" s="1631">
        <v>0.15</v>
      </c>
      <c r="F300" s="1632">
        <v>0.15</v>
      </c>
    </row>
    <row r="301" spans="1:6" ht="14.25" thickBot="1">
      <c r="A301" s="1626" t="s">
        <v>1397</v>
      </c>
      <c r="B301" s="1630" t="s">
        <v>1163</v>
      </c>
      <c r="C301" s="1631">
        <v>0.15</v>
      </c>
      <c r="D301" s="1631">
        <v>0.15</v>
      </c>
      <c r="E301" s="1631">
        <v>0.15</v>
      </c>
      <c r="F301" s="1639"/>
    </row>
    <row r="302" spans="1:6" ht="14.25" thickBot="1">
      <c r="A302" s="1626" t="s">
        <v>1397</v>
      </c>
      <c r="B302" s="1630" t="s">
        <v>1998</v>
      </c>
      <c r="C302" s="1631">
        <v>0.15</v>
      </c>
      <c r="D302" s="1631">
        <v>0.15</v>
      </c>
      <c r="E302" s="1631">
        <v>0.15</v>
      </c>
      <c r="F302" s="1632">
        <v>0.15</v>
      </c>
    </row>
    <row r="303" spans="1:6" ht="14.25" thickBot="1">
      <c r="A303" s="1626" t="s">
        <v>1397</v>
      </c>
      <c r="B303" s="1630" t="s">
        <v>1183</v>
      </c>
      <c r="C303" s="1631">
        <v>0.15</v>
      </c>
      <c r="D303" s="1631">
        <v>0.15</v>
      </c>
      <c r="E303" s="1631">
        <v>0.15</v>
      </c>
      <c r="F303" s="1632">
        <v>0.15</v>
      </c>
    </row>
    <row r="304" spans="1:6" ht="14.25" thickBot="1">
      <c r="A304" s="1626" t="s">
        <v>1397</v>
      </c>
      <c r="B304" s="1630" t="s">
        <v>1193</v>
      </c>
      <c r="C304" s="1631">
        <v>0.15</v>
      </c>
      <c r="D304" s="1631">
        <v>0.15</v>
      </c>
      <c r="E304" s="1631">
        <v>0.15</v>
      </c>
      <c r="F304" s="1639"/>
    </row>
    <row r="305" spans="1:6" ht="14.25" thickBot="1">
      <c r="A305" s="1626" t="s">
        <v>1397</v>
      </c>
      <c r="B305" s="1630" t="s">
        <v>1999</v>
      </c>
      <c r="C305" s="1631">
        <v>0.15</v>
      </c>
      <c r="D305" s="1631">
        <v>0.15</v>
      </c>
      <c r="E305" s="1631">
        <v>0.15</v>
      </c>
      <c r="F305" s="1632">
        <v>0.14000000000000001</v>
      </c>
    </row>
    <row r="306" spans="1:6" ht="14.25" thickBot="1">
      <c r="A306" s="1626" t="s">
        <v>1397</v>
      </c>
      <c r="B306" s="1630" t="s">
        <v>1213</v>
      </c>
      <c r="C306" s="1631">
        <v>0.15</v>
      </c>
      <c r="D306" s="1631">
        <v>0.15</v>
      </c>
      <c r="E306" s="1631">
        <v>0.15</v>
      </c>
      <c r="F306" s="1639"/>
    </row>
    <row r="307" spans="1:6" ht="14.25" thickBot="1">
      <c r="A307" s="1626" t="s">
        <v>1397</v>
      </c>
      <c r="B307" s="1630" t="s">
        <v>2000</v>
      </c>
      <c r="C307" s="1631">
        <v>0.15</v>
      </c>
      <c r="D307" s="1631">
        <v>0.15</v>
      </c>
      <c r="E307" s="1631">
        <v>0.15</v>
      </c>
      <c r="F307" s="1632">
        <v>0.14299999999999999</v>
      </c>
    </row>
    <row r="308" spans="1:6" ht="14.25" thickBot="1">
      <c r="A308" s="1626" t="s">
        <v>1397</v>
      </c>
      <c r="B308" s="1630" t="s">
        <v>1233</v>
      </c>
      <c r="C308" s="1631">
        <v>0.15</v>
      </c>
      <c r="D308" s="1631">
        <v>0.15</v>
      </c>
      <c r="E308" s="1631">
        <v>0.15</v>
      </c>
      <c r="F308" s="1632">
        <v>0.15</v>
      </c>
    </row>
    <row r="309" spans="1:6" ht="14.25" thickBot="1">
      <c r="A309" s="1626" t="s">
        <v>1397</v>
      </c>
      <c r="B309" s="1630" t="s">
        <v>1243</v>
      </c>
      <c r="C309" s="1631">
        <v>0.15</v>
      </c>
      <c r="D309" s="1631">
        <v>0.15</v>
      </c>
      <c r="E309" s="1631">
        <v>0.15</v>
      </c>
      <c r="F309" s="1639"/>
    </row>
    <row r="310" spans="1:6" ht="14.25" thickBot="1">
      <c r="A310" s="1626" t="s">
        <v>1397</v>
      </c>
      <c r="B310" s="1630" t="s">
        <v>2001</v>
      </c>
      <c r="C310" s="1631">
        <v>0.15</v>
      </c>
      <c r="D310" s="1631">
        <v>0.15</v>
      </c>
      <c r="E310" s="1631">
        <v>0.15</v>
      </c>
      <c r="F310" s="1632">
        <v>0.13700000000000001</v>
      </c>
    </row>
    <row r="311" spans="1:6" ht="14.25" thickBot="1">
      <c r="A311" s="1626" t="s">
        <v>1397</v>
      </c>
      <c r="B311" s="1630" t="s">
        <v>2002</v>
      </c>
      <c r="C311" s="1631">
        <v>0.15</v>
      </c>
      <c r="D311" s="1631">
        <v>0.15</v>
      </c>
      <c r="E311" s="1631">
        <v>0.15</v>
      </c>
      <c r="F311" s="1632">
        <v>0.15</v>
      </c>
    </row>
    <row r="312" spans="1:6" ht="14.25" thickBot="1">
      <c r="A312" s="1626" t="s">
        <v>1397</v>
      </c>
      <c r="B312" s="1630" t="s">
        <v>1269</v>
      </c>
      <c r="C312" s="1631">
        <v>0.15</v>
      </c>
      <c r="D312" s="1631">
        <v>0.15</v>
      </c>
      <c r="E312" s="1631">
        <v>0.15</v>
      </c>
      <c r="F312" s="1632">
        <v>0.1</v>
      </c>
    </row>
    <row r="313" spans="1:6" ht="14.25" thickBot="1">
      <c r="A313" s="1626" t="s">
        <v>1397</v>
      </c>
      <c r="B313" s="1630" t="s">
        <v>2003</v>
      </c>
      <c r="C313" s="1631">
        <v>0.15</v>
      </c>
      <c r="D313" s="1631">
        <v>0.15</v>
      </c>
      <c r="E313" s="1631">
        <v>0.15</v>
      </c>
      <c r="F313" s="1632">
        <v>0.15</v>
      </c>
    </row>
    <row r="314" spans="1:6" ht="24.75" thickBot="1">
      <c r="A314" s="1626" t="s">
        <v>1397</v>
      </c>
      <c r="B314" s="1630" t="s">
        <v>2004</v>
      </c>
      <c r="C314" s="1640"/>
      <c r="D314" s="1640"/>
      <c r="E314" s="1640"/>
      <c r="F314" s="1632">
        <v>0.05</v>
      </c>
    </row>
    <row r="315" spans="1:6" ht="24.75" thickBot="1">
      <c r="A315" s="1626" t="s">
        <v>1397</v>
      </c>
      <c r="B315" s="1630" t="s">
        <v>2005</v>
      </c>
      <c r="C315" s="1640"/>
      <c r="D315" s="1640"/>
      <c r="E315" s="1640"/>
      <c r="F315" s="1632">
        <v>0.05</v>
      </c>
    </row>
    <row r="316" spans="1:6" ht="24.75" thickBot="1">
      <c r="A316" s="1634" t="s">
        <v>1397</v>
      </c>
      <c r="B316" s="1641" t="s">
        <v>2006</v>
      </c>
      <c r="C316" s="1637"/>
      <c r="D316" s="1637"/>
      <c r="E316" s="1637"/>
      <c r="F316" s="1642">
        <v>0.05</v>
      </c>
    </row>
    <row r="317" spans="1:6" ht="14.25" thickBot="1">
      <c r="A317" s="1626" t="s">
        <v>2007</v>
      </c>
      <c r="B317" s="1627" t="s">
        <v>2008</v>
      </c>
      <c r="C317" s="1628">
        <v>0.15</v>
      </c>
      <c r="D317" s="1628">
        <v>0.15</v>
      </c>
      <c r="E317" s="1628">
        <v>0.15</v>
      </c>
      <c r="F317" s="1629">
        <v>0.15</v>
      </c>
    </row>
    <row r="318" spans="1:6" ht="14.25" thickBot="1">
      <c r="A318" s="1626" t="s">
        <v>2007</v>
      </c>
      <c r="B318" s="1630" t="s">
        <v>2009</v>
      </c>
      <c r="C318" s="1631">
        <v>0.107</v>
      </c>
      <c r="D318" s="1631">
        <v>0.11</v>
      </c>
      <c r="E318" s="1631">
        <v>0.112</v>
      </c>
      <c r="F318" s="1639"/>
    </row>
    <row r="319" spans="1:6" ht="14.25" thickBot="1">
      <c r="A319" s="1626" t="s">
        <v>2007</v>
      </c>
      <c r="B319" s="1630" t="s">
        <v>2010</v>
      </c>
      <c r="C319" s="1631">
        <v>0.15</v>
      </c>
      <c r="D319" s="1631">
        <v>0.15</v>
      </c>
      <c r="E319" s="1631">
        <v>0.15</v>
      </c>
      <c r="F319" s="1632">
        <v>0.15</v>
      </c>
    </row>
    <row r="320" spans="1:6" ht="14.25" thickBot="1">
      <c r="A320" s="1626" t="s">
        <v>2007</v>
      </c>
      <c r="B320" s="1630" t="s">
        <v>1085</v>
      </c>
      <c r="C320" s="1631">
        <v>0.15</v>
      </c>
      <c r="D320" s="1631">
        <v>0.15</v>
      </c>
      <c r="E320" s="1631">
        <v>0.15</v>
      </c>
      <c r="F320" s="1639"/>
    </row>
    <row r="321" spans="1:6" ht="14.25" thickBot="1">
      <c r="A321" s="1626" t="s">
        <v>2007</v>
      </c>
      <c r="B321" s="1630" t="s">
        <v>2011</v>
      </c>
      <c r="C321" s="1631">
        <v>0.15</v>
      </c>
      <c r="D321" s="1631">
        <v>0.15</v>
      </c>
      <c r="E321" s="1631">
        <v>0.15</v>
      </c>
      <c r="F321" s="1639"/>
    </row>
    <row r="322" spans="1:6" ht="14.25" thickBot="1">
      <c r="A322" s="1626" t="s">
        <v>2007</v>
      </c>
      <c r="B322" s="1630" t="s">
        <v>2012</v>
      </c>
      <c r="C322" s="1631">
        <v>0.15</v>
      </c>
      <c r="D322" s="1631">
        <v>0.15</v>
      </c>
      <c r="E322" s="1631">
        <v>0.15</v>
      </c>
      <c r="F322" s="1632">
        <v>0.15</v>
      </c>
    </row>
    <row r="323" spans="1:6" ht="14.25" thickBot="1">
      <c r="A323" s="1626" t="s">
        <v>2007</v>
      </c>
      <c r="B323" s="1630" t="s">
        <v>2013</v>
      </c>
      <c r="C323" s="1631">
        <v>0.15</v>
      </c>
      <c r="D323" s="1631">
        <v>0.15</v>
      </c>
      <c r="E323" s="1631">
        <v>0.15</v>
      </c>
      <c r="F323" s="1639"/>
    </row>
    <row r="324" spans="1:6" ht="14.25" thickBot="1">
      <c r="A324" s="1626" t="s">
        <v>2007</v>
      </c>
      <c r="B324" s="1630" t="s">
        <v>2014</v>
      </c>
      <c r="C324" s="1631">
        <v>0.15</v>
      </c>
      <c r="D324" s="1631">
        <v>0.15</v>
      </c>
      <c r="E324" s="1631">
        <v>0.15</v>
      </c>
      <c r="F324" s="1639"/>
    </row>
    <row r="325" spans="1:6" ht="14.25" thickBot="1">
      <c r="A325" s="1626" t="s">
        <v>2007</v>
      </c>
      <c r="B325" s="1630" t="s">
        <v>2015</v>
      </c>
      <c r="C325" s="1631">
        <v>0.15</v>
      </c>
      <c r="D325" s="1631">
        <v>0.15</v>
      </c>
      <c r="E325" s="1631">
        <v>0.15</v>
      </c>
      <c r="F325" s="1632">
        <v>0.14699999999999999</v>
      </c>
    </row>
    <row r="326" spans="1:6" ht="14.25" thickBot="1">
      <c r="A326" s="1626" t="s">
        <v>2007</v>
      </c>
      <c r="B326" s="1630" t="s">
        <v>1154</v>
      </c>
      <c r="C326" s="1631">
        <v>0.15</v>
      </c>
      <c r="D326" s="1631">
        <v>0.15</v>
      </c>
      <c r="E326" s="1631">
        <v>0.15</v>
      </c>
      <c r="F326" s="1639"/>
    </row>
    <row r="327" spans="1:6" ht="14.25" thickBot="1">
      <c r="A327" s="1626" t="s">
        <v>2007</v>
      </c>
      <c r="B327" s="1630" t="s">
        <v>2016</v>
      </c>
      <c r="C327" s="1631">
        <v>0.15</v>
      </c>
      <c r="D327" s="1631">
        <v>0.15</v>
      </c>
      <c r="E327" s="1631">
        <v>0.15</v>
      </c>
      <c r="F327" s="1632">
        <v>0.15</v>
      </c>
    </row>
    <row r="328" spans="1:6" ht="14.25" thickBot="1">
      <c r="A328" s="1626" t="s">
        <v>2007</v>
      </c>
      <c r="B328" s="1630" t="s">
        <v>1174</v>
      </c>
      <c r="C328" s="1631">
        <v>0.15</v>
      </c>
      <c r="D328" s="1631">
        <v>0.15</v>
      </c>
      <c r="E328" s="1631">
        <v>0.15</v>
      </c>
      <c r="F328" s="1632">
        <v>0.14099999999999999</v>
      </c>
    </row>
    <row r="329" spans="1:6" ht="14.25" thickBot="1">
      <c r="A329" s="1626" t="s">
        <v>2007</v>
      </c>
      <c r="B329" s="1630" t="s">
        <v>1184</v>
      </c>
      <c r="C329" s="1631">
        <v>0.15</v>
      </c>
      <c r="D329" s="1631">
        <v>0.15</v>
      </c>
      <c r="E329" s="1631">
        <v>0.15</v>
      </c>
      <c r="F329" s="1632">
        <v>0.15</v>
      </c>
    </row>
    <row r="330" spans="1:6" ht="14.25" thickBot="1">
      <c r="A330" s="1626" t="s">
        <v>2007</v>
      </c>
      <c r="B330" s="1630" t="s">
        <v>1194</v>
      </c>
      <c r="C330" s="1631">
        <v>0.15</v>
      </c>
      <c r="D330" s="1631">
        <v>0.15</v>
      </c>
      <c r="E330" s="1631">
        <v>0.15</v>
      </c>
      <c r="F330" s="1639"/>
    </row>
    <row r="331" spans="1:6" ht="14.25" thickBot="1">
      <c r="A331" s="1626" t="s">
        <v>2007</v>
      </c>
      <c r="B331" s="1630" t="s">
        <v>2017</v>
      </c>
      <c r="C331" s="1631">
        <v>0.15</v>
      </c>
      <c r="D331" s="1631">
        <v>0.15</v>
      </c>
      <c r="E331" s="1631">
        <v>0.15</v>
      </c>
      <c r="F331" s="1632">
        <v>0.15</v>
      </c>
    </row>
    <row r="332" spans="1:6" ht="14.25" thickBot="1">
      <c r="A332" s="1626" t="s">
        <v>2007</v>
      </c>
      <c r="B332" s="1630" t="s">
        <v>1214</v>
      </c>
      <c r="C332" s="1631">
        <v>0.15</v>
      </c>
      <c r="D332" s="1631">
        <v>0.15</v>
      </c>
      <c r="E332" s="1631">
        <v>0.15</v>
      </c>
      <c r="F332" s="1632">
        <v>0.15</v>
      </c>
    </row>
    <row r="333" spans="1:6" ht="14.25" thickBot="1">
      <c r="A333" s="1626" t="s">
        <v>2007</v>
      </c>
      <c r="B333" s="1630" t="s">
        <v>2018</v>
      </c>
      <c r="C333" s="1631">
        <v>0.15</v>
      </c>
      <c r="D333" s="1631">
        <v>0.15</v>
      </c>
      <c r="E333" s="1631">
        <v>0.15</v>
      </c>
      <c r="F333" s="1632">
        <v>0.14099999999999999</v>
      </c>
    </row>
    <row r="334" spans="1:6" ht="14.25" thickBot="1">
      <c r="A334" s="1626" t="s">
        <v>2007</v>
      </c>
      <c r="B334" s="1630" t="s">
        <v>1234</v>
      </c>
      <c r="C334" s="1631">
        <v>0.15</v>
      </c>
      <c r="D334" s="1631">
        <v>0.15</v>
      </c>
      <c r="E334" s="1631">
        <v>0.15</v>
      </c>
      <c r="F334" s="1632">
        <v>0.15</v>
      </c>
    </row>
    <row r="335" spans="1:6" ht="14.25" thickBot="1">
      <c r="A335" s="1626" t="s">
        <v>2007</v>
      </c>
      <c r="B335" s="1630" t="s">
        <v>1244</v>
      </c>
      <c r="C335" s="1631">
        <v>0.15</v>
      </c>
      <c r="D335" s="1631">
        <v>0.15</v>
      </c>
      <c r="E335" s="1631">
        <v>0.15</v>
      </c>
      <c r="F335" s="1639"/>
    </row>
    <row r="336" spans="1:6" ht="14.25" thickBot="1">
      <c r="A336" s="1626" t="s">
        <v>2007</v>
      </c>
      <c r="B336" s="1630" t="s">
        <v>2019</v>
      </c>
      <c r="C336" s="1631">
        <v>0.15</v>
      </c>
      <c r="D336" s="1631">
        <v>0.15</v>
      </c>
      <c r="E336" s="1631">
        <v>0.15</v>
      </c>
      <c r="F336" s="1632">
        <v>0.11799999999999999</v>
      </c>
    </row>
    <row r="337" spans="1:6" ht="14.25" thickBot="1">
      <c r="A337" s="1634" t="s">
        <v>2007</v>
      </c>
      <c r="B337" s="1641" t="s">
        <v>1262</v>
      </c>
      <c r="C337" s="1637"/>
      <c r="D337" s="1637"/>
      <c r="E337" s="1637"/>
      <c r="F337" s="1642">
        <v>0.14299999999999999</v>
      </c>
    </row>
    <row r="338" spans="1:6" ht="14.25" thickBot="1">
      <c r="A338" s="1626" t="s">
        <v>2020</v>
      </c>
      <c r="B338" s="1627" t="s">
        <v>2021</v>
      </c>
      <c r="C338" s="1628">
        <v>0.15</v>
      </c>
      <c r="D338" s="1628">
        <v>0.15</v>
      </c>
      <c r="E338" s="1628">
        <v>0.15</v>
      </c>
      <c r="F338" s="1650"/>
    </row>
    <row r="339" spans="1:6" ht="14.25" thickBot="1">
      <c r="A339" s="1626" t="s">
        <v>2020</v>
      </c>
      <c r="B339" s="1630" t="s">
        <v>2022</v>
      </c>
      <c r="C339" s="1631">
        <v>0.15</v>
      </c>
      <c r="D339" s="1631">
        <v>0.15</v>
      </c>
      <c r="E339" s="1631">
        <v>0.15</v>
      </c>
      <c r="F339" s="1639"/>
    </row>
    <row r="340" spans="1:6" ht="14.25" thickBot="1">
      <c r="A340" s="1626" t="s">
        <v>2020</v>
      </c>
      <c r="B340" s="1630" t="s">
        <v>2023</v>
      </c>
      <c r="C340" s="1631">
        <v>0.15</v>
      </c>
      <c r="D340" s="1631">
        <v>0.15</v>
      </c>
      <c r="E340" s="1631">
        <v>0.15</v>
      </c>
      <c r="F340" s="1639"/>
    </row>
    <row r="341" spans="1:6" ht="14.25" thickBot="1">
      <c r="A341" s="1626" t="s">
        <v>2024</v>
      </c>
      <c r="B341" s="1630" t="s">
        <v>2025</v>
      </c>
      <c r="C341" s="1631">
        <v>0.15</v>
      </c>
      <c r="D341" s="1631">
        <v>0.15</v>
      </c>
      <c r="E341" s="1631">
        <v>0.15</v>
      </c>
      <c r="F341" s="1632">
        <v>0.15</v>
      </c>
    </row>
    <row r="342" spans="1:6" ht="14.25" thickBot="1">
      <c r="A342" s="1626" t="s">
        <v>2020</v>
      </c>
      <c r="B342" s="1630" t="s">
        <v>2026</v>
      </c>
      <c r="C342" s="1631">
        <v>0.15</v>
      </c>
      <c r="D342" s="1631">
        <v>0.15</v>
      </c>
      <c r="E342" s="1631">
        <v>0.15</v>
      </c>
      <c r="F342" s="1632">
        <v>0.15</v>
      </c>
    </row>
    <row r="343" spans="1:6" ht="14.25" thickBot="1">
      <c r="A343" s="1626" t="s">
        <v>2020</v>
      </c>
      <c r="B343" s="1630" t="s">
        <v>2027</v>
      </c>
      <c r="C343" s="1631">
        <v>0.15</v>
      </c>
      <c r="D343" s="1631">
        <v>0.15</v>
      </c>
      <c r="E343" s="1631">
        <v>0.15</v>
      </c>
      <c r="F343" s="1632">
        <v>0.15</v>
      </c>
    </row>
    <row r="344" spans="1:6" ht="14.25" thickBot="1">
      <c r="A344" s="1634" t="s">
        <v>2020</v>
      </c>
      <c r="B344" s="1641" t="s">
        <v>2028</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1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94" t="s">
        <v>2292</v>
      </c>
      <c r="C1" s="3494"/>
      <c r="D1" s="3494"/>
      <c r="E1" s="3494"/>
      <c r="F1" s="3494"/>
      <c r="G1" s="3493" t="s">
        <v>2293</v>
      </c>
      <c r="H1" s="3493"/>
      <c r="I1" s="3493"/>
      <c r="J1" s="3493"/>
      <c r="K1" s="3493"/>
      <c r="L1" s="3493"/>
      <c r="N1" s="3493" t="s">
        <v>2294</v>
      </c>
      <c r="O1" s="3493"/>
      <c r="P1" s="3493"/>
      <c r="Q1" s="3493"/>
      <c r="S1" s="3493" t="s">
        <v>2295</v>
      </c>
      <c r="T1" s="3493"/>
      <c r="U1" s="3493"/>
      <c r="V1" s="3493"/>
      <c r="X1" s="3492" t="s">
        <v>2355</v>
      </c>
      <c r="Y1" s="3493"/>
      <c r="Z1" s="3493"/>
      <c r="AA1" s="3493"/>
      <c r="AB1" s="3493"/>
      <c r="AD1" s="3492" t="s">
        <v>2359</v>
      </c>
      <c r="AE1" s="3493"/>
      <c r="AF1" s="3493"/>
      <c r="AG1" s="3493"/>
      <c r="AH1" s="3493"/>
    </row>
    <row r="2" spans="1:34" s="2582" customFormat="1" ht="14.25" thickBot="1">
      <c r="B2" s="2583" t="s">
        <v>2296</v>
      </c>
      <c r="C2" s="2583" t="s">
        <v>2357</v>
      </c>
      <c r="D2" s="2584" t="s">
        <v>1443</v>
      </c>
      <c r="E2" s="2584" t="s">
        <v>1740</v>
      </c>
      <c r="F2" s="2583" t="s">
        <v>2358</v>
      </c>
      <c r="G2" s="2585"/>
      <c r="I2" s="2583" t="s">
        <v>2652</v>
      </c>
      <c r="J2" s="2584" t="s">
        <v>2654</v>
      </c>
      <c r="K2" s="2584" t="s">
        <v>2655</v>
      </c>
      <c r="L2" s="2583" t="s">
        <v>2656</v>
      </c>
      <c r="N2" s="2583" t="s">
        <v>2296</v>
      </c>
      <c r="O2" s="2584" t="s">
        <v>2653</v>
      </c>
      <c r="P2" s="2584" t="s">
        <v>1740</v>
      </c>
      <c r="Q2" s="2583" t="s">
        <v>2358</v>
      </c>
      <c r="S2" s="2583" t="s">
        <v>2296</v>
      </c>
      <c r="T2" s="2584" t="s">
        <v>2653</v>
      </c>
      <c r="U2" s="2584" t="s">
        <v>1740</v>
      </c>
      <c r="V2" s="2583" t="s">
        <v>2358</v>
      </c>
      <c r="X2" s="2583" t="s">
        <v>2296</v>
      </c>
      <c r="Y2" s="2583" t="s">
        <v>2357</v>
      </c>
      <c r="Z2" s="2584" t="s">
        <v>1443</v>
      </c>
      <c r="AA2" s="2584" t="s">
        <v>1740</v>
      </c>
      <c r="AB2" s="2583" t="s">
        <v>2358</v>
      </c>
      <c r="AD2" s="2583" t="s">
        <v>2296</v>
      </c>
      <c r="AE2" s="2583" t="s">
        <v>2357</v>
      </c>
      <c r="AF2" s="2584" t="s">
        <v>1443</v>
      </c>
      <c r="AG2" s="2584" t="s">
        <v>1740</v>
      </c>
      <c r="AH2" s="2583" t="s">
        <v>2358</v>
      </c>
    </row>
    <row r="3" spans="1:34" s="2590" customFormat="1" ht="14.25">
      <c r="A3" s="2586" t="s">
        <v>2663</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2887</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2886</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2885</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2884</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2883</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2732</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2731</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2730</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2729</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2727</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2726</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2690</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2688</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2686</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2685</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2682</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2681</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2679</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96">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2672</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96"/>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2673</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96"/>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2669</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502"/>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2662</v>
      </c>
      <c r="B26" s="2613">
        <v>439</v>
      </c>
      <c r="C26" s="2613">
        <v>327</v>
      </c>
      <c r="D26" s="2613">
        <f t="shared" si="219"/>
        <v>327</v>
      </c>
      <c r="E26" s="2613">
        <v>627</v>
      </c>
      <c r="F26" s="2614">
        <v>283</v>
      </c>
      <c r="G26" s="3501">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2664</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96"/>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2297</v>
      </c>
      <c r="B28" s="2603">
        <f t="shared" si="231"/>
        <v>419.31181600000002</v>
      </c>
      <c r="C28" s="2603">
        <f t="shared" si="231"/>
        <v>313.95436800000004</v>
      </c>
      <c r="D28" s="2603">
        <f t="shared" si="219"/>
        <v>313.95436800000004</v>
      </c>
      <c r="E28" s="2603">
        <f t="shared" si="232"/>
        <v>596.63028431999999</v>
      </c>
      <c r="F28" s="2603">
        <f t="shared" si="232"/>
        <v>274.74220703999998</v>
      </c>
      <c r="G28" s="3496"/>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2298</v>
      </c>
      <c r="B29" s="2603">
        <f t="shared" si="231"/>
        <v>405.524</v>
      </c>
      <c r="C29" s="2603">
        <f t="shared" si="231"/>
        <v>307.79840000000002</v>
      </c>
      <c r="D29" s="2603">
        <f t="shared" si="219"/>
        <v>307.79840000000002</v>
      </c>
      <c r="E29" s="2603">
        <f t="shared" si="232"/>
        <v>574.67759999999998</v>
      </c>
      <c r="F29" s="2603">
        <f t="shared" si="232"/>
        <v>270.20280000000002</v>
      </c>
      <c r="G29" s="3502"/>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948</v>
      </c>
      <c r="B30" s="2621">
        <v>392</v>
      </c>
      <c r="C30" s="2621">
        <v>302</v>
      </c>
      <c r="D30" s="2621">
        <f t="shared" si="219"/>
        <v>302</v>
      </c>
      <c r="E30" s="2621">
        <v>553</v>
      </c>
      <c r="F30" s="2622">
        <v>266</v>
      </c>
      <c r="G30" s="3501">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947</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96"/>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937</v>
      </c>
      <c r="B32" s="2603">
        <f t="shared" si="240"/>
        <v>360.06949782209392</v>
      </c>
      <c r="C32" s="2603">
        <f t="shared" si="240"/>
        <v>289.84672674747821</v>
      </c>
      <c r="D32" s="2603">
        <f t="shared" si="241"/>
        <v>289.84672674747821</v>
      </c>
      <c r="E32" s="2603">
        <f t="shared" si="242"/>
        <v>501.06543001181495</v>
      </c>
      <c r="F32" s="2603">
        <f t="shared" si="242"/>
        <v>256.82882500744967</v>
      </c>
      <c r="G32" s="3496"/>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946</v>
      </c>
      <c r="B33" s="2603">
        <f t="shared" si="240"/>
        <v>346.720748986128</v>
      </c>
      <c r="C33" s="2603">
        <f t="shared" si="240"/>
        <v>284.30282172386285</v>
      </c>
      <c r="D33" s="2603">
        <f t="shared" si="241"/>
        <v>284.30282172386285</v>
      </c>
      <c r="E33" s="2603">
        <f t="shared" si="242"/>
        <v>479.58023546306947</v>
      </c>
      <c r="F33" s="2603">
        <f t="shared" si="242"/>
        <v>253.25788877571213</v>
      </c>
      <c r="G33" s="3497"/>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945</v>
      </c>
      <c r="B34" s="2621">
        <v>333</v>
      </c>
      <c r="C34" s="2621">
        <v>277</v>
      </c>
      <c r="D34" s="2621">
        <f t="shared" si="241"/>
        <v>277</v>
      </c>
      <c r="E34" s="2621">
        <v>459</v>
      </c>
      <c r="F34" s="2622">
        <v>249</v>
      </c>
      <c r="G34" s="3495">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944</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96"/>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943</v>
      </c>
      <c r="B36" s="2603">
        <f t="shared" si="244"/>
        <v>322.34053690220776</v>
      </c>
      <c r="C36" s="2603">
        <f t="shared" si="244"/>
        <v>271.46160770422546</v>
      </c>
      <c r="D36" s="2603">
        <f t="shared" si="241"/>
        <v>271.46160770422546</v>
      </c>
      <c r="E36" s="2603">
        <f t="shared" si="245"/>
        <v>442.69434542172456</v>
      </c>
      <c r="F36" s="2603">
        <f t="shared" si="245"/>
        <v>241.34030753190925</v>
      </c>
      <c r="G36" s="3496"/>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942</v>
      </c>
      <c r="B37" s="2603">
        <f t="shared" si="244"/>
        <v>319.87748030386797</v>
      </c>
      <c r="C37" s="2603">
        <f t="shared" si="244"/>
        <v>269.60135833173649</v>
      </c>
      <c r="D37" s="2603">
        <f t="shared" si="241"/>
        <v>269.60135833173649</v>
      </c>
      <c r="E37" s="2603">
        <f t="shared" si="245"/>
        <v>439.18089823583784</v>
      </c>
      <c r="F37" s="2603">
        <f t="shared" si="245"/>
        <v>239.23503918706311</v>
      </c>
      <c r="G37" s="3497"/>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941</v>
      </c>
      <c r="B38" s="2628">
        <v>318</v>
      </c>
      <c r="C38" s="2628">
        <v>268</v>
      </c>
      <c r="D38" s="2628">
        <f t="shared" si="241"/>
        <v>268</v>
      </c>
      <c r="E38" s="2628">
        <v>437</v>
      </c>
      <c r="F38" s="2629">
        <v>237</v>
      </c>
      <c r="G38" s="3495">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940</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96"/>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939</v>
      </c>
      <c r="B40" s="2603">
        <f t="shared" si="246"/>
        <v>314.72141172386546</v>
      </c>
      <c r="C40" s="2603">
        <f t="shared" si="246"/>
        <v>263.03901319069001</v>
      </c>
      <c r="D40" s="2603">
        <f t="shared" si="241"/>
        <v>263.03901319069001</v>
      </c>
      <c r="E40" s="2603">
        <f t="shared" si="247"/>
        <v>433.65745506782821</v>
      </c>
      <c r="F40" s="2603">
        <f t="shared" si="247"/>
        <v>233.23005080045735</v>
      </c>
      <c r="G40" s="3496"/>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938</v>
      </c>
      <c r="B41" s="2633">
        <f t="shared" si="246"/>
        <v>307.34512863658733</v>
      </c>
      <c r="C41" s="2633">
        <f t="shared" si="246"/>
        <v>257.80556031626975</v>
      </c>
      <c r="D41" s="2633">
        <f t="shared" si="241"/>
        <v>257.80556031626975</v>
      </c>
      <c r="E41" s="2633">
        <f t="shared" si="247"/>
        <v>422.70928459677179</v>
      </c>
      <c r="F41" s="2633">
        <f t="shared" si="247"/>
        <v>229.73803270336617</v>
      </c>
      <c r="G41" s="3497"/>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2356</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2299</v>
      </c>
      <c r="B42" s="2621">
        <v>299</v>
      </c>
      <c r="C42" s="2621">
        <v>252</v>
      </c>
      <c r="D42" s="2621">
        <f t="shared" si="241"/>
        <v>252</v>
      </c>
      <c r="E42" s="2621">
        <v>409</v>
      </c>
      <c r="F42" s="2622">
        <v>227</v>
      </c>
      <c r="G42" s="3498">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2300</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99"/>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2301</v>
      </c>
      <c r="B44" s="2603">
        <f t="shared" si="250"/>
        <v>288.2649053828776</v>
      </c>
      <c r="C44" s="2603">
        <f t="shared" si="250"/>
        <v>243.64564425013293</v>
      </c>
      <c r="D44" s="2603">
        <f t="shared" si="241"/>
        <v>243.64564425013293</v>
      </c>
      <c r="E44" s="2603">
        <f t="shared" si="251"/>
        <v>393.31080825986544</v>
      </c>
      <c r="F44" s="2603">
        <f t="shared" si="251"/>
        <v>223.07903790551154</v>
      </c>
      <c r="G44" s="3499"/>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2302</v>
      </c>
      <c r="B45" s="2603">
        <f t="shared" si="250"/>
        <v>282.50186729015837</v>
      </c>
      <c r="C45" s="2603">
        <f t="shared" si="250"/>
        <v>238.09796174155468</v>
      </c>
      <c r="D45" s="2603">
        <f t="shared" si="241"/>
        <v>238.09796174155468</v>
      </c>
      <c r="E45" s="2603">
        <f t="shared" si="251"/>
        <v>385.33438646014054</v>
      </c>
      <c r="F45" s="2603">
        <f t="shared" si="251"/>
        <v>221.55034055567739</v>
      </c>
      <c r="G45" s="3500"/>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2303</v>
      </c>
      <c r="B46" s="2647">
        <v>278</v>
      </c>
      <c r="C46" s="2647">
        <v>234</v>
      </c>
      <c r="D46" s="2647">
        <f t="shared" si="241"/>
        <v>234</v>
      </c>
      <c r="E46" s="2647">
        <v>379</v>
      </c>
      <c r="F46" s="2648">
        <v>220</v>
      </c>
      <c r="G46" s="3495">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2304</v>
      </c>
      <c r="B47" s="2603">
        <f>B46/(1+N46)</f>
        <v>275.49301357645425</v>
      </c>
      <c r="C47" s="2603">
        <f>C46/(1+O46)</f>
        <v>232.41954707985698</v>
      </c>
      <c r="D47" s="2603">
        <f t="shared" si="241"/>
        <v>232.41954707985698</v>
      </c>
      <c r="E47" s="2603">
        <f t="shared" ref="E47:F49" si="252">E46/(1+P46)</f>
        <v>375.32184591008121</v>
      </c>
      <c r="F47" s="2603">
        <f t="shared" si="252"/>
        <v>218.03766105054513</v>
      </c>
      <c r="G47" s="3496"/>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2305</v>
      </c>
      <c r="B48" s="2603">
        <f>B47/(1+N47)</f>
        <v>275.24529281292263</v>
      </c>
      <c r="C48" s="2603">
        <f>C47/(1+O47)</f>
        <v>231.74747938962707</v>
      </c>
      <c r="D48" s="2603">
        <f t="shared" si="241"/>
        <v>231.74747938962707</v>
      </c>
      <c r="E48" s="2603">
        <f t="shared" si="252"/>
        <v>375.35938184826603</v>
      </c>
      <c r="F48" s="2603">
        <f t="shared" si="252"/>
        <v>216.78033510692495</v>
      </c>
      <c r="G48" s="3496"/>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2306</v>
      </c>
      <c r="B49" s="2603">
        <f>B48/(1+N48)</f>
        <v>275.19025476197027</v>
      </c>
      <c r="C49" s="2649">
        <v>232</v>
      </c>
      <c r="D49" s="2649">
        <f t="shared" si="241"/>
        <v>232</v>
      </c>
      <c r="E49" s="2603">
        <f t="shared" si="252"/>
        <v>375.65990977608692</v>
      </c>
      <c r="F49" s="2603">
        <f t="shared" si="252"/>
        <v>214.12518283971252</v>
      </c>
      <c r="G49" s="3497"/>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2307</v>
      </c>
      <c r="B50" s="2621">
        <v>275</v>
      </c>
      <c r="C50" s="2621">
        <v>232</v>
      </c>
      <c r="D50" s="2621">
        <f t="shared" si="241"/>
        <v>232</v>
      </c>
      <c r="E50" s="2621">
        <v>376</v>
      </c>
      <c r="F50" s="2622">
        <v>213</v>
      </c>
      <c r="G50" s="3495">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2308</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96">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2309</v>
      </c>
      <c r="B52" s="2603">
        <f t="shared" si="253"/>
        <v>275.19335084830601</v>
      </c>
      <c r="C52" s="2603">
        <f t="shared" si="253"/>
        <v>230.18088050139744</v>
      </c>
      <c r="D52" s="2603">
        <f t="shared" si="241"/>
        <v>230.18088050139744</v>
      </c>
      <c r="E52" s="2603">
        <f t="shared" si="254"/>
        <v>377.58482925212331</v>
      </c>
      <c r="F52" s="2603">
        <f t="shared" si="254"/>
        <v>210.90687997847917</v>
      </c>
      <c r="G52" s="3496">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2310</v>
      </c>
      <c r="B53" s="2603">
        <f t="shared" si="253"/>
        <v>276.29854502841971</v>
      </c>
      <c r="C53" s="2603">
        <f t="shared" si="253"/>
        <v>229.79023709833027</v>
      </c>
      <c r="D53" s="2603">
        <f t="shared" si="241"/>
        <v>229.79023709833027</v>
      </c>
      <c r="E53" s="2603">
        <f t="shared" si="254"/>
        <v>379.78759731655936</v>
      </c>
      <c r="F53" s="2603">
        <f t="shared" si="254"/>
        <v>211.32953905659235</v>
      </c>
      <c r="G53" s="3497">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2311</v>
      </c>
      <c r="B54" s="2621">
        <v>269</v>
      </c>
      <c r="C54" s="2621">
        <v>221</v>
      </c>
      <c r="D54" s="2621">
        <f t="shared" si="241"/>
        <v>221</v>
      </c>
      <c r="E54" s="2621">
        <v>373</v>
      </c>
      <c r="F54" s="2622">
        <v>196</v>
      </c>
      <c r="G54" s="3495">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2312</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96">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2313</v>
      </c>
      <c r="B56" s="2603">
        <f t="shared" si="255"/>
        <v>242.95398227588385</v>
      </c>
      <c r="C56" s="2603">
        <f t="shared" si="255"/>
        <v>199.59137053614126</v>
      </c>
      <c r="D56" s="2603">
        <f t="shared" si="241"/>
        <v>199.59137053614126</v>
      </c>
      <c r="E56" s="2603">
        <f t="shared" si="256"/>
        <v>335.92189522342125</v>
      </c>
      <c r="F56" s="2603">
        <f t="shared" si="256"/>
        <v>183.10139991109489</v>
      </c>
      <c r="G56" s="3496">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2314</v>
      </c>
      <c r="B57" s="2603">
        <f t="shared" si="255"/>
        <v>232.06990378821649</v>
      </c>
      <c r="C57" s="2603">
        <f t="shared" si="255"/>
        <v>192.74878854286936</v>
      </c>
      <c r="D57" s="2603">
        <f t="shared" si="241"/>
        <v>192.74878854286936</v>
      </c>
      <c r="E57" s="2603">
        <f t="shared" si="256"/>
        <v>319.71247284992984</v>
      </c>
      <c r="F57" s="2603">
        <f t="shared" si="256"/>
        <v>175.67053622862409</v>
      </c>
      <c r="G57" s="3497">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2315</v>
      </c>
      <c r="B58" s="2621">
        <v>220</v>
      </c>
      <c r="C58" s="2621">
        <v>187</v>
      </c>
      <c r="D58" s="2621">
        <f t="shared" si="241"/>
        <v>187</v>
      </c>
      <c r="E58" s="2621">
        <v>301</v>
      </c>
      <c r="F58" s="2622">
        <v>168</v>
      </c>
      <c r="G58" s="3495">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2316</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96">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2317</v>
      </c>
      <c r="B60" s="2603">
        <f t="shared" si="257"/>
        <v>210.630522469011</v>
      </c>
      <c r="C60" s="2603">
        <f t="shared" si="257"/>
        <v>181.69567812247232</v>
      </c>
      <c r="D60" s="2603">
        <f t="shared" si="241"/>
        <v>181.69567812247232</v>
      </c>
      <c r="E60" s="2603">
        <f t="shared" si="258"/>
        <v>286.13517466736738</v>
      </c>
      <c r="F60" s="2603">
        <f t="shared" si="258"/>
        <v>165.47535084591149</v>
      </c>
      <c r="G60" s="3496">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2318</v>
      </c>
      <c r="B61" s="2603">
        <f t="shared" si="257"/>
        <v>208.83454537875372</v>
      </c>
      <c r="C61" s="2603">
        <f t="shared" si="257"/>
        <v>183.77230517090351</v>
      </c>
      <c r="D61" s="2603">
        <f t="shared" si="241"/>
        <v>183.77230517090351</v>
      </c>
      <c r="E61" s="2603">
        <f t="shared" si="258"/>
        <v>281.10342338870947</v>
      </c>
      <c r="F61" s="2603">
        <f t="shared" si="258"/>
        <v>168.97309388942256</v>
      </c>
      <c r="G61" s="3497">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2319</v>
      </c>
      <c r="B62" s="2647">
        <v>214</v>
      </c>
      <c r="C62" s="2647">
        <v>188</v>
      </c>
      <c r="D62" s="2647">
        <f t="shared" si="241"/>
        <v>188</v>
      </c>
      <c r="E62" s="2647">
        <v>289</v>
      </c>
      <c r="F62" s="2648">
        <v>166</v>
      </c>
      <c r="G62" s="3495">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2320</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96">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2321</v>
      </c>
      <c r="B64" s="2603">
        <f t="shared" si="259"/>
        <v>206.31694671589116</v>
      </c>
      <c r="C64" s="2603">
        <f t="shared" si="259"/>
        <v>183.61041121036101</v>
      </c>
      <c r="D64" s="2603">
        <f t="shared" si="241"/>
        <v>183.61041121036101</v>
      </c>
      <c r="E64" s="2603">
        <f t="shared" si="260"/>
        <v>276.66850301795557</v>
      </c>
      <c r="F64" s="2603">
        <f t="shared" si="260"/>
        <v>165.1360938278614</v>
      </c>
      <c r="G64" s="3496">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2322</v>
      </c>
      <c r="B65" s="2650">
        <f t="shared" si="259"/>
        <v>196.62341248059772</v>
      </c>
      <c r="C65" s="2650">
        <f t="shared" si="259"/>
        <v>170.99125648199012</v>
      </c>
      <c r="D65" s="2650">
        <f t="shared" si="241"/>
        <v>170.99125648199012</v>
      </c>
      <c r="E65" s="2650">
        <f t="shared" si="260"/>
        <v>266.07857570490052</v>
      </c>
      <c r="F65" s="2650">
        <f t="shared" si="260"/>
        <v>154.53499328828505</v>
      </c>
      <c r="G65" s="3497">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2323</v>
      </c>
      <c r="B66" s="2621">
        <v>188</v>
      </c>
      <c r="C66" s="2621">
        <v>165</v>
      </c>
      <c r="D66" s="2621">
        <f t="shared" si="241"/>
        <v>165</v>
      </c>
      <c r="E66" s="2621">
        <v>254</v>
      </c>
      <c r="F66" s="2622">
        <v>148</v>
      </c>
      <c r="G66" s="3495">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2324</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96">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2325</v>
      </c>
      <c r="B68" s="2603">
        <f t="shared" si="263"/>
        <v>168.82017748715555</v>
      </c>
      <c r="C68" s="2603">
        <f t="shared" si="263"/>
        <v>148.06267029972753</v>
      </c>
      <c r="D68" s="2603">
        <f t="shared" si="241"/>
        <v>148.06267029972753</v>
      </c>
      <c r="E68" s="2603">
        <f t="shared" si="264"/>
        <v>216.46288379323747</v>
      </c>
      <c r="F68" s="2603">
        <f t="shared" si="264"/>
        <v>134.23529411764704</v>
      </c>
      <c r="G68" s="3496">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2326</v>
      </c>
      <c r="B69" s="2603">
        <f t="shared" si="263"/>
        <v>163.84913591779542</v>
      </c>
      <c r="C69" s="2603">
        <f t="shared" si="263"/>
        <v>145.0283378746594</v>
      </c>
      <c r="D69" s="2603">
        <f t="shared" si="241"/>
        <v>145.0283378746594</v>
      </c>
      <c r="E69" s="2603">
        <f t="shared" si="264"/>
        <v>204.95180722891567</v>
      </c>
      <c r="F69" s="2603">
        <f t="shared" si="264"/>
        <v>125.95920303605313</v>
      </c>
      <c r="G69" s="3497">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2327</v>
      </c>
      <c r="B70" s="2628">
        <v>159</v>
      </c>
      <c r="C70" s="2628">
        <v>141</v>
      </c>
      <c r="D70" s="2628">
        <f t="shared" si="241"/>
        <v>141</v>
      </c>
      <c r="E70" s="2628">
        <v>195</v>
      </c>
      <c r="F70" s="2629">
        <v>122</v>
      </c>
      <c r="G70" s="3495">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2328</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96">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2329</v>
      </c>
      <c r="B72" s="2603">
        <f t="shared" si="267"/>
        <v>146.57412060301507</v>
      </c>
      <c r="C72" s="2603">
        <f t="shared" si="267"/>
        <v>136.46831955922866</v>
      </c>
      <c r="D72" s="2603">
        <f t="shared" si="241"/>
        <v>136.46831955922866</v>
      </c>
      <c r="E72" s="2603">
        <f t="shared" si="268"/>
        <v>166.73864894795128</v>
      </c>
      <c r="F72" s="2603">
        <f t="shared" si="268"/>
        <v>115.05882352941177</v>
      </c>
      <c r="G72" s="3496">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2330</v>
      </c>
      <c r="B73" s="2603">
        <f t="shared" si="267"/>
        <v>144.04145728643215</v>
      </c>
      <c r="C73" s="2603">
        <f t="shared" si="267"/>
        <v>136.12396694214877</v>
      </c>
      <c r="D73" s="2603">
        <f t="shared" si="241"/>
        <v>136.12396694214877</v>
      </c>
      <c r="E73" s="2603">
        <f t="shared" si="268"/>
        <v>158.32225913621264</v>
      </c>
      <c r="F73" s="2603">
        <f t="shared" si="268"/>
        <v>114.04278074866311</v>
      </c>
      <c r="G73" s="3497">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2331</v>
      </c>
      <c r="B74" s="2628">
        <v>138</v>
      </c>
      <c r="C74" s="2628">
        <v>131</v>
      </c>
      <c r="D74" s="2628">
        <f t="shared" si="241"/>
        <v>131</v>
      </c>
      <c r="E74" s="2628">
        <v>155</v>
      </c>
      <c r="F74" s="2629">
        <v>114</v>
      </c>
      <c r="G74" s="3495">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2332</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96">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2333</v>
      </c>
      <c r="B76" s="2603">
        <f t="shared" si="271"/>
        <v>124.29032258064517</v>
      </c>
      <c r="C76" s="2603">
        <f t="shared" si="271"/>
        <v>123.8968609865471</v>
      </c>
      <c r="D76" s="2603">
        <f t="shared" si="241"/>
        <v>123.8968609865471</v>
      </c>
      <c r="E76" s="2603">
        <f t="shared" si="272"/>
        <v>138.00507614213197</v>
      </c>
      <c r="F76" s="2603">
        <f t="shared" si="272"/>
        <v>107.96106557377048</v>
      </c>
      <c r="G76" s="3496">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2334</v>
      </c>
      <c r="B77" s="2603">
        <f t="shared" si="271"/>
        <v>122.57204301075269</v>
      </c>
      <c r="C77" s="2603">
        <f t="shared" si="271"/>
        <v>123.4932735426009</v>
      </c>
      <c r="D77" s="2603">
        <f t="shared" si="241"/>
        <v>123.4932735426009</v>
      </c>
      <c r="E77" s="2603">
        <f t="shared" si="272"/>
        <v>129.82233502538071</v>
      </c>
      <c r="F77" s="2603">
        <f t="shared" si="272"/>
        <v>107.39446721311475</v>
      </c>
      <c r="G77" s="3497">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2335</v>
      </c>
      <c r="B78" s="2647">
        <v>121</v>
      </c>
      <c r="C78" s="2647">
        <v>122</v>
      </c>
      <c r="D78" s="2647">
        <f t="shared" si="241"/>
        <v>122</v>
      </c>
      <c r="E78" s="2647">
        <v>124</v>
      </c>
      <c r="F78" s="2648">
        <v>107</v>
      </c>
      <c r="G78" s="3495">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2336</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96">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2337</v>
      </c>
      <c r="B80" s="2603">
        <f t="shared" si="275"/>
        <v>116.99099099099099</v>
      </c>
      <c r="C80" s="2603">
        <f t="shared" si="275"/>
        <v>118.84848484848486</v>
      </c>
      <c r="D80" s="2603">
        <f t="shared" si="241"/>
        <v>118.84848484848486</v>
      </c>
      <c r="E80" s="2603">
        <f t="shared" si="276"/>
        <v>117.60960960960961</v>
      </c>
      <c r="F80" s="2603">
        <f t="shared" si="276"/>
        <v>104</v>
      </c>
      <c r="G80" s="3496">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2338</v>
      </c>
      <c r="B81" s="2650">
        <f t="shared" si="275"/>
        <v>112.48648648648648</v>
      </c>
      <c r="C81" s="2650">
        <f t="shared" si="275"/>
        <v>115.21212121212122</v>
      </c>
      <c r="D81" s="2650">
        <f t="shared" si="241"/>
        <v>115.21212121212122</v>
      </c>
      <c r="E81" s="2650">
        <f t="shared" si="276"/>
        <v>110.4024024024024</v>
      </c>
      <c r="F81" s="2650">
        <f t="shared" si="276"/>
        <v>104</v>
      </c>
      <c r="G81" s="3497">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2339</v>
      </c>
      <c r="B82" s="2667">
        <v>111</v>
      </c>
      <c r="C82" s="2667">
        <v>114</v>
      </c>
      <c r="D82" s="2667">
        <f t="shared" si="241"/>
        <v>114</v>
      </c>
      <c r="E82" s="2667">
        <v>108</v>
      </c>
      <c r="F82" s="2668">
        <v>104</v>
      </c>
      <c r="G82" s="3495">
        <v>2003</v>
      </c>
      <c r="H82" s="2657">
        <v>4</v>
      </c>
      <c r="I82" s="2669"/>
      <c r="J82" s="2669"/>
      <c r="K82" s="2669"/>
      <c r="L82" s="2669"/>
      <c r="N82" s="2670"/>
      <c r="O82" s="2669"/>
      <c r="P82" s="2669"/>
      <c r="Q82" s="2669"/>
      <c r="S82" s="2670"/>
      <c r="T82" s="2669"/>
      <c r="U82" s="2669"/>
      <c r="V82" s="2669"/>
      <c r="X82" s="2661"/>
      <c r="Y82" s="2661"/>
      <c r="Z82" s="2661"/>
    </row>
    <row r="83" spans="1:26">
      <c r="A83" s="2602" t="s">
        <v>2340</v>
      </c>
      <c r="B83" s="2671">
        <f t="shared" ref="B83:C85" si="277">B84+(B$82-B$86)/4</f>
        <v>109.75</v>
      </c>
      <c r="C83" s="2671">
        <f t="shared" si="277"/>
        <v>112.25</v>
      </c>
      <c r="D83" s="2671">
        <f t="shared" si="241"/>
        <v>112.25</v>
      </c>
      <c r="E83" s="2671">
        <f t="shared" ref="E83:F85" si="278">E84+(E$82-E$86)/4</f>
        <v>107.25</v>
      </c>
      <c r="F83" s="2671">
        <f t="shared" si="278"/>
        <v>103.5</v>
      </c>
      <c r="G83" s="3496">
        <v>2003</v>
      </c>
      <c r="H83" s="2626">
        <v>3</v>
      </c>
      <c r="I83" s="2669"/>
      <c r="J83" s="2669"/>
      <c r="K83" s="2669"/>
      <c r="L83" s="2669"/>
      <c r="X83" s="2661"/>
      <c r="Y83" s="2661"/>
      <c r="Z83" s="2661"/>
    </row>
    <row r="84" spans="1:26">
      <c r="A84" s="2602" t="s">
        <v>2341</v>
      </c>
      <c r="B84" s="2671">
        <f t="shared" si="277"/>
        <v>108.5</v>
      </c>
      <c r="C84" s="2671">
        <f t="shared" si="277"/>
        <v>110.5</v>
      </c>
      <c r="D84" s="2671">
        <f t="shared" si="241"/>
        <v>110.5</v>
      </c>
      <c r="E84" s="2671">
        <f t="shared" si="278"/>
        <v>106.5</v>
      </c>
      <c r="F84" s="2671">
        <f t="shared" si="278"/>
        <v>103</v>
      </c>
      <c r="G84" s="3496">
        <v>2003</v>
      </c>
      <c r="H84" s="2617">
        <v>2</v>
      </c>
      <c r="I84" s="2669"/>
      <c r="J84" s="2669"/>
      <c r="K84" s="2669"/>
      <c r="L84" s="2669"/>
      <c r="X84" s="2661"/>
      <c r="Y84" s="2661"/>
      <c r="Z84" s="2661"/>
    </row>
    <row r="85" spans="1:26" ht="13.5" thickBot="1">
      <c r="A85" s="2602" t="s">
        <v>2342</v>
      </c>
      <c r="B85" s="2671">
        <f t="shared" si="277"/>
        <v>107.25</v>
      </c>
      <c r="C85" s="2671">
        <f t="shared" si="277"/>
        <v>108.75</v>
      </c>
      <c r="D85" s="2671">
        <f t="shared" si="241"/>
        <v>108.75</v>
      </c>
      <c r="E85" s="2671">
        <f t="shared" si="278"/>
        <v>105.75</v>
      </c>
      <c r="F85" s="2671">
        <f t="shared" si="278"/>
        <v>102.5</v>
      </c>
      <c r="G85" s="3497">
        <v>2003</v>
      </c>
      <c r="H85" s="2672">
        <v>1</v>
      </c>
      <c r="I85" s="2669"/>
      <c r="J85" s="2669"/>
      <c r="K85" s="2669"/>
      <c r="L85" s="2669"/>
      <c r="S85" s="2605"/>
      <c r="T85" s="2601"/>
      <c r="U85" s="2601"/>
      <c r="X85" s="2661"/>
      <c r="Y85" s="2661"/>
      <c r="Z85" s="2661"/>
    </row>
    <row r="86" spans="1:26" ht="13.5" thickBot="1">
      <c r="A86" s="2602" t="s">
        <v>2343</v>
      </c>
      <c r="B86" s="2673">
        <v>106</v>
      </c>
      <c r="C86" s="2673">
        <v>107</v>
      </c>
      <c r="D86" s="2673">
        <f t="shared" si="241"/>
        <v>107</v>
      </c>
      <c r="E86" s="2673">
        <v>105</v>
      </c>
      <c r="F86" s="2674">
        <v>102</v>
      </c>
      <c r="G86" s="3495">
        <v>2002</v>
      </c>
      <c r="H86" s="2623">
        <v>4</v>
      </c>
      <c r="I86" s="2669"/>
      <c r="J86" s="2669"/>
      <c r="K86" s="2669"/>
      <c r="L86" s="2669"/>
      <c r="N86" s="2670"/>
      <c r="O86" s="2669"/>
      <c r="P86" s="2669"/>
      <c r="Q86" s="2669"/>
      <c r="S86" s="2670"/>
      <c r="T86" s="2669"/>
      <c r="U86" s="2669"/>
      <c r="V86" s="2669"/>
      <c r="X86" s="2661"/>
      <c r="Y86" s="2661"/>
      <c r="Z86" s="2661"/>
    </row>
    <row r="87" spans="1:26">
      <c r="A87" s="2602" t="s">
        <v>2344</v>
      </c>
      <c r="B87" s="2671">
        <f t="shared" ref="B87:C89" si="279">B88+(B$86-B$90)/4</f>
        <v>105</v>
      </c>
      <c r="C87" s="2671">
        <f t="shared" si="279"/>
        <v>106</v>
      </c>
      <c r="D87" s="2671">
        <f t="shared" si="241"/>
        <v>106</v>
      </c>
      <c r="E87" s="2671">
        <f t="shared" ref="E87:F89" si="280">E88+(E$86-E$90)/4</f>
        <v>104.5</v>
      </c>
      <c r="F87" s="2671">
        <f t="shared" si="280"/>
        <v>101.5</v>
      </c>
      <c r="G87" s="3496">
        <v>2002</v>
      </c>
      <c r="H87" s="2626">
        <v>3</v>
      </c>
      <c r="I87" s="2669"/>
      <c r="J87" s="2669"/>
      <c r="K87" s="2669"/>
      <c r="L87" s="2669"/>
      <c r="X87" s="2661"/>
      <c r="Y87" s="2661"/>
      <c r="Z87" s="2661"/>
    </row>
    <row r="88" spans="1:26">
      <c r="A88" s="2602" t="s">
        <v>2345</v>
      </c>
      <c r="B88" s="2671">
        <f t="shared" si="279"/>
        <v>104</v>
      </c>
      <c r="C88" s="2671">
        <f t="shared" si="279"/>
        <v>105</v>
      </c>
      <c r="D88" s="2671">
        <f t="shared" si="241"/>
        <v>105</v>
      </c>
      <c r="E88" s="2671">
        <f t="shared" si="280"/>
        <v>104</v>
      </c>
      <c r="F88" s="2671">
        <f t="shared" si="280"/>
        <v>101</v>
      </c>
      <c r="G88" s="3496">
        <v>2002</v>
      </c>
      <c r="H88" s="2617">
        <v>2</v>
      </c>
      <c r="I88" s="2669"/>
      <c r="J88" s="2669"/>
      <c r="K88" s="2669"/>
      <c r="L88" s="2669"/>
      <c r="X88" s="2661"/>
      <c r="Y88" s="2661"/>
      <c r="Z88" s="2661"/>
    </row>
    <row r="89" spans="1:26" s="2636" customFormat="1" ht="13.5" thickBot="1">
      <c r="A89" s="2632" t="s">
        <v>2346</v>
      </c>
      <c r="B89" s="2639">
        <f t="shared" si="279"/>
        <v>103</v>
      </c>
      <c r="C89" s="2639">
        <f t="shared" si="279"/>
        <v>104</v>
      </c>
      <c r="D89" s="2639">
        <f t="shared" si="241"/>
        <v>104</v>
      </c>
      <c r="E89" s="2639">
        <f t="shared" si="280"/>
        <v>103.5</v>
      </c>
      <c r="F89" s="2639">
        <f t="shared" si="280"/>
        <v>100.5</v>
      </c>
      <c r="G89" s="3497">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2347</v>
      </c>
      <c r="G92" s="2684"/>
      <c r="N92" s="2684"/>
      <c r="S92" s="2684"/>
    </row>
    <row r="93" spans="1:26" s="2683" customFormat="1">
      <c r="A93" s="2683" t="s">
        <v>2348</v>
      </c>
      <c r="G93" s="2684"/>
      <c r="N93" s="2684"/>
      <c r="S93" s="2684"/>
    </row>
    <row r="94" spans="1:26" s="2683" customFormat="1">
      <c r="A94" s="2683" t="s">
        <v>2349</v>
      </c>
      <c r="G94" s="2684"/>
      <c r="I94" s="2685"/>
      <c r="J94" s="2685"/>
      <c r="K94" s="2685"/>
      <c r="L94" s="2685"/>
      <c r="N94" s="2686"/>
      <c r="O94" s="2685"/>
      <c r="P94" s="2685"/>
      <c r="Q94" s="2685"/>
      <c r="S94" s="2686"/>
      <c r="T94" s="2685"/>
      <c r="U94" s="2685"/>
      <c r="V94" s="2685"/>
    </row>
    <row r="95" spans="1:26" s="2683" customFormat="1">
      <c r="A95" s="2683" t="s">
        <v>2350</v>
      </c>
      <c r="G95" s="2684"/>
      <c r="N95" s="2684"/>
      <c r="S95" s="2684"/>
    </row>
    <row r="102" spans="7:22" ht="13.5" thickBot="1"/>
    <row r="103" spans="7:22">
      <c r="G103" s="2600"/>
      <c r="S103" s="2687" t="s">
        <v>2351</v>
      </c>
      <c r="T103" s="2626" t="s">
        <v>2352</v>
      </c>
      <c r="U103" s="2626" t="s">
        <v>2353</v>
      </c>
      <c r="V103" s="2626" t="s">
        <v>2354</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受贵公司委托，我公司对河南省开封市龙亭区二十二大街东侧、规划四路北侧YLXB03-03（2号）地块一宗商服用地、城镇住宅用地出让国有建设用地使用权抵押价格进行了预评估。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7" spans="1:4" ht="56.25">
      <c r="A7" s="1573" t="s">
        <v>2462</v>
      </c>
    </row>
    <row r="8" spans="1:4" ht="18.75">
      <c r="A8" s="1572" t="s">
        <v>1701</v>
      </c>
    </row>
    <row r="9" spans="1:4" ht="112.5">
      <c r="A9" s="1569" t="str">
        <f>IF(项目基本情况!B8="抵押",IF(项目基本情况!B5=项目基本情况!B6,定义!C51,定义!B51),定义!D51)</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2022年11月30日（评估专业人员勘察现场之日）</v>
      </c>
    </row>
    <row r="12" spans="1:4" ht="18.75">
      <c r="A12" s="1574" t="s">
        <v>1816</v>
      </c>
    </row>
    <row r="13" spans="1:4" ht="18.75">
      <c r="A13" s="1569" t="s">
        <v>2639</v>
      </c>
    </row>
    <row r="14" spans="1:4" ht="37.5">
      <c r="A14" s="1569" t="str">
        <f>"根据"&amp;项目基本情况!F12&amp;"，本次评估估价对象证载（地类）用途为"&amp;项目基本情况!B12&amp;"。"</f>
        <v>根据《国有土地使用证》[]，本次评估估价对象证载（地类）用途为商服用地、城镇住宅用地。</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本次评估设定用途即为证载用途商服用地、城镇住宅用地。</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根据《国有土地使用证》[]，估价对象（分摊）出让国有建设用地使用权面积为53757.04平方米。根据《建设工程规划许可证》[]、《出让合同》[]，估价对象规划建筑面积为139768.3平方米。</v>
      </c>
    </row>
    <row r="21" spans="1:1" ht="18.75">
      <c r="A21" s="1569" t="s">
        <v>1865</v>
      </c>
    </row>
    <row r="22" spans="1:1" ht="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10月28日、商业2059年10月28日、办公2069年10月28日、地下车库2069年10月28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26" spans="1:1" ht="37.5">
      <c r="A26" s="15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07" customWidth="1"/>
    <col min="2" max="2" width="12.5" style="2907" customWidth="1"/>
    <col min="3" max="3" width="12.125" style="2907" customWidth="1"/>
    <col min="4" max="4" width="16.625" style="2907" customWidth="1"/>
    <col min="5" max="5" width="12.5" style="2907" customWidth="1"/>
    <col min="6" max="6" width="12.625" style="2907" customWidth="1"/>
    <col min="7" max="16384" width="8.875" style="2907"/>
  </cols>
  <sheetData>
    <row r="1" spans="1:14" ht="20.25">
      <c r="A1" s="2910" t="s">
        <v>2646</v>
      </c>
      <c r="B1" s="2905"/>
      <c r="C1" s="2905"/>
      <c r="D1" s="2905"/>
      <c r="E1" s="2905"/>
      <c r="F1" s="2905"/>
      <c r="G1" s="2906"/>
      <c r="H1" s="2906"/>
      <c r="I1" s="2906"/>
      <c r="J1" s="2906"/>
      <c r="K1" s="2906"/>
      <c r="L1" s="2906"/>
      <c r="M1" s="2906"/>
      <c r="N1" s="2906"/>
    </row>
    <row r="2" spans="1:14" ht="14.25">
      <c r="A2" s="2911" t="s">
        <v>2641</v>
      </c>
      <c r="B2" s="2916">
        <f ca="1">SUMIF(B7:B14,"&lt;&gt;#ref!",B7:B14)</f>
        <v>0</v>
      </c>
      <c r="C2" s="2911" t="s">
        <v>2642</v>
      </c>
      <c r="D2" s="2908"/>
      <c r="E2" s="2908"/>
      <c r="F2" s="2908"/>
      <c r="G2" s="2906"/>
      <c r="H2" s="2906"/>
      <c r="I2" s="2906"/>
      <c r="J2" s="2906"/>
      <c r="K2" s="2906"/>
      <c r="L2" s="2906"/>
      <c r="M2" s="2906"/>
      <c r="N2" s="2906"/>
    </row>
    <row r="3" spans="1:14" ht="14.25">
      <c r="A3" s="2911" t="s">
        <v>2670</v>
      </c>
      <c r="B3" s="2916" t="e">
        <f ca="1">ROUND(B2*10000/E3,0)</f>
        <v>#DIV/0!</v>
      </c>
      <c r="C3" s="2911" t="s">
        <v>1869</v>
      </c>
      <c r="D3" s="2911" t="s">
        <v>2643</v>
      </c>
      <c r="E3" s="2909">
        <f ca="1">SUMIF(E7:E14,"&lt;&gt;#ref!",E7:E14)</f>
        <v>0</v>
      </c>
      <c r="F3" s="2908"/>
      <c r="G3" s="2906"/>
      <c r="H3" s="2906"/>
      <c r="I3" s="2906"/>
      <c r="J3" s="2906"/>
      <c r="K3" s="2906"/>
      <c r="L3" s="2906"/>
      <c r="M3" s="2906"/>
      <c r="N3" s="2906"/>
    </row>
    <row r="4" spans="1:14" ht="14.25">
      <c r="A4" s="2911" t="s">
        <v>2649</v>
      </c>
      <c r="B4" s="2916" t="e">
        <f ca="1">ROUND(B2*10000/E4,0)</f>
        <v>#DIV/0!</v>
      </c>
      <c r="C4" s="2911" t="s">
        <v>1869</v>
      </c>
      <c r="D4" s="2911" t="s">
        <v>2650</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2647</v>
      </c>
      <c r="B6" s="2911" t="s">
        <v>2644</v>
      </c>
      <c r="C6" s="2512"/>
      <c r="D6" s="2908"/>
      <c r="E6" s="2911" t="s">
        <v>2645</v>
      </c>
      <c r="F6" s="2911" t="s">
        <v>2648</v>
      </c>
      <c r="G6" s="2906"/>
      <c r="H6" s="2906"/>
      <c r="I6" s="2906"/>
      <c r="J6" s="2906"/>
      <c r="K6" s="2906"/>
      <c r="L6" s="2906"/>
      <c r="M6" s="2906"/>
      <c r="N6" s="2906"/>
    </row>
    <row r="7" spans="1:14" ht="14.25">
      <c r="A7" s="2914"/>
      <c r="B7" s="2916" t="e">
        <f ca="1">SUMIF(INDIRECT("'"&amp;A7&amp;"'"&amp;"!A:A"),"总价",INDIRECT("'"&amp;A7&amp;"'"&amp;"!B:B"))</f>
        <v>#REF!</v>
      </c>
      <c r="C7" s="2911" t="s">
        <v>2642</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2642</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2642</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2642</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2642</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2642</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2642</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2642</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125" style="1784" customWidth="1"/>
    <col min="17" max="17" width="13.625" style="1784" customWidth="1"/>
    <col min="18" max="18" width="22.125" style="1784" customWidth="1"/>
    <col min="19" max="19" width="1.5" style="1784" customWidth="1"/>
    <col min="20" max="25" width="9" style="1784"/>
    <col min="26" max="16384" width="9" style="1785"/>
  </cols>
  <sheetData>
    <row r="1" spans="1:25" s="1779" customFormat="1" ht="21">
      <c r="A1" s="712" t="s">
        <v>610</v>
      </c>
      <c r="B1" s="680"/>
      <c r="C1" s="713"/>
      <c r="D1" s="1775"/>
      <c r="E1" s="2063" t="s">
        <v>2160</v>
      </c>
      <c r="F1" s="2064">
        <f ca="1">J54</f>
        <v>0</v>
      </c>
      <c r="G1" s="714">
        <f>MATCH(C1,'数据-取费表'!A6:A16,0)+5</f>
        <v>7</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1485</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2236</v>
      </c>
      <c r="C7" s="51">
        <f ca="1">C8+C12+C14</f>
        <v>0</v>
      </c>
      <c r="D7" s="2154" t="s">
        <v>2239</v>
      </c>
      <c r="E7" s="2148"/>
      <c r="F7" s="2149"/>
      <c r="G7" s="1191"/>
      <c r="H7" s="721">
        <v>1</v>
      </c>
      <c r="I7" s="722" t="s">
        <v>2236</v>
      </c>
      <c r="J7" s="51">
        <f ca="1">J8+J12+J14</f>
        <v>0</v>
      </c>
      <c r="K7" s="2154" t="s">
        <v>2239</v>
      </c>
      <c r="L7" s="2148"/>
      <c r="M7" s="2149"/>
    </row>
    <row r="8" spans="1:25" ht="18" customHeight="1">
      <c r="A8" s="1603" t="s">
        <v>1623</v>
      </c>
      <c r="B8" s="3504" t="s">
        <v>2241</v>
      </c>
      <c r="C8" s="1598">
        <f ca="1">ROUND(F8*F10*F9*(1-F11)/10000,0)</f>
        <v>0</v>
      </c>
      <c r="D8" s="322" t="s">
        <v>2251</v>
      </c>
      <c r="E8" s="59" t="s">
        <v>619</v>
      </c>
      <c r="F8" s="725">
        <f ca="1">INDIRECT("'数据-取费表'!u"&amp;$G$1)</f>
        <v>2</v>
      </c>
      <c r="G8" s="1191"/>
      <c r="H8" s="2162" t="s">
        <v>1623</v>
      </c>
      <c r="I8" s="3504" t="s">
        <v>2241</v>
      </c>
      <c r="J8" s="723">
        <f ca="1">ROUND(M8*M10*M9*(1-M11)/10000,0)</f>
        <v>0</v>
      </c>
      <c r="K8" s="320" t="s">
        <v>2251</v>
      </c>
      <c r="L8" s="724" t="s">
        <v>1537</v>
      </c>
      <c r="M8" s="725">
        <f ca="1">INDIRECT("'数据-取费表'!z"&amp;$G$1)</f>
        <v>0</v>
      </c>
    </row>
    <row r="9" spans="1:25" ht="18" customHeight="1">
      <c r="A9" s="2158"/>
      <c r="B9" s="3505"/>
      <c r="C9" s="1599"/>
      <c r="D9" s="335"/>
      <c r="E9" s="59" t="s">
        <v>620</v>
      </c>
      <c r="F9" s="725">
        <f ca="1">IF(INDIRECT("'数据-取费表'!ah"&amp;$G$1)="",INDIRECT("'数据-取费表'!k"&amp;$G$1),INDIRECT("'数据-取费表'!ah"&amp;$G$1))</f>
        <v>0</v>
      </c>
      <c r="G9" s="1191"/>
      <c r="H9" s="2147"/>
      <c r="I9" s="3505"/>
      <c r="J9" s="728"/>
      <c r="K9" s="729"/>
      <c r="L9" s="724" t="s">
        <v>1538</v>
      </c>
      <c r="M9" s="725">
        <f ca="1">F9</f>
        <v>0</v>
      </c>
    </row>
    <row r="10" spans="1:25" ht="18" customHeight="1">
      <c r="A10" s="2151"/>
      <c r="B10" s="3506"/>
      <c r="C10" s="1599"/>
      <c r="D10" s="335"/>
      <c r="E10" s="59" t="s">
        <v>621</v>
      </c>
      <c r="F10" s="725">
        <f ca="1">INDIRECT("'数据-取费表'!ai"&amp;$G$1)</f>
        <v>365</v>
      </c>
      <c r="G10" s="1191"/>
      <c r="H10" s="2147"/>
      <c r="I10" s="3506"/>
      <c r="J10" s="728"/>
      <c r="K10" s="729"/>
      <c r="L10" s="724" t="s">
        <v>1539</v>
      </c>
      <c r="M10" s="725">
        <f ca="1">INDIRECT("'数据-取费表'!ai"&amp;$G$1)</f>
        <v>365</v>
      </c>
    </row>
    <row r="11" spans="1:25" ht="18" customHeight="1">
      <c r="A11" s="726"/>
      <c r="B11" s="3507"/>
      <c r="C11" s="1599"/>
      <c r="D11" s="335"/>
      <c r="E11" s="59" t="s">
        <v>622</v>
      </c>
      <c r="F11" s="734">
        <f ca="1">INDIRECT("'数据-取费表'!w"&amp;$G$1)</f>
        <v>0.15</v>
      </c>
      <c r="G11" s="1191"/>
      <c r="H11" s="2163"/>
      <c r="I11" s="3506"/>
      <c r="J11" s="728"/>
      <c r="K11" s="729"/>
      <c r="L11" s="735" t="s">
        <v>1540</v>
      </c>
      <c r="M11" s="736">
        <f ca="1">INDIRECT("'数据-取费表'!ab"&amp;$G$1)</f>
        <v>0</v>
      </c>
    </row>
    <row r="12" spans="1:25" ht="18" customHeight="1">
      <c r="A12" s="1603" t="s">
        <v>1624</v>
      </c>
      <c r="B12" s="2152" t="s">
        <v>2237</v>
      </c>
      <c r="C12" s="739">
        <f ca="1">ROUND(IF(F12="押一",C8/12*F13,IF(F12="押二",C8/12*2*F13,IF(F12="押三",C8/12*3*F13,C13*F13))),0)</f>
        <v>0</v>
      </c>
      <c r="D12" s="2159" t="s">
        <v>2667</v>
      </c>
      <c r="E12" s="2156" t="s">
        <v>2242</v>
      </c>
      <c r="F12" s="2229"/>
      <c r="G12" s="1191"/>
      <c r="H12" s="2190" t="s">
        <v>1624</v>
      </c>
      <c r="I12" s="2194" t="s">
        <v>2237</v>
      </c>
      <c r="J12" s="723">
        <f ca="1">ROUND(IF(M12="押一",J8/12*M13,IF(M12="押二",J8/12*2*M13,IF(M12="押三",J8/12*3*M13,J13*M13))),0)</f>
        <v>0</v>
      </c>
      <c r="K12" s="2159" t="s">
        <v>2667</v>
      </c>
      <c r="L12" s="2156" t="s">
        <v>2242</v>
      </c>
      <c r="M12" s="2229"/>
    </row>
    <row r="13" spans="1:25" ht="18" customHeight="1">
      <c r="A13" s="730"/>
      <c r="B13" s="2153" t="s">
        <v>2290</v>
      </c>
      <c r="C13" s="2157"/>
      <c r="D13" s="729"/>
      <c r="E13" s="2156" t="s">
        <v>2235</v>
      </c>
      <c r="F13" s="736">
        <f ca="1">'数据-取费表'!B39</f>
        <v>1.4999999999999999E-2</v>
      </c>
      <c r="G13" s="1191"/>
      <c r="H13" s="2191"/>
      <c r="I13" s="2153" t="s">
        <v>2290</v>
      </c>
      <c r="J13" s="2157"/>
      <c r="K13" s="292"/>
      <c r="L13" s="2156" t="s">
        <v>2235</v>
      </c>
      <c r="M13" s="2150">
        <f ca="1">'数据-取费表'!B39</f>
        <v>1.4999999999999999E-2</v>
      </c>
    </row>
    <row r="14" spans="1:25" ht="18" customHeight="1" thickBot="1">
      <c r="A14" s="2166" t="s">
        <v>2245</v>
      </c>
      <c r="B14" s="2167" t="s">
        <v>2238</v>
      </c>
      <c r="C14" s="2168"/>
      <c r="D14" s="2169"/>
      <c r="E14" s="2170"/>
      <c r="F14" s="2171"/>
      <c r="G14" s="1191"/>
      <c r="H14" s="2180" t="s">
        <v>2245</v>
      </c>
      <c r="I14" s="2192" t="s">
        <v>2238</v>
      </c>
      <c r="J14" s="2193"/>
      <c r="K14" s="2169"/>
      <c r="L14" s="2170"/>
      <c r="M14" s="2183"/>
    </row>
    <row r="15" spans="1:25" ht="18" customHeight="1" thickTop="1">
      <c r="A15" s="1602" t="s">
        <v>1669</v>
      </c>
      <c r="B15" s="1600" t="s">
        <v>623</v>
      </c>
      <c r="C15" s="732">
        <f ca="1">ROUND(C31*F15,0)</f>
        <v>0</v>
      </c>
      <c r="D15" s="1607" t="s">
        <v>624</v>
      </c>
      <c r="E15" s="735" t="s">
        <v>625</v>
      </c>
      <c r="F15" s="740">
        <f ca="1">INDIRECT("'数据-取费表'!y"&amp;$G$1)</f>
        <v>1</v>
      </c>
      <c r="G15" s="1191"/>
      <c r="H15" s="1602" t="s">
        <v>1625</v>
      </c>
      <c r="I15" s="1600" t="s">
        <v>626</v>
      </c>
      <c r="J15" s="1594">
        <f ca="1">ROUND(J16*J17,0)</f>
        <v>0</v>
      </c>
      <c r="K15" s="1596" t="s">
        <v>624</v>
      </c>
      <c r="L15" s="741"/>
      <c r="M15" s="742"/>
    </row>
    <row r="16" spans="1:25" ht="18" customHeight="1">
      <c r="A16" s="743" t="s">
        <v>1670</v>
      </c>
      <c r="B16" s="724" t="s">
        <v>627</v>
      </c>
      <c r="C16" s="744">
        <f ca="1">INDIRECT("'数据-取费表'!m"&amp;$G$1)+INDIRECT("'数据-取费表'!t"&amp;$G$1)</f>
        <v>0</v>
      </c>
      <c r="D16" s="912" t="s">
        <v>628</v>
      </c>
      <c r="E16" s="911"/>
      <c r="F16" s="745"/>
      <c r="G16" s="1191"/>
      <c r="H16" s="743" t="s">
        <v>1860</v>
      </c>
      <c r="I16" s="1939" t="s">
        <v>2539</v>
      </c>
      <c r="J16" s="51">
        <f ca="1">C31</f>
        <v>0</v>
      </c>
      <c r="K16" s="24"/>
      <c r="L16" s="741"/>
      <c r="M16" s="742"/>
    </row>
    <row r="17" spans="1:25" s="1788" customFormat="1" ht="18" customHeight="1">
      <c r="A17" s="743" t="s">
        <v>1648</v>
      </c>
      <c r="B17" s="724" t="s">
        <v>629</v>
      </c>
      <c r="C17" s="51">
        <f ca="1">ROUND(C16*F17,0)</f>
        <v>0</v>
      </c>
      <c r="D17" s="746" t="s">
        <v>630</v>
      </c>
      <c r="E17" s="746" t="s">
        <v>631</v>
      </c>
      <c r="F17" s="747">
        <f>'数据-取费表'!B33</f>
        <v>0.03</v>
      </c>
      <c r="G17" s="1400"/>
      <c r="H17" s="743" t="s">
        <v>1861</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1649</v>
      </c>
      <c r="B18" s="724" t="s">
        <v>632</v>
      </c>
      <c r="C18" s="51">
        <f ca="1">ROUND(INDIRECT("'数据-取费表'!m"&amp;$G$1)*F18,0)</f>
        <v>0</v>
      </c>
      <c r="D18" s="724" t="s">
        <v>630</v>
      </c>
      <c r="E18" s="724" t="s">
        <v>631</v>
      </c>
      <c r="F18" s="749">
        <f ca="1">IF(INDIRECT("'数据-取费表'!c"&amp;$G$1)="住宅",'数据-取费表'!B34,0)</f>
        <v>0</v>
      </c>
      <c r="G18" s="1191"/>
      <c r="H18" s="737" t="s">
        <v>1626</v>
      </c>
      <c r="I18" s="738" t="s">
        <v>633</v>
      </c>
      <c r="J18" s="739">
        <f ca="1">ROUND(J19+J24+J25+J26,0)</f>
        <v>0</v>
      </c>
      <c r="K18" s="24" t="s">
        <v>634</v>
      </c>
      <c r="L18" s="921"/>
      <c r="M18" s="54"/>
    </row>
    <row r="19" spans="1:25" s="1788" customFormat="1" ht="18" customHeight="1">
      <c r="A19" s="743" t="s">
        <v>1650</v>
      </c>
      <c r="B19" s="724" t="s">
        <v>635</v>
      </c>
      <c r="C19" s="51">
        <f ca="1">ROUND(F19*(INDIRECT("'数据-取费表'!k"&amp;$G$1)+INDIRECT("'数据-取费表'!S"&amp;$G$1))/10000,0)</f>
        <v>0</v>
      </c>
      <c r="D19" s="724" t="s">
        <v>636</v>
      </c>
      <c r="E19" s="724" t="s">
        <v>637</v>
      </c>
      <c r="F19" s="54">
        <f>'数据-取费表'!B35</f>
        <v>200</v>
      </c>
      <c r="G19" s="1400"/>
      <c r="H19" s="743" t="s">
        <v>1860</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1651</v>
      </c>
      <c r="B20" s="724" t="s">
        <v>641</v>
      </c>
      <c r="C20" s="51">
        <f ca="1">ROUND(C16*F20,0)</f>
        <v>0</v>
      </c>
      <c r="D20" s="724" t="s">
        <v>630</v>
      </c>
      <c r="E20" s="724" t="s">
        <v>631</v>
      </c>
      <c r="F20" s="749">
        <f>'数据-取费表'!B36</f>
        <v>1.4999999999999999E-2</v>
      </c>
      <c r="G20" s="1400"/>
      <c r="H20" s="743" t="s">
        <v>1630</v>
      </c>
      <c r="I20" s="724" t="s">
        <v>642</v>
      </c>
      <c r="J20" s="51">
        <f ca="1">ROUND(J8*M20/(1+'数据-取费表'!C42),1)</f>
        <v>0</v>
      </c>
      <c r="K20" s="913" t="s">
        <v>643</v>
      </c>
      <c r="L20" s="724" t="s">
        <v>631</v>
      </c>
      <c r="M20" s="749">
        <f>'数据-取费表'!B41</f>
        <v>5.6000000000000001E-2</v>
      </c>
      <c r="N20" s="1787"/>
      <c r="O20" s="1787"/>
      <c r="P20" s="1787"/>
      <c r="Q20" s="1787"/>
      <c r="R20" s="1787"/>
      <c r="S20" s="1787"/>
      <c r="T20" s="1787"/>
      <c r="U20" s="1787"/>
      <c r="V20" s="1787"/>
      <c r="W20" s="1787"/>
      <c r="X20" s="1787"/>
      <c r="Y20" s="1787"/>
    </row>
    <row r="21" spans="1:25" ht="18" customHeight="1">
      <c r="A21" s="743" t="s">
        <v>1671</v>
      </c>
      <c r="B21" s="724" t="s">
        <v>644</v>
      </c>
      <c r="C21" s="51">
        <f ca="1">SUM(C16:C20)</f>
        <v>0</v>
      </c>
      <c r="D21" s="246" t="s">
        <v>645</v>
      </c>
      <c r="E21" s="921"/>
      <c r="F21" s="54"/>
      <c r="G21" s="1191"/>
      <c r="H21" s="1603" t="s">
        <v>1648</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1672</v>
      </c>
      <c r="B22" s="724" t="s">
        <v>648</v>
      </c>
      <c r="C22" s="51">
        <f ca="1">ROUND(C21*F22,0)</f>
        <v>0</v>
      </c>
      <c r="D22" s="751" t="s">
        <v>649</v>
      </c>
      <c r="E22" s="724" t="s">
        <v>631</v>
      </c>
      <c r="F22" s="749">
        <f>'数据-取费表'!B37</f>
        <v>0.02</v>
      </c>
      <c r="G22" s="1400"/>
      <c r="H22" s="1605" t="s">
        <v>1649</v>
      </c>
      <c r="I22" s="322" t="s">
        <v>650</v>
      </c>
      <c r="J22" s="52">
        <f ca="1">ROUND(M22*M23/10000,0)</f>
        <v>0</v>
      </c>
      <c r="K22" s="753" t="s">
        <v>651</v>
      </c>
      <c r="L22" s="724" t="s">
        <v>652</v>
      </c>
      <c r="M22" s="592">
        <f>'数据-取费表'!B52</f>
        <v>0</v>
      </c>
      <c r="N22" s="1787"/>
      <c r="O22" s="1787"/>
      <c r="P22" s="1787"/>
      <c r="Q22" s="1787"/>
      <c r="R22" s="1787"/>
      <c r="S22" s="1787"/>
      <c r="T22" s="1787"/>
      <c r="U22" s="1787"/>
      <c r="V22" s="1787"/>
      <c r="W22" s="1787"/>
      <c r="X22" s="1787"/>
      <c r="Y22" s="1787"/>
    </row>
    <row r="23" spans="1:25" s="1788" customFormat="1" ht="18" customHeight="1">
      <c r="A23" s="743" t="s">
        <v>1673</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1674</v>
      </c>
      <c r="B24" s="724" t="s">
        <v>657</v>
      </c>
      <c r="C24" s="51"/>
      <c r="D24" s="2198" t="str">
        <f>IF(F25&lt;=1,"单利计息。","复利计息。")&amp;"建造成本、管理费用、销售费用产生的利息。"</f>
        <v>复利计息。建造成本、管理费用、销售费用产生的利息。</v>
      </c>
      <c r="E24" s="921"/>
      <c r="F24" s="54"/>
      <c r="G24" s="1191"/>
      <c r="H24" s="1604" t="s">
        <v>1861</v>
      </c>
      <c r="I24" s="724" t="s">
        <v>658</v>
      </c>
      <c r="J24" s="51">
        <f ca="1">ROUND(J16*M24,0)</f>
        <v>0</v>
      </c>
      <c r="K24" s="913" t="s">
        <v>659</v>
      </c>
      <c r="L24" s="724" t="s">
        <v>631</v>
      </c>
      <c r="M24" s="756">
        <f ca="1">INDIRECT("'数据-取费表'!Ak"&amp;$G$1)</f>
        <v>0.01</v>
      </c>
    </row>
    <row r="25" spans="1:25" s="1788" customFormat="1" ht="18" customHeight="1">
      <c r="A25" s="743" t="s">
        <v>1670</v>
      </c>
      <c r="B25" s="724" t="s">
        <v>2218</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1673</v>
      </c>
      <c r="I25" s="724" t="s">
        <v>661</v>
      </c>
      <c r="J25" s="51">
        <f ca="1">ROUND(J15*M25,0)</f>
        <v>0</v>
      </c>
      <c r="K25" s="913" t="s">
        <v>662</v>
      </c>
      <c r="L25" s="724" t="s">
        <v>631</v>
      </c>
      <c r="M25" s="757">
        <f ca="1">INDIRECT("'数据-取费表'!Al"&amp;$G$1)</f>
        <v>1.5E-3</v>
      </c>
      <c r="N25" s="1787"/>
      <c r="O25" s="1787"/>
      <c r="P25" s="1787"/>
      <c r="Q25" s="1787"/>
      <c r="R25" s="1787"/>
      <c r="S25" s="1787"/>
      <c r="T25" s="1787"/>
      <c r="U25" s="1787"/>
      <c r="V25" s="1787"/>
      <c r="W25" s="1787"/>
      <c r="X25" s="1787"/>
      <c r="Y25" s="1787"/>
    </row>
    <row r="26" spans="1:25" s="1788" customFormat="1" ht="18" customHeight="1">
      <c r="A26" s="743" t="s">
        <v>1648</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1674</v>
      </c>
      <c r="I26" s="724" t="s">
        <v>648</v>
      </c>
      <c r="J26" s="51">
        <f ca="1">ROUND(J7*M26,0)</f>
        <v>0</v>
      </c>
      <c r="K26" s="913" t="s">
        <v>665</v>
      </c>
      <c r="L26" s="724" t="s">
        <v>631</v>
      </c>
      <c r="M26" s="734">
        <f ca="1">INDIRECT("'数据-取费表'!Am"&amp;$G$1)</f>
        <v>0.01</v>
      </c>
      <c r="N26" s="1787"/>
      <c r="O26" s="1787"/>
      <c r="P26" s="1787"/>
      <c r="Q26" s="1787"/>
      <c r="R26" s="1787"/>
      <c r="S26" s="1787"/>
      <c r="T26" s="1787"/>
      <c r="U26" s="1787"/>
      <c r="V26" s="1787"/>
      <c r="W26" s="1787"/>
      <c r="X26" s="1787"/>
      <c r="Y26" s="1787"/>
    </row>
    <row r="27" spans="1:25" ht="18" customHeight="1">
      <c r="A27" s="743" t="s">
        <v>1676</v>
      </c>
      <c r="B27" s="724" t="s">
        <v>666</v>
      </c>
      <c r="C27" s="51"/>
      <c r="D27" s="246" t="s">
        <v>667</v>
      </c>
      <c r="E27" s="921"/>
      <c r="F27" s="54"/>
      <c r="G27" s="1191"/>
      <c r="H27" s="737" t="s">
        <v>1627</v>
      </c>
      <c r="I27" s="2452" t="s">
        <v>2536</v>
      </c>
      <c r="J27" s="739">
        <f ca="1">J7-J18</f>
        <v>0</v>
      </c>
      <c r="K27" s="912" t="s">
        <v>682</v>
      </c>
      <c r="L27" s="910"/>
      <c r="M27" s="759"/>
    </row>
    <row r="28" spans="1:25" ht="18" customHeight="1">
      <c r="A28" s="743" t="s">
        <v>1670</v>
      </c>
      <c r="B28" s="724" t="s">
        <v>2219</v>
      </c>
      <c r="C28" s="51">
        <f ca="1">ROUND((C21+C22)*F28,0)</f>
        <v>0</v>
      </c>
      <c r="D28" s="751" t="s">
        <v>683</v>
      </c>
      <c r="E28" s="735" t="s">
        <v>684</v>
      </c>
      <c r="F28" s="734">
        <f ca="1">INDIRECT("'数据-取费表'!q"&amp;$G$1)</f>
        <v>0.2</v>
      </c>
      <c r="G28" s="1191"/>
      <c r="H28" s="721" t="s">
        <v>1636</v>
      </c>
      <c r="I28" s="722" t="s">
        <v>685</v>
      </c>
      <c r="J28" s="723">
        <f ca="1">IF(J7&lt;&gt;0,ROUND(J27*(1-((1+M30)/(1+M28))^M29)/(M28-M30),0),0)</f>
        <v>0</v>
      </c>
      <c r="K28" s="753" t="s">
        <v>686</v>
      </c>
      <c r="L28" s="724" t="s">
        <v>687</v>
      </c>
      <c r="M28" s="734">
        <f ca="1">INDIRECT("'数据-取费表'!I"&amp;$G$1)</f>
        <v>5.5E-2</v>
      </c>
    </row>
    <row r="29" spans="1:25" ht="18" customHeight="1">
      <c r="A29" s="743" t="s">
        <v>1648</v>
      </c>
      <c r="B29" s="724" t="s">
        <v>668</v>
      </c>
      <c r="C29" s="51">
        <f ca="1">ROUND(F23*F28,4)</f>
        <v>4.0000000000000001E-3</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1677</v>
      </c>
      <c r="B30" s="724" t="s">
        <v>669</v>
      </c>
      <c r="C30" s="51">
        <f>ROUND(F30/(1+'数据-取费表'!C42),4)</f>
        <v>5.33E-2</v>
      </c>
      <c r="D30" s="751" t="s">
        <v>691</v>
      </c>
      <c r="E30" s="724" t="s">
        <v>631</v>
      </c>
      <c r="F30" s="749">
        <f>'数据-取费表'!B41</f>
        <v>5.6000000000000001E-2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1678</v>
      </c>
      <c r="B31" s="2170" t="s">
        <v>2537</v>
      </c>
      <c r="C31" s="2173">
        <f ca="1">ROUND((C21+C22+C25+C28)/(1-F23-C26-C29-C30),0)</f>
        <v>0</v>
      </c>
      <c r="D31" s="2174"/>
      <c r="E31" s="2175"/>
      <c r="F31" s="2176"/>
      <c r="G31" s="1400"/>
      <c r="H31" s="762" t="s">
        <v>1667</v>
      </c>
      <c r="I31" s="2453" t="s">
        <v>2538</v>
      </c>
      <c r="J31" s="764" t="e">
        <f ca="1">ROUND(J28/(1+F45)^F46,0)</f>
        <v>#N/A</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1671</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2721</v>
      </c>
      <c r="I33" s="1790"/>
      <c r="J33" s="1791"/>
      <c r="K33" s="1748"/>
      <c r="L33" s="1792"/>
      <c r="M33" s="1793"/>
    </row>
    <row r="34" spans="1:18" ht="18" customHeight="1">
      <c r="A34" s="743" t="s">
        <v>1670</v>
      </c>
      <c r="B34" s="724" t="s">
        <v>642</v>
      </c>
      <c r="C34" s="51">
        <f ca="1">ROUND(C8*F34/(1+'数据-取费表'!C42),1)</f>
        <v>0</v>
      </c>
      <c r="D34" s="913" t="s">
        <v>643</v>
      </c>
      <c r="E34" s="724" t="s">
        <v>631</v>
      </c>
      <c r="F34" s="749">
        <f>'数据-取费表'!B41</f>
        <v>5.6000000000000001E-2</v>
      </c>
      <c r="G34" s="1780"/>
      <c r="H34" s="1794"/>
      <c r="I34" s="1795"/>
      <c r="J34" s="1796"/>
      <c r="K34" s="1797"/>
      <c r="L34" s="1798"/>
      <c r="M34" s="1799"/>
    </row>
    <row r="35" spans="1:18" ht="18" customHeight="1">
      <c r="A35" s="743" t="s">
        <v>1648</v>
      </c>
      <c r="B35" s="724" t="s">
        <v>646</v>
      </c>
      <c r="C35" s="51">
        <f ca="1">IF(D35="按租金收入计税",ROUND(C8*F35/(1+'数据-取费表'!C42),1),IF(D35="按房产原值计税",ROUND(C31*F35*0.7,1),INDIRECT("'数据-取费表'!Aj"&amp;$G$1)))</f>
        <v>0</v>
      </c>
      <c r="D35" s="750" t="s">
        <v>1479</v>
      </c>
      <c r="E35" s="724" t="s">
        <v>631</v>
      </c>
      <c r="F35" s="749">
        <f>IF(D35="按租金收入计税",'数据-取费表'!B51,'数据-取费表'!B50)</f>
        <v>1.2E-2</v>
      </c>
      <c r="G35" s="1780"/>
      <c r="H35" s="1800"/>
      <c r="I35" s="1800"/>
      <c r="J35" s="1800"/>
      <c r="K35" s="1801"/>
      <c r="L35" s="1800"/>
      <c r="M35" s="1800"/>
    </row>
    <row r="36" spans="1:18" ht="18" customHeight="1">
      <c r="A36" s="752" t="s">
        <v>1675</v>
      </c>
      <c r="B36" s="320" t="s">
        <v>650</v>
      </c>
      <c r="C36" s="52">
        <f ca="1">ROUND(F36*F37/10000,1)</f>
        <v>0</v>
      </c>
      <c r="D36" s="753" t="s">
        <v>651</v>
      </c>
      <c r="E36" s="724" t="s">
        <v>652</v>
      </c>
      <c r="F36" s="592">
        <f>'数据-取费表'!B52</f>
        <v>0</v>
      </c>
      <c r="G36" s="1780"/>
      <c r="H36" s="1789"/>
      <c r="I36" s="3503"/>
      <c r="J36" s="1802"/>
      <c r="K36" s="1803"/>
      <c r="L36" s="1802"/>
      <c r="M36" s="1802"/>
    </row>
    <row r="37" spans="1:18" ht="18" customHeight="1">
      <c r="A37" s="754"/>
      <c r="B37" s="733"/>
      <c r="C37" s="67"/>
      <c r="D37" s="755"/>
      <c r="E37" s="724" t="s">
        <v>656</v>
      </c>
      <c r="F37" s="725">
        <f ca="1">INDIRECT("'数据-取费表'!r"&amp;$G$1)</f>
        <v>0</v>
      </c>
      <c r="G37" s="1780"/>
      <c r="H37" s="1789"/>
      <c r="I37" s="3503"/>
      <c r="J37" s="1800"/>
      <c r="K37" s="1801"/>
      <c r="L37" s="1800"/>
      <c r="M37" s="1800"/>
    </row>
    <row r="38" spans="1:18" ht="18" customHeight="1">
      <c r="A38" s="743" t="s">
        <v>1672</v>
      </c>
      <c r="B38" s="724" t="s">
        <v>658</v>
      </c>
      <c r="C38" s="51">
        <f ca="1">ROUND(C31*F38,1)</f>
        <v>0</v>
      </c>
      <c r="D38" s="913" t="s">
        <v>673</v>
      </c>
      <c r="E38" s="724" t="s">
        <v>631</v>
      </c>
      <c r="F38" s="756">
        <f ca="1">INDIRECT("'数据-取费表'!Ak"&amp;$G$1)</f>
        <v>0.01</v>
      </c>
      <c r="G38" s="1780"/>
      <c r="H38" s="1800"/>
      <c r="I38" s="2716"/>
      <c r="J38" s="1748"/>
      <c r="K38" s="1804"/>
      <c r="L38" s="1800"/>
      <c r="M38" s="1800"/>
    </row>
    <row r="39" spans="1:18" ht="18" customHeight="1">
      <c r="A39" s="743" t="s">
        <v>1673</v>
      </c>
      <c r="B39" s="724" t="s">
        <v>661</v>
      </c>
      <c r="C39" s="51">
        <f ca="1">ROUND(C15*F39,1)</f>
        <v>0</v>
      </c>
      <c r="D39" s="913" t="s">
        <v>662</v>
      </c>
      <c r="E39" s="724" t="s">
        <v>631</v>
      </c>
      <c r="F39" s="757">
        <f ca="1">INDIRECT("'数据-取费表'!Al"&amp;$G$1)</f>
        <v>1.5E-3</v>
      </c>
      <c r="G39" s="1780"/>
      <c r="H39" s="1800"/>
      <c r="I39" s="2716"/>
      <c r="J39" s="1748"/>
      <c r="K39" s="1804"/>
      <c r="L39" s="1800"/>
      <c r="M39" s="1800"/>
    </row>
    <row r="40" spans="1:18" ht="18" customHeight="1" thickBot="1">
      <c r="A40" s="2189" t="s">
        <v>1674</v>
      </c>
      <c r="B40" s="2175" t="s">
        <v>648</v>
      </c>
      <c r="C40" s="2173">
        <f ca="1">ROUND(C7*F40,1)</f>
        <v>0</v>
      </c>
      <c r="D40" s="2174" t="s">
        <v>665</v>
      </c>
      <c r="E40" s="2175" t="s">
        <v>631</v>
      </c>
      <c r="F40" s="2171">
        <f ca="1">INDIRECT("'数据-取费表'!Am"&amp;$G$1)</f>
        <v>0.01</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1671</v>
      </c>
      <c r="B42" s="774" t="s">
        <v>675</v>
      </c>
      <c r="C42" s="768">
        <f ca="1">C7-C32</f>
        <v>0</v>
      </c>
      <c r="D42" s="912" t="s">
        <v>676</v>
      </c>
      <c r="E42" s="910"/>
      <c r="F42" s="759"/>
      <c r="G42" s="1780"/>
      <c r="H42" s="1780"/>
      <c r="I42" s="1780"/>
      <c r="J42" s="1780"/>
      <c r="K42" s="1805"/>
      <c r="L42" s="1780"/>
      <c r="M42" s="1780"/>
    </row>
    <row r="43" spans="1:18" ht="18" customHeight="1">
      <c r="A43" s="743" t="s">
        <v>1672</v>
      </c>
      <c r="B43" s="774" t="s">
        <v>693</v>
      </c>
      <c r="C43" s="775">
        <f ca="1">ROUND(C15*F43,0)</f>
        <v>0</v>
      </c>
      <c r="D43" s="1196" t="s">
        <v>694</v>
      </c>
      <c r="E43" s="2517" t="s">
        <v>2657</v>
      </c>
      <c r="F43" s="2518">
        <f ca="1">INDIRECT("'数据-取费表'!j"&amp;$G$1)</f>
        <v>7.4999999999999997E-2</v>
      </c>
      <c r="G43" s="1780"/>
      <c r="H43" s="1780"/>
      <c r="I43" s="1780"/>
      <c r="J43" s="1780"/>
      <c r="K43" s="1805"/>
      <c r="L43" s="1780"/>
      <c r="M43" s="1780"/>
    </row>
    <row r="44" spans="1:18" ht="18" customHeight="1">
      <c r="A44" s="743" t="s">
        <v>1673</v>
      </c>
      <c r="B44" s="774" t="s">
        <v>695</v>
      </c>
      <c r="C44" s="1197">
        <f ca="1">C42-C43</f>
        <v>0</v>
      </c>
      <c r="D44" s="437" t="s">
        <v>696</v>
      </c>
      <c r="E44" s="438"/>
      <c r="F44" s="439"/>
      <c r="G44" s="1780"/>
      <c r="H44" s="1780"/>
      <c r="I44" s="1780"/>
      <c r="J44" s="1780"/>
      <c r="K44" s="1805"/>
      <c r="L44" s="1780"/>
      <c r="M44" s="1780"/>
    </row>
    <row r="45" spans="1:18" ht="18" customHeight="1">
      <c r="A45" s="743" t="s">
        <v>1674</v>
      </c>
      <c r="B45" s="1196" t="s">
        <v>697</v>
      </c>
      <c r="C45" s="723" t="e">
        <f ca="1">ROUND(-PV(F45,F46,C44,0),0)</f>
        <v>#N/A</v>
      </c>
      <c r="D45" s="1198" t="s">
        <v>698</v>
      </c>
      <c r="E45" s="746" t="s">
        <v>699</v>
      </c>
      <c r="F45" s="769">
        <f ca="1">INDIRECT("'数据-取费表'!h"&amp;$G$1)</f>
        <v>0.05</v>
      </c>
      <c r="G45" s="1780"/>
      <c r="H45" s="1780"/>
      <c r="I45" s="1780"/>
      <c r="J45" s="1780"/>
      <c r="K45" s="1805"/>
      <c r="L45" s="1780"/>
      <c r="M45" s="1780"/>
    </row>
    <row r="46" spans="1:18" ht="18" customHeight="1" thickBot="1">
      <c r="A46" s="770"/>
      <c r="B46" s="1199"/>
      <c r="C46" s="1200"/>
      <c r="D46" s="1201"/>
      <c r="E46" s="2519" t="s">
        <v>2660</v>
      </c>
      <c r="F46" s="767" t="e">
        <f ca="1">IF(INDIRECT("'数据-取费表'!af"&amp;$G$1)=0,INDIRECT("'数据-取费表'!ae"&amp;$G$1),INDIRECT("'数据-取费表'!af"&amp;$G$1))</f>
        <v>#N/A</v>
      </c>
      <c r="G46" s="1780"/>
      <c r="H46" s="1780"/>
      <c r="I46" s="1780"/>
      <c r="J46" s="1780"/>
      <c r="K46" s="1805"/>
      <c r="L46" s="1780"/>
      <c r="M46" s="1780"/>
    </row>
    <row r="47" spans="1:18" s="1784" customFormat="1" ht="18" customHeight="1" thickBot="1">
      <c r="A47" s="1806"/>
      <c r="D47" s="1807"/>
      <c r="E47" s="1807"/>
      <c r="F47" s="1807"/>
      <c r="I47" s="2055" t="s">
        <v>2129</v>
      </c>
      <c r="J47" s="2056"/>
      <c r="K47" s="2057"/>
      <c r="L47" s="2532" t="e">
        <f ca="1">IF(M48="住宅",0,IF(L49&gt;J52,L61,J61))</f>
        <v>#N/A</v>
      </c>
      <c r="O47" s="2068" t="s">
        <v>2196</v>
      </c>
      <c r="P47" s="1191"/>
      <c r="Q47" s="1405"/>
      <c r="R47" s="1191"/>
    </row>
    <row r="48" spans="1:18" s="1784" customFormat="1" ht="18" customHeight="1" thickBot="1">
      <c r="A48" s="1806"/>
      <c r="C48" s="1809"/>
      <c r="D48" s="1807"/>
      <c r="E48" s="1807"/>
      <c r="F48" s="1810"/>
      <c r="G48" s="1811"/>
      <c r="I48" s="2524" t="s">
        <v>2130</v>
      </c>
      <c r="J48" s="2058"/>
      <c r="K48" s="2529" t="s">
        <v>2135</v>
      </c>
      <c r="L48" s="2533">
        <f ca="1">INDIRECT("'数据-取费表'!d"&amp;$G$1)</f>
        <v>40</v>
      </c>
      <c r="M48" s="2516" t="str">
        <f>IF(ISNUMBER(FIND("住宅",C1)),"住宅","非住宅")</f>
        <v>非住宅</v>
      </c>
      <c r="O48" s="2069" t="s">
        <v>2161</v>
      </c>
      <c r="P48" s="2070" t="s">
        <v>2162</v>
      </c>
      <c r="Q48" s="2071" t="s">
        <v>2163</v>
      </c>
      <c r="R48" s="2070" t="s">
        <v>2164</v>
      </c>
    </row>
    <row r="49" spans="1:18" s="1784" customFormat="1" ht="18" customHeight="1" thickBot="1">
      <c r="A49" s="1806"/>
      <c r="D49" s="1812"/>
      <c r="E49" s="1813"/>
      <c r="F49" s="1810"/>
      <c r="G49" s="1811"/>
      <c r="H49" s="1814"/>
      <c r="I49" s="2521" t="s">
        <v>2131</v>
      </c>
      <c r="J49" s="2059"/>
      <c r="K49" s="2530" t="s">
        <v>2137</v>
      </c>
      <c r="L49" s="1679">
        <f ca="1">INDIRECT("'数据-取费表'!f"&amp;$G$1)</f>
        <v>36.93</v>
      </c>
      <c r="O49" s="2072" t="s">
        <v>2165</v>
      </c>
      <c r="P49" s="2073" t="s">
        <v>2191</v>
      </c>
      <c r="Q49" s="2074" t="e">
        <f ca="1">C41+J31</f>
        <v>#N/A</v>
      </c>
      <c r="R49" s="2073" t="s">
        <v>2166</v>
      </c>
    </row>
    <row r="50" spans="1:18" s="1784" customFormat="1" ht="18" customHeight="1" thickBot="1">
      <c r="A50" s="1806"/>
      <c r="D50" s="1815"/>
      <c r="E50" s="1815"/>
      <c r="F50" s="1807"/>
      <c r="H50" s="1814"/>
      <c r="I50" s="2521" t="s">
        <v>2132</v>
      </c>
      <c r="J50" s="2060"/>
      <c r="K50" s="2531" t="s">
        <v>2138</v>
      </c>
      <c r="L50" s="1678"/>
      <c r="O50" s="2072" t="s">
        <v>2167</v>
      </c>
      <c r="P50" s="2073" t="s">
        <v>2192</v>
      </c>
      <c r="Q50" s="2074" t="str">
        <f ca="1">J61</f>
        <v>0</v>
      </c>
      <c r="R50" s="2073" t="s">
        <v>2168</v>
      </c>
    </row>
    <row r="51" spans="1:18" s="1784" customFormat="1" ht="18" customHeight="1" thickBot="1">
      <c r="A51" s="1816"/>
      <c r="D51" s="1815"/>
      <c r="E51" s="1815"/>
      <c r="F51" s="1807"/>
      <c r="H51" s="1814"/>
      <c r="I51" s="2521" t="s">
        <v>2133</v>
      </c>
      <c r="J51" s="2528">
        <f>SUMPRODUCT((I64:I66=J48)*(J63:L63=J49)*(J64:L66))</f>
        <v>0</v>
      </c>
      <c r="K51" s="2531" t="s">
        <v>2139</v>
      </c>
      <c r="L51" s="1678"/>
      <c r="O51" s="2075" t="s">
        <v>2169</v>
      </c>
      <c r="P51" s="2073" t="s">
        <v>2193</v>
      </c>
      <c r="Q51" s="2074">
        <f ca="1">C31</f>
        <v>0</v>
      </c>
      <c r="R51" s="2073" t="s">
        <v>2166</v>
      </c>
    </row>
    <row r="52" spans="1:18" s="1784" customFormat="1" ht="18" customHeight="1" thickBot="1">
      <c r="A52" s="1816"/>
      <c r="F52" s="1807"/>
      <c r="I52" s="2525" t="s">
        <v>2134</v>
      </c>
      <c r="J52" s="1679">
        <f>IF(J50="",J51,J50+J51-YEAR('数据-取费表'!B3))</f>
        <v>0</v>
      </c>
      <c r="K52" s="2521" t="s">
        <v>2140</v>
      </c>
      <c r="L52" s="2534" t="e">
        <f ca="1">C45</f>
        <v>#N/A</v>
      </c>
      <c r="O52" s="2075" t="s">
        <v>2170</v>
      </c>
      <c r="P52" s="2073" t="s">
        <v>2171</v>
      </c>
      <c r="Q52" s="2076" t="e">
        <f ca="1">J59</f>
        <v>#VALUE!</v>
      </c>
      <c r="R52" s="2077"/>
    </row>
    <row r="53" spans="1:18" s="1784" customFormat="1" ht="18" customHeight="1" thickBot="1">
      <c r="A53" s="1816"/>
      <c r="F53" s="1807"/>
      <c r="I53" s="2526" t="s">
        <v>2207</v>
      </c>
      <c r="J53" s="2061"/>
      <c r="K53" s="2526" t="s">
        <v>2206</v>
      </c>
      <c r="L53" s="2061"/>
      <c r="O53" s="2075" t="s">
        <v>2172</v>
      </c>
      <c r="P53" s="2073" t="s">
        <v>2173</v>
      </c>
      <c r="Q53" s="2076">
        <f>J53</f>
        <v>0</v>
      </c>
      <c r="R53" s="2077"/>
    </row>
    <row r="54" spans="1:18" s="1784" customFormat="1" ht="29.25" thickBot="1">
      <c r="A54" s="1816"/>
      <c r="I54" s="2527" t="s">
        <v>2671</v>
      </c>
      <c r="J54" s="2575">
        <f ca="1">IF(M48="住宅",MAX(J52,L49-'数据-取费表'!B20),MIN(J52,L49-'数据-取费表'!B20))</f>
        <v>0</v>
      </c>
      <c r="K54" s="3508"/>
      <c r="L54" s="3509"/>
      <c r="O54" s="2075" t="s">
        <v>2174</v>
      </c>
      <c r="P54" s="2073" t="s">
        <v>2175</v>
      </c>
      <c r="Q54" s="2074">
        <f ca="1">J54</f>
        <v>0</v>
      </c>
      <c r="R54" s="2073" t="s">
        <v>2176</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2177</v>
      </c>
      <c r="P55" s="2073" t="s">
        <v>2194</v>
      </c>
      <c r="Q55" s="2074" t="e">
        <f ca="1">Q49+Q50</f>
        <v>#N/A</v>
      </c>
      <c r="R55" s="2077" t="s">
        <v>2178</v>
      </c>
    </row>
    <row r="56" spans="1:18" s="1784" customFormat="1" ht="16.5" thickBot="1">
      <c r="A56" s="1816"/>
      <c r="B56" s="1817"/>
      <c r="C56" s="1817"/>
      <c r="I56" s="2537" t="s">
        <v>2141</v>
      </c>
      <c r="J56" s="2510" t="e">
        <f ca="1">ROUND(IF(J48="钢混",J58/J51,1-(1-2%)*(J51-J58)/J51),3)</f>
        <v>#VALUE!</v>
      </c>
      <c r="K56" s="2538" t="s">
        <v>2142</v>
      </c>
      <c r="L56" s="2062"/>
      <c r="O56" s="2078" t="s">
        <v>2197</v>
      </c>
      <c r="P56" s="1191"/>
      <c r="Q56" s="1405"/>
      <c r="R56" s="1191"/>
    </row>
    <row r="57" spans="1:18" s="1784" customFormat="1" ht="43.5" thickBot="1">
      <c r="A57" s="1816"/>
      <c r="B57" s="1817"/>
      <c r="C57" s="1817"/>
      <c r="I57" s="2539" t="s">
        <v>2143</v>
      </c>
      <c r="J57" s="2549" t="s">
        <v>1477</v>
      </c>
      <c r="K57" s="2521" t="s">
        <v>2148</v>
      </c>
      <c r="L57" s="1679">
        <f ca="1">IF(L49&lt;J52,"——",L49-J52)</f>
        <v>36.93</v>
      </c>
      <c r="O57" s="2069" t="s">
        <v>2161</v>
      </c>
      <c r="P57" s="2070" t="s">
        <v>2162</v>
      </c>
      <c r="Q57" s="2071" t="s">
        <v>2163</v>
      </c>
      <c r="R57" s="2070" t="s">
        <v>2164</v>
      </c>
    </row>
    <row r="58" spans="1:18" s="1784" customFormat="1" ht="29.25" thickBot="1">
      <c r="A58" s="1816"/>
      <c r="B58" s="1817"/>
      <c r="C58" s="1817"/>
      <c r="I58" s="2540" t="s">
        <v>2144</v>
      </c>
      <c r="J58" s="2541" t="str">
        <f ca="1">IF(OR(M48="住宅",J52&lt;L49,J57="是"),"——",J52-L49)</f>
        <v>——</v>
      </c>
      <c r="K58" s="2521" t="s">
        <v>2149</v>
      </c>
      <c r="L58" s="1679" t="e">
        <f ca="1">IF(L49&lt;J52,"——",IF(L56="比较法",L50,IF(L56="基准地价",L51,L52)))</f>
        <v>#N/A</v>
      </c>
      <c r="O58" s="2072" t="s">
        <v>2165</v>
      </c>
      <c r="P58" s="2073" t="s">
        <v>2191</v>
      </c>
      <c r="Q58" s="2074" t="e">
        <f ca="1">C41+J31</f>
        <v>#N/A</v>
      </c>
      <c r="R58" s="2073" t="s">
        <v>2166</v>
      </c>
    </row>
    <row r="59" spans="1:18" s="1784" customFormat="1" ht="29.25" thickBot="1">
      <c r="A59" s="1816"/>
      <c r="B59" s="1817"/>
      <c r="C59" s="1817"/>
      <c r="I59" s="2540" t="s">
        <v>2145</v>
      </c>
      <c r="J59" s="2511" t="e">
        <f ca="1">IF(J56&lt;0.4,0.4,J56)</f>
        <v>#VALUE!</v>
      </c>
      <c r="K59" s="2521" t="s">
        <v>2150</v>
      </c>
      <c r="L59" s="1679">
        <f ca="1">IF(ISERROR(POWER(1+L53,L48-L49)*(POWER(1+L53,L49)-1)/(POWER(1+L53,L48)-1)),0,POWER(1+L53,L48-L49)*(POWER(1+L53,L49)-1)/(POWER(1+L53,L48)-1))</f>
        <v>0</v>
      </c>
      <c r="O59" s="2072" t="s">
        <v>2167</v>
      </c>
      <c r="P59" s="2073" t="s">
        <v>2198</v>
      </c>
      <c r="Q59" s="2074" t="e">
        <f ca="1">L61</f>
        <v>#N/A</v>
      </c>
      <c r="R59" s="2077" t="s">
        <v>2200</v>
      </c>
    </row>
    <row r="60" spans="1:18" s="1784" customFormat="1" ht="29.25" thickBot="1">
      <c r="A60" s="1816"/>
      <c r="B60" s="1817"/>
      <c r="C60" s="1817"/>
      <c r="I60" s="2540" t="s">
        <v>2146</v>
      </c>
      <c r="J60" s="2541" t="str">
        <f ca="1">IF(OR(M48="住宅",J52&lt;L49,J57="是"),"——",ROUND(C30*J59,0))</f>
        <v>——</v>
      </c>
      <c r="K60" s="2521" t="s">
        <v>2151</v>
      </c>
      <c r="L60" s="1679">
        <f ca="1">IF(ISERROR(POWER(1+L53,L48-J52)*(POWER(1+L53,J52)-1)/(POWER(1+L53,L48)-1)),0,POWER(1+L53,L48-J52)*(POWER(1+L53,J52)-1)/(POWER(1+L53,L48)-1))</f>
        <v>0</v>
      </c>
      <c r="O60" s="2075" t="s">
        <v>2169</v>
      </c>
      <c r="P60" s="2073" t="s">
        <v>2199</v>
      </c>
      <c r="Q60" s="2074">
        <f>IF(L56="比较法",L50,IF(L56="基准地价",L51,0))</f>
        <v>0</v>
      </c>
      <c r="R60" s="2073" t="s">
        <v>2166</v>
      </c>
    </row>
    <row r="61" spans="1:18" s="1784" customFormat="1" ht="15.75" thickBot="1">
      <c r="A61" s="1816"/>
      <c r="B61" s="1817"/>
      <c r="C61" s="1817"/>
      <c r="I61" s="2542" t="s">
        <v>2147</v>
      </c>
      <c r="J61" s="2543" t="str">
        <f ca="1">IF(OR(M48="住宅",J52&lt;L49,J57="是"),"0",ROUND(J60/(1+J53)^J54,0))</f>
        <v>0</v>
      </c>
      <c r="K61" s="2544" t="s">
        <v>2152</v>
      </c>
      <c r="L61" s="2543" t="e">
        <f ca="1">IF(OR(M48="住宅",L49&lt;J52),0,ROUND(L58*(L59/L60-1),0))</f>
        <v>#N/A</v>
      </c>
      <c r="O61" s="2075" t="s">
        <v>2170</v>
      </c>
      <c r="P61" s="2073" t="s">
        <v>2179</v>
      </c>
      <c r="Q61" s="2076">
        <f>L53</f>
        <v>0</v>
      </c>
      <c r="R61" s="2077"/>
    </row>
    <row r="62" spans="1:18" s="1784" customFormat="1" ht="20.25" thickBot="1">
      <c r="A62" s="1816"/>
      <c r="B62" s="1817"/>
      <c r="C62" s="1817"/>
      <c r="K62" s="1808"/>
      <c r="O62" s="2075" t="s">
        <v>2172</v>
      </c>
      <c r="P62" s="2073" t="s">
        <v>2180</v>
      </c>
      <c r="Q62" s="2074">
        <f ca="1">L59</f>
        <v>0</v>
      </c>
      <c r="R62" s="2077" t="s">
        <v>2181</v>
      </c>
    </row>
    <row r="63" spans="1:18" s="1784" customFormat="1" ht="20.25" thickBot="1">
      <c r="A63" s="1816"/>
      <c r="B63" s="1817"/>
      <c r="C63" s="1817"/>
      <c r="I63" s="2545" t="s">
        <v>2153</v>
      </c>
      <c r="J63" s="2546" t="s">
        <v>2154</v>
      </c>
      <c r="K63" s="2546" t="s">
        <v>2155</v>
      </c>
      <c r="L63" s="2546" t="s">
        <v>2136</v>
      </c>
      <c r="M63" s="2547" t="s">
        <v>2640</v>
      </c>
      <c r="O63" s="2075" t="s">
        <v>2174</v>
      </c>
      <c r="P63" s="2073" t="s">
        <v>2182</v>
      </c>
      <c r="Q63" s="2074">
        <f ca="1">L60</f>
        <v>0</v>
      </c>
      <c r="R63" s="2077" t="s">
        <v>2183</v>
      </c>
    </row>
    <row r="64" spans="1:18" s="1784" customFormat="1" ht="15.75" thickBot="1">
      <c r="A64" s="1816"/>
      <c r="B64" s="1817"/>
      <c r="C64" s="1817"/>
      <c r="I64" s="2545" t="s">
        <v>2156</v>
      </c>
      <c r="J64" s="2546">
        <v>70</v>
      </c>
      <c r="K64" s="2546">
        <v>50</v>
      </c>
      <c r="L64" s="2546">
        <v>80</v>
      </c>
      <c r="M64" s="2548">
        <v>0.02</v>
      </c>
      <c r="O64" s="2072" t="s">
        <v>2177</v>
      </c>
      <c r="P64" s="2073" t="s">
        <v>2194</v>
      </c>
      <c r="Q64" s="2074" t="e">
        <f ca="1">Q58+Q59</f>
        <v>#N/A</v>
      </c>
      <c r="R64" s="2077" t="s">
        <v>2178</v>
      </c>
    </row>
    <row r="65" spans="1:18" s="1784" customFormat="1" ht="16.5" thickBot="1">
      <c r="A65" s="1816"/>
      <c r="B65" s="1817"/>
      <c r="C65" s="1817"/>
      <c r="I65" s="2545" t="s">
        <v>2157</v>
      </c>
      <c r="J65" s="2546">
        <v>50</v>
      </c>
      <c r="K65" s="2546">
        <v>35</v>
      </c>
      <c r="L65" s="2546">
        <v>60</v>
      </c>
      <c r="M65" s="785">
        <v>0</v>
      </c>
      <c r="O65" s="2078" t="s">
        <v>2201</v>
      </c>
      <c r="P65" s="1191"/>
      <c r="Q65" s="1405"/>
      <c r="R65" s="1191"/>
    </row>
    <row r="66" spans="1:18" s="1784" customFormat="1" ht="15.75" thickBot="1">
      <c r="A66" s="1816"/>
      <c r="B66" s="1817"/>
      <c r="C66" s="1817"/>
      <c r="I66" s="2545" t="s">
        <v>2158</v>
      </c>
      <c r="J66" s="2546">
        <v>40</v>
      </c>
      <c r="K66" s="2546">
        <v>30</v>
      </c>
      <c r="L66" s="2546">
        <v>50</v>
      </c>
      <c r="M66" s="2548">
        <v>0.02</v>
      </c>
      <c r="O66" s="2069" t="s">
        <v>2161</v>
      </c>
      <c r="P66" s="2070" t="s">
        <v>2162</v>
      </c>
      <c r="Q66" s="2071" t="s">
        <v>2163</v>
      </c>
      <c r="R66" s="2070" t="s">
        <v>2164</v>
      </c>
    </row>
    <row r="67" spans="1:18" s="1784" customFormat="1" ht="15.75" thickBot="1">
      <c r="A67" s="1816"/>
      <c r="B67" s="1817"/>
      <c r="C67" s="1817"/>
      <c r="K67" s="1808"/>
      <c r="O67" s="2072" t="s">
        <v>2165</v>
      </c>
      <c r="P67" s="2073" t="s">
        <v>2191</v>
      </c>
      <c r="Q67" s="2074" t="e">
        <f ca="1">C41+J31</f>
        <v>#N/A</v>
      </c>
      <c r="R67" s="2073" t="s">
        <v>2166</v>
      </c>
    </row>
    <row r="68" spans="1:18" s="1784" customFormat="1" ht="20.25" thickBot="1">
      <c r="A68" s="1816"/>
      <c r="B68" s="1817"/>
      <c r="C68" s="1817"/>
      <c r="K68" s="1808"/>
      <c r="O68" s="2072" t="s">
        <v>2167</v>
      </c>
      <c r="P68" s="2073" t="s">
        <v>2198</v>
      </c>
      <c r="Q68" s="2074" t="e">
        <f ca="1">L61</f>
        <v>#N/A</v>
      </c>
      <c r="R68" s="2077" t="s">
        <v>2200</v>
      </c>
    </row>
    <row r="69" spans="1:18" s="1784" customFormat="1" ht="21.75" thickBot="1">
      <c r="A69" s="1816"/>
      <c r="B69" s="1817"/>
      <c r="C69" s="1817"/>
      <c r="K69" s="1808"/>
      <c r="O69" s="2075" t="s">
        <v>2169</v>
      </c>
      <c r="P69" s="2073" t="s">
        <v>2199</v>
      </c>
      <c r="Q69" s="2079" t="e">
        <f ca="1">L52</f>
        <v>#N/A</v>
      </c>
      <c r="R69" s="2080" t="s">
        <v>2202</v>
      </c>
    </row>
    <row r="70" spans="1:18" s="1784" customFormat="1" ht="20.25" thickBot="1">
      <c r="A70" s="1816"/>
      <c r="B70" s="1817"/>
      <c r="C70" s="1817"/>
      <c r="K70" s="1808"/>
      <c r="O70" s="2075" t="s">
        <v>2170</v>
      </c>
      <c r="P70" s="2081" t="s">
        <v>2184</v>
      </c>
      <c r="Q70" s="2074">
        <f ca="1">ROUND(Q71-Q72*Q73,0)</f>
        <v>0</v>
      </c>
      <c r="R70" s="2077"/>
    </row>
    <row r="71" spans="1:18" s="1784" customFormat="1" ht="15.75" thickBot="1">
      <c r="A71" s="1816"/>
      <c r="B71" s="1817"/>
      <c r="C71" s="1817"/>
      <c r="K71" s="1808"/>
      <c r="O71" s="2075" t="s">
        <v>2185</v>
      </c>
      <c r="P71" s="2081" t="s">
        <v>2186</v>
      </c>
      <c r="Q71" s="2074">
        <f ca="1">C42</f>
        <v>0</v>
      </c>
      <c r="R71" s="2073" t="s">
        <v>2166</v>
      </c>
    </row>
    <row r="72" spans="1:18" s="1784" customFormat="1" ht="15.75" thickBot="1">
      <c r="A72" s="1816"/>
      <c r="B72" s="1817"/>
      <c r="C72" s="1817"/>
      <c r="K72" s="1808"/>
      <c r="O72" s="2075" t="s">
        <v>2187</v>
      </c>
      <c r="P72" s="2081" t="s">
        <v>2188</v>
      </c>
      <c r="Q72" s="2074">
        <f ca="1">C15</f>
        <v>0</v>
      </c>
      <c r="R72" s="2073" t="s">
        <v>2166</v>
      </c>
    </row>
    <row r="73" spans="1:18" s="1784" customFormat="1" ht="15.75" thickBot="1">
      <c r="A73" s="1816"/>
      <c r="B73" s="1817"/>
      <c r="C73" s="1817"/>
      <c r="K73" s="1808"/>
      <c r="O73" s="2075" t="s">
        <v>2189</v>
      </c>
      <c r="P73" s="2081" t="s">
        <v>2190</v>
      </c>
      <c r="Q73" s="2076">
        <f ca="1">F43</f>
        <v>7.4999999999999997E-2</v>
      </c>
      <c r="R73" s="2077"/>
    </row>
    <row r="74" spans="1:18" s="1784" customFormat="1" ht="15.75" thickBot="1">
      <c r="A74" s="1816"/>
      <c r="B74" s="1817"/>
      <c r="C74" s="1817"/>
      <c r="K74" s="1808"/>
      <c r="O74" s="2075" t="s">
        <v>2172</v>
      </c>
      <c r="P74" s="2073" t="s">
        <v>2179</v>
      </c>
      <c r="Q74" s="2076">
        <f>L53</f>
        <v>0</v>
      </c>
      <c r="R74" s="2077"/>
    </row>
    <row r="75" spans="1:18" s="1784" customFormat="1" ht="20.25" thickBot="1">
      <c r="A75" s="1816"/>
      <c r="B75" s="1817"/>
      <c r="C75" s="1817"/>
      <c r="K75" s="1808"/>
      <c r="O75" s="2075" t="s">
        <v>2174</v>
      </c>
      <c r="P75" s="2073" t="s">
        <v>2180</v>
      </c>
      <c r="Q75" s="2074">
        <f ca="1">L59</f>
        <v>0</v>
      </c>
      <c r="R75" s="2077" t="s">
        <v>2181</v>
      </c>
    </row>
    <row r="76" spans="1:18" s="1784" customFormat="1" ht="20.25" thickBot="1">
      <c r="A76" s="1816"/>
      <c r="B76" s="1817"/>
      <c r="C76" s="1817"/>
      <c r="K76" s="1808"/>
      <c r="O76" s="2075" t="s">
        <v>2203</v>
      </c>
      <c r="P76" s="2073" t="s">
        <v>2182</v>
      </c>
      <c r="Q76" s="2074">
        <f ca="1">L60</f>
        <v>0</v>
      </c>
      <c r="R76" s="2077" t="s">
        <v>2183</v>
      </c>
    </row>
    <row r="77" spans="1:18" s="1784" customFormat="1" ht="15.75" thickBot="1">
      <c r="A77" s="1816"/>
      <c r="B77" s="1817"/>
      <c r="C77" s="1817"/>
      <c r="K77" s="1808"/>
      <c r="O77" s="2072" t="s">
        <v>2177</v>
      </c>
      <c r="P77" s="2073" t="s">
        <v>2194</v>
      </c>
      <c r="Q77" s="2074" t="e">
        <f ca="1">Q67+Q68</f>
        <v>#N/A</v>
      </c>
      <c r="R77" s="2077" t="s">
        <v>2178</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78" customWidth="1"/>
    <col min="2" max="2" width="15.625" style="1178" customWidth="1"/>
    <col min="3" max="3" width="15.125" style="1178" customWidth="1"/>
    <col min="4" max="4" width="12.125" style="1178" customWidth="1"/>
    <col min="5" max="5" width="19.875" style="1178" customWidth="1"/>
    <col min="6" max="6" width="12.125" style="1178" customWidth="1"/>
    <col min="7" max="7" width="17.125" style="1178" customWidth="1"/>
    <col min="8" max="8" width="12.125" style="1178" customWidth="1"/>
    <col min="9" max="9" width="19.87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2231" t="s">
        <v>701</v>
      </c>
      <c r="C1" s="2232" t="s">
        <v>702</v>
      </c>
      <c r="D1" s="2233" t="s">
        <v>3148</v>
      </c>
      <c r="E1" s="1847"/>
      <c r="F1" s="2271" t="s">
        <v>3605</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86628</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6198</v>
      </c>
      <c r="C3" s="791" t="s">
        <v>704</v>
      </c>
      <c r="D3" s="790">
        <f>SUMIF('数据-汇总表'!$C19:$C33,D1,'数据-汇总表'!$E19:$E33)</f>
        <v>139768.29999999999</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422" t="s">
        <v>505</v>
      </c>
      <c r="D4" s="3423"/>
      <c r="E4" s="3448" t="s">
        <v>506</v>
      </c>
      <c r="F4" s="3449"/>
      <c r="G4" s="3422" t="s">
        <v>507</v>
      </c>
      <c r="H4" s="3423"/>
      <c r="I4" s="3422" t="s">
        <v>508</v>
      </c>
      <c r="J4" s="3423"/>
      <c r="K4" s="792" t="s">
        <v>509</v>
      </c>
      <c r="L4" s="1853"/>
      <c r="M4" s="1854"/>
      <c r="N4" s="1854"/>
      <c r="O4" s="1854"/>
      <c r="P4" s="3424" t="s">
        <v>510</v>
      </c>
      <c r="Q4" s="3425"/>
      <c r="R4" s="3408" t="s">
        <v>506</v>
      </c>
      <c r="S4" s="3409"/>
      <c r="T4" s="3408" t="s">
        <v>507</v>
      </c>
      <c r="U4" s="3409"/>
      <c r="V4" s="3430" t="s">
        <v>508</v>
      </c>
      <c r="W4" s="3430"/>
      <c r="X4" s="1377"/>
      <c r="Y4" s="3408" t="s">
        <v>510</v>
      </c>
      <c r="Z4" s="3409"/>
      <c r="AA4" s="3403" t="s">
        <v>506</v>
      </c>
      <c r="AB4" s="3403" t="s">
        <v>507</v>
      </c>
      <c r="AC4" s="3403" t="s">
        <v>508</v>
      </c>
    </row>
    <row r="5" spans="1:29" ht="15">
      <c r="A5" s="471"/>
      <c r="B5" s="472"/>
      <c r="C5" s="3433" t="s">
        <v>2627</v>
      </c>
      <c r="D5" s="3434"/>
      <c r="E5" s="3510" t="s">
        <v>3763</v>
      </c>
      <c r="F5" s="3451"/>
      <c r="G5" s="3511" t="s">
        <v>3745</v>
      </c>
      <c r="H5" s="3434"/>
      <c r="I5" s="3511" t="s">
        <v>3773</v>
      </c>
      <c r="J5" s="3434"/>
      <c r="K5" s="793"/>
      <c r="L5" s="1853"/>
      <c r="M5" s="1854"/>
      <c r="N5" s="1854"/>
      <c r="O5" s="1854"/>
      <c r="P5" s="3426"/>
      <c r="Q5" s="3427"/>
      <c r="R5" s="3410"/>
      <c r="S5" s="3411"/>
      <c r="T5" s="3410"/>
      <c r="U5" s="3411"/>
      <c r="V5" s="3430"/>
      <c r="W5" s="3430"/>
      <c r="X5" s="1377"/>
      <c r="Y5" s="3410"/>
      <c r="Z5" s="3411"/>
      <c r="AA5" s="3404"/>
      <c r="AB5" s="3404"/>
      <c r="AC5" s="3404"/>
    </row>
    <row r="6" spans="1:29" ht="38.25" customHeight="1" thickBot="1">
      <c r="A6" s="473"/>
      <c r="B6" s="474"/>
      <c r="C6" s="3431" t="s">
        <v>2631</v>
      </c>
      <c r="D6" s="3432"/>
      <c r="E6" s="3512" t="s">
        <v>3764</v>
      </c>
      <c r="F6" s="3453"/>
      <c r="G6" s="3513" t="s">
        <v>3746</v>
      </c>
      <c r="H6" s="3432"/>
      <c r="I6" s="3513" t="s">
        <v>3774</v>
      </c>
      <c r="J6" s="3432"/>
      <c r="K6" s="793" t="s">
        <v>511</v>
      </c>
      <c r="L6" s="1853"/>
      <c r="M6" s="1854"/>
      <c r="N6" s="1854"/>
      <c r="O6" s="1854"/>
      <c r="P6" s="3428"/>
      <c r="Q6" s="3429"/>
      <c r="R6" s="3410"/>
      <c r="S6" s="3411"/>
      <c r="T6" s="3412"/>
      <c r="U6" s="3413"/>
      <c r="V6" s="3430"/>
      <c r="W6" s="3430"/>
      <c r="X6" s="1377"/>
      <c r="Y6" s="3412"/>
      <c r="Z6" s="3413"/>
      <c r="AA6" s="3405"/>
      <c r="AB6" s="3405"/>
      <c r="AC6" s="3405"/>
    </row>
    <row r="7" spans="1:29" s="1106" customFormat="1" ht="15.75" thickBot="1">
      <c r="A7" s="2362"/>
      <c r="B7" s="2369" t="s">
        <v>512</v>
      </c>
      <c r="C7" s="475">
        <f>'数据-取费表'!B2</f>
        <v>44895</v>
      </c>
      <c r="D7" s="476">
        <v>100</v>
      </c>
      <c r="E7" s="477">
        <f>C7</f>
        <v>44895</v>
      </c>
      <c r="F7" s="478">
        <f>SUMIF(58:58,YEAR(E7)&amp;"-"&amp;MONTH(E7),59:59)</f>
        <v>100</v>
      </c>
      <c r="G7" s="479">
        <f>C7</f>
        <v>44895</v>
      </c>
      <c r="H7" s="476">
        <f>SUMIF(58:58,YEAR(G7)&amp;"-"&amp;MONTH(G7),59:59)</f>
        <v>100</v>
      </c>
      <c r="I7" s="479">
        <f>C7</f>
        <v>44895</v>
      </c>
      <c r="J7" s="476">
        <f>SUMIF(58:58,YEAR(I7)&amp;"-"&amp;MONTH(I7),59:59)</f>
        <v>100</v>
      </c>
      <c r="K7" s="794"/>
      <c r="L7" s="1855"/>
      <c r="M7" s="1752"/>
      <c r="N7" s="1752"/>
      <c r="O7" s="1752"/>
      <c r="P7" s="3406" t="s">
        <v>513</v>
      </c>
      <c r="Q7" s="3415"/>
      <c r="R7" s="1378" t="s">
        <v>13</v>
      </c>
      <c r="S7" s="1379">
        <f t="shared" ref="S7:S15" si="0">F7</f>
        <v>100</v>
      </c>
      <c r="T7" s="1378" t="s">
        <v>13</v>
      </c>
      <c r="U7" s="1379">
        <f t="shared" ref="U7:U15" si="1">H7</f>
        <v>100</v>
      </c>
      <c r="V7" s="1378" t="s">
        <v>13</v>
      </c>
      <c r="W7" s="1379">
        <f t="shared" ref="W7:W15" si="2">J7</f>
        <v>100</v>
      </c>
      <c r="X7" s="1380"/>
      <c r="Y7" s="3406" t="s">
        <v>513</v>
      </c>
      <c r="Z7" s="3407"/>
      <c r="AA7" s="1042">
        <f>D7/F7</f>
        <v>1</v>
      </c>
      <c r="AB7" s="1042">
        <f>D7/H7</f>
        <v>1</v>
      </c>
      <c r="AC7" s="1042">
        <f>D7/J7</f>
        <v>1</v>
      </c>
    </row>
    <row r="8" spans="1:29" s="1106" customFormat="1" ht="15.75" thickBot="1">
      <c r="A8" s="2363"/>
      <c r="B8" s="2370" t="s">
        <v>514</v>
      </c>
      <c r="C8" s="480" t="s">
        <v>558</v>
      </c>
      <c r="D8" s="476">
        <v>100</v>
      </c>
      <c r="E8" s="480" t="s">
        <v>558</v>
      </c>
      <c r="F8" s="478">
        <f>SUMIF(61:61,E8,62:62)-SUMIF(61:61,C8,62:62)+100</f>
        <v>100</v>
      </c>
      <c r="G8" s="480" t="s">
        <v>558</v>
      </c>
      <c r="H8" s="476">
        <f>SUMIF(61:61,G8,62:62)-SUMIF(61:61,C8,62:62)+100</f>
        <v>100</v>
      </c>
      <c r="I8" s="480" t="s">
        <v>558</v>
      </c>
      <c r="J8" s="476">
        <f>SUMIF(61:61,I8,62:62)-SUMIF(61:61,C8,62:62)+100</f>
        <v>100</v>
      </c>
      <c r="K8" s="794"/>
      <c r="L8" s="1855"/>
      <c r="M8" s="1752"/>
      <c r="N8" s="1752"/>
      <c r="O8" s="1752"/>
      <c r="P8" s="3406" t="s">
        <v>516</v>
      </c>
      <c r="Q8" s="3407"/>
      <c r="R8" s="1378" t="s">
        <v>13</v>
      </c>
      <c r="S8" s="1379">
        <f t="shared" si="0"/>
        <v>100</v>
      </c>
      <c r="T8" s="1378" t="s">
        <v>13</v>
      </c>
      <c r="U8" s="1379">
        <f t="shared" si="1"/>
        <v>100</v>
      </c>
      <c r="V8" s="1378" t="s">
        <v>13</v>
      </c>
      <c r="W8" s="1379">
        <f t="shared" si="2"/>
        <v>100</v>
      </c>
      <c r="X8" s="1380"/>
      <c r="Y8" s="3406" t="s">
        <v>516</v>
      </c>
      <c r="Z8" s="3407"/>
      <c r="AA8" s="1042">
        <f t="shared" ref="AA8:AA46" si="3">D8/F8</f>
        <v>1</v>
      </c>
      <c r="AB8" s="1042">
        <f t="shared" ref="AB8:AB46" si="4">D8/H8</f>
        <v>1</v>
      </c>
      <c r="AC8" s="1042">
        <f t="shared" ref="AC8:AC46" si="5">D8/J8</f>
        <v>1</v>
      </c>
    </row>
    <row r="9" spans="1:29" s="1106" customFormat="1" ht="15">
      <c r="A9" s="2364"/>
      <c r="B9" s="2371" t="s">
        <v>2471</v>
      </c>
      <c r="C9" s="3206" t="s">
        <v>3731</v>
      </c>
      <c r="D9" s="159">
        <v>100</v>
      </c>
      <c r="E9" s="797" t="s">
        <v>901</v>
      </c>
      <c r="F9" s="161">
        <f>SUMIF(63:63,E9,64:64)-SUMIF(63:63,C9,64:64)+100</f>
        <v>100</v>
      </c>
      <c r="G9" s="798" t="s">
        <v>901</v>
      </c>
      <c r="H9" s="159">
        <f>SUMIF(63:63,G9,64:64)-SUMIF(63:63,C9,64:64)+100</f>
        <v>100</v>
      </c>
      <c r="I9" s="798" t="s">
        <v>901</v>
      </c>
      <c r="J9" s="159">
        <f>SUMIF(63:63,I9,64:64)-SUMIF(63:63,C9,64:64)+100</f>
        <v>100</v>
      </c>
      <c r="K9" s="794"/>
      <c r="L9" s="1855"/>
      <c r="M9" s="1752"/>
      <c r="N9" s="1752"/>
      <c r="O9" s="1856"/>
      <c r="P9" s="3414" t="s">
        <v>518</v>
      </c>
      <c r="Q9" s="824" t="str">
        <f t="shared" ref="Q9:Q15" si="6">B9</f>
        <v>用途</v>
      </c>
      <c r="R9" s="1378" t="s">
        <v>8</v>
      </c>
      <c r="S9" s="1379">
        <f t="shared" si="0"/>
        <v>100</v>
      </c>
      <c r="T9" s="1378" t="s">
        <v>8</v>
      </c>
      <c r="U9" s="1379">
        <f t="shared" si="1"/>
        <v>100</v>
      </c>
      <c r="V9" s="1378" t="s">
        <v>8</v>
      </c>
      <c r="W9" s="1379">
        <f t="shared" si="2"/>
        <v>100</v>
      </c>
      <c r="X9" s="1380"/>
      <c r="Y9" s="3362" t="s">
        <v>519</v>
      </c>
      <c r="Z9" s="1042" t="str">
        <f t="shared" ref="Z9:Z15" si="7">Q9</f>
        <v>用途</v>
      </c>
      <c r="AA9" s="1042">
        <f t="shared" si="3"/>
        <v>1</v>
      </c>
      <c r="AB9" s="1042">
        <f t="shared" si="4"/>
        <v>1</v>
      </c>
      <c r="AC9" s="1042">
        <f t="shared" si="5"/>
        <v>1</v>
      </c>
    </row>
    <row r="10" spans="1:29" s="1179" customFormat="1" ht="27">
      <c r="A10" s="2365"/>
      <c r="B10" s="2370" t="s">
        <v>2472</v>
      </c>
      <c r="C10" s="799" t="s">
        <v>3732</v>
      </c>
      <c r="D10" s="240">
        <v>100</v>
      </c>
      <c r="E10" s="799" t="s">
        <v>3732</v>
      </c>
      <c r="F10" s="482">
        <f>SUMIF(65:65,E10,66:66)-SUMIF(65:65,C10,66:66)+100</f>
        <v>100</v>
      </c>
      <c r="G10" s="799" t="s">
        <v>3732</v>
      </c>
      <c r="H10" s="240">
        <f>SUMIF(65:65,G10,66:66)-SUMIF(65:65,C10,66:66)+100</f>
        <v>100</v>
      </c>
      <c r="I10" s="799" t="s">
        <v>3732</v>
      </c>
      <c r="J10" s="240">
        <f>SUMIF(65:65,I10,66:66)-SUMIF(65:65,C10,66:66)+100</f>
        <v>100</v>
      </c>
      <c r="K10" s="801">
        <v>1</v>
      </c>
      <c r="L10" s="1857"/>
      <c r="M10" s="1890"/>
      <c r="N10" s="1890"/>
      <c r="O10" s="1858"/>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6"/>
      <c r="B11" s="2370" t="s">
        <v>2473</v>
      </c>
      <c r="C11" s="488">
        <f>'数据-汇总表'!I7</f>
        <v>2.6</v>
      </c>
      <c r="D11" s="240">
        <v>100</v>
      </c>
      <c r="E11" s="489">
        <v>2.5</v>
      </c>
      <c r="F11" s="482">
        <f>LOOKUP(E11,68:68,69:69)-LOOKUP(C11,68:68,69:69)+100</f>
        <v>100</v>
      </c>
      <c r="G11" s="488">
        <v>2.5</v>
      </c>
      <c r="H11" s="240">
        <f>LOOKUP(G11,68:68,69:69)-LOOKUP(C11,68:68,69:69)+100</f>
        <v>100</v>
      </c>
      <c r="I11" s="488">
        <v>2.5</v>
      </c>
      <c r="J11" s="240">
        <f>LOOKUP(I11,68:68,69:69)-LOOKUP(C11,68:68,69:69)+100</f>
        <v>100</v>
      </c>
      <c r="K11" s="801">
        <v>2</v>
      </c>
      <c r="L11" s="1859"/>
      <c r="M11" s="1854"/>
      <c r="N11" s="1854"/>
      <c r="O11" s="1860"/>
      <c r="P11" s="3414"/>
      <c r="Q11" s="824" t="str">
        <f t="shared" si="6"/>
        <v>容积率</v>
      </c>
      <c r="R11" s="1378" t="s">
        <v>11</v>
      </c>
      <c r="S11" s="1379">
        <f t="shared" si="0"/>
        <v>100</v>
      </c>
      <c r="T11" s="1378" t="s">
        <v>11</v>
      </c>
      <c r="U11" s="1379">
        <f t="shared" si="1"/>
        <v>100</v>
      </c>
      <c r="V11" s="1378" t="s">
        <v>11</v>
      </c>
      <c r="W11" s="1379">
        <f t="shared" si="2"/>
        <v>100</v>
      </c>
      <c r="X11" s="1380"/>
      <c r="Y11" s="3362"/>
      <c r="Z11" s="1042" t="str">
        <f t="shared" si="7"/>
        <v>容积率</v>
      </c>
      <c r="AA11" s="1042">
        <f t="shared" si="3"/>
        <v>1</v>
      </c>
      <c r="AB11" s="1042">
        <f t="shared" si="4"/>
        <v>1</v>
      </c>
      <c r="AC11" s="1042">
        <f t="shared" si="5"/>
        <v>1</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414"/>
      <c r="Q12" s="824">
        <f t="shared" si="6"/>
        <v>111</v>
      </c>
      <c r="R12" s="1378" t="s">
        <v>11</v>
      </c>
      <c r="S12" s="1379">
        <f t="shared" si="0"/>
        <v>100</v>
      </c>
      <c r="T12" s="1378" t="s">
        <v>11</v>
      </c>
      <c r="U12" s="1379">
        <f t="shared" si="1"/>
        <v>100</v>
      </c>
      <c r="V12" s="1378" t="s">
        <v>11</v>
      </c>
      <c r="W12" s="1379">
        <f t="shared" si="2"/>
        <v>100</v>
      </c>
      <c r="X12" s="1380"/>
      <c r="Y12" s="3362"/>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414"/>
      <c r="Q13" s="824">
        <f t="shared" si="6"/>
        <v>111</v>
      </c>
      <c r="R13" s="1378" t="s">
        <v>11</v>
      </c>
      <c r="S13" s="1379">
        <f t="shared" si="0"/>
        <v>100</v>
      </c>
      <c r="T13" s="1378" t="s">
        <v>11</v>
      </c>
      <c r="U13" s="1379">
        <f t="shared" si="1"/>
        <v>100</v>
      </c>
      <c r="V13" s="1378" t="s">
        <v>11</v>
      </c>
      <c r="W13" s="1379">
        <f t="shared" si="2"/>
        <v>100</v>
      </c>
      <c r="X13" s="1380"/>
      <c r="Y13" s="3362"/>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414"/>
      <c r="Q14" s="824">
        <f t="shared" si="6"/>
        <v>111</v>
      </c>
      <c r="R14" s="1378" t="s">
        <v>11</v>
      </c>
      <c r="S14" s="1379">
        <f t="shared" si="0"/>
        <v>100</v>
      </c>
      <c r="T14" s="1378" t="s">
        <v>11</v>
      </c>
      <c r="U14" s="1379">
        <f t="shared" si="1"/>
        <v>100</v>
      </c>
      <c r="V14" s="1378" t="s">
        <v>11</v>
      </c>
      <c r="W14" s="1379">
        <f t="shared" si="2"/>
        <v>100</v>
      </c>
      <c r="X14" s="1380"/>
      <c r="Y14" s="3362"/>
      <c r="Z14" s="1042">
        <f t="shared" si="7"/>
        <v>111</v>
      </c>
      <c r="AA14" s="1042">
        <f t="shared" si="3"/>
        <v>1</v>
      </c>
      <c r="AB14" s="1042">
        <f t="shared" si="4"/>
        <v>1</v>
      </c>
      <c r="AC14" s="1042">
        <f t="shared" si="5"/>
        <v>1</v>
      </c>
    </row>
    <row r="15" spans="1:29" ht="99.75">
      <c r="A15" s="2360" t="s">
        <v>2469</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102</v>
      </c>
      <c r="G15" s="507"/>
      <c r="H15" s="504">
        <f>SUMIF(76:76,G16,77:77)-SUMIF(76:76,C16,77:77)+100</f>
        <v>102</v>
      </c>
      <c r="I15" s="505"/>
      <c r="J15" s="504">
        <f>SUMIF(76:76,I16,77:77)-SUMIF(76:76,C16,77:77)+100</f>
        <v>102</v>
      </c>
      <c r="K15" s="805">
        <v>2</v>
      </c>
      <c r="L15" s="1861"/>
      <c r="M15" s="1854"/>
      <c r="N15" s="1854"/>
      <c r="O15" s="1860"/>
      <c r="P15" s="3416" t="s">
        <v>523</v>
      </c>
      <c r="Q15" s="1381" t="str">
        <f t="shared" si="6"/>
        <v>居住社区成熟度</v>
      </c>
      <c r="R15" s="1382" t="s">
        <v>11</v>
      </c>
      <c r="S15" s="1383">
        <f t="shared" si="0"/>
        <v>102</v>
      </c>
      <c r="T15" s="1382" t="s">
        <v>11</v>
      </c>
      <c r="U15" s="1383">
        <f t="shared" si="1"/>
        <v>102</v>
      </c>
      <c r="V15" s="1382" t="s">
        <v>11</v>
      </c>
      <c r="W15" s="1383">
        <f t="shared" si="2"/>
        <v>102</v>
      </c>
      <c r="X15" s="1377"/>
      <c r="Y15" s="3416" t="s">
        <v>523</v>
      </c>
      <c r="Z15" s="1384" t="str">
        <f t="shared" si="7"/>
        <v>居住社区成熟度</v>
      </c>
      <c r="AA15" s="1384">
        <f t="shared" si="3"/>
        <v>0.98039215686274506</v>
      </c>
      <c r="AB15" s="1384">
        <f t="shared" si="4"/>
        <v>0.98039215686274506</v>
      </c>
      <c r="AC15" s="1384">
        <f t="shared" si="5"/>
        <v>0.98039215686274506</v>
      </c>
    </row>
    <row r="16" spans="1:29" ht="15">
      <c r="A16" s="487"/>
      <c r="B16" s="806"/>
      <c r="C16" s="531" t="s">
        <v>3603</v>
      </c>
      <c r="D16" s="510"/>
      <c r="E16" s="511" t="s">
        <v>3604</v>
      </c>
      <c r="F16" s="512"/>
      <c r="G16" s="513" t="s">
        <v>3604</v>
      </c>
      <c r="H16" s="514"/>
      <c r="I16" s="511" t="s">
        <v>3604</v>
      </c>
      <c r="J16" s="510"/>
      <c r="K16" s="807"/>
      <c r="L16" s="1861"/>
      <c r="M16" s="1854"/>
      <c r="N16" s="1854"/>
      <c r="O16" s="1860"/>
      <c r="P16" s="3417"/>
      <c r="Q16" s="1381"/>
      <c r="R16" s="1382"/>
      <c r="S16" s="1383"/>
      <c r="T16" s="1382"/>
      <c r="U16" s="1383"/>
      <c r="V16" s="1382"/>
      <c r="W16" s="1383"/>
      <c r="X16" s="1377"/>
      <c r="Y16" s="3417"/>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102</v>
      </c>
      <c r="G17" s="519"/>
      <c r="H17" s="520">
        <f>SUMIF(78:78,G18,79:79)-SUMIF(78:78,C18,79:79)+100</f>
        <v>102</v>
      </c>
      <c r="I17" s="517"/>
      <c r="J17" s="520">
        <f>SUMIF(78:78,I18,79:79)-SUMIF(78:78,C18,79:79)+100</f>
        <v>102</v>
      </c>
      <c r="K17" s="805">
        <v>2</v>
      </c>
      <c r="L17" s="1861"/>
      <c r="M17" s="1854"/>
      <c r="N17" s="1854"/>
      <c r="O17" s="1860"/>
      <c r="P17" s="3417"/>
      <c r="Q17" s="1381" t="str">
        <f>B17</f>
        <v>交通便捷度</v>
      </c>
      <c r="R17" s="1382" t="s">
        <v>11</v>
      </c>
      <c r="S17" s="1383">
        <f>F17</f>
        <v>102</v>
      </c>
      <c r="T17" s="1382" t="s">
        <v>11</v>
      </c>
      <c r="U17" s="1383">
        <f>H17</f>
        <v>102</v>
      </c>
      <c r="V17" s="1382" t="s">
        <v>11</v>
      </c>
      <c r="W17" s="1383">
        <f>J17</f>
        <v>102</v>
      </c>
      <c r="X17" s="1377"/>
      <c r="Y17" s="3417"/>
      <c r="Z17" s="1384" t="str">
        <f>Q17</f>
        <v>交通便捷度</v>
      </c>
      <c r="AA17" s="1384">
        <f t="shared" si="3"/>
        <v>0.98039215686274506</v>
      </c>
      <c r="AB17" s="1384">
        <f t="shared" si="4"/>
        <v>0.98039215686274506</v>
      </c>
      <c r="AC17" s="1384">
        <f t="shared" si="5"/>
        <v>0.98039215686274506</v>
      </c>
    </row>
    <row r="18" spans="1:29" ht="15">
      <c r="A18" s="487"/>
      <c r="B18" s="549"/>
      <c r="C18" s="809" t="s">
        <v>3603</v>
      </c>
      <c r="D18" s="514"/>
      <c r="E18" s="511" t="s">
        <v>3604</v>
      </c>
      <c r="F18" s="518"/>
      <c r="G18" s="511" t="s">
        <v>3604</v>
      </c>
      <c r="H18" s="510"/>
      <c r="I18" s="511" t="s">
        <v>3604</v>
      </c>
      <c r="J18" s="510"/>
      <c r="K18" s="807"/>
      <c r="L18" s="1861"/>
      <c r="M18" s="1854"/>
      <c r="N18" s="1854"/>
      <c r="O18" s="1860"/>
      <c r="P18" s="3417"/>
      <c r="Q18" s="1381"/>
      <c r="R18" s="1382"/>
      <c r="S18" s="1383"/>
      <c r="T18" s="1382"/>
      <c r="U18" s="1383"/>
      <c r="V18" s="1382"/>
      <c r="W18" s="1383"/>
      <c r="X18" s="1377"/>
      <c r="Y18" s="3417"/>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102</v>
      </c>
      <c r="G19" s="527"/>
      <c r="H19" s="514">
        <f>SUMIF(80:80,G20,81:81)-SUMIF(80:80,C20,81:81)+100</f>
        <v>102</v>
      </c>
      <c r="I19" s="525"/>
      <c r="J19" s="514">
        <f>SUMIF(80:80,I20,81:81)-SUMIF(80:80,C20,81:81)+100</f>
        <v>102</v>
      </c>
      <c r="K19" s="805">
        <v>2</v>
      </c>
      <c r="L19" s="1861"/>
      <c r="M19" s="1854"/>
      <c r="N19" s="1854"/>
      <c r="O19" s="1860"/>
      <c r="P19" s="3417"/>
      <c r="Q19" s="1381" t="str">
        <f>B19</f>
        <v>公共配套设施</v>
      </c>
      <c r="R19" s="1382" t="s">
        <v>11</v>
      </c>
      <c r="S19" s="1383">
        <f>F19</f>
        <v>102</v>
      </c>
      <c r="T19" s="1382" t="s">
        <v>11</v>
      </c>
      <c r="U19" s="1383">
        <f>H19</f>
        <v>102</v>
      </c>
      <c r="V19" s="1382" t="s">
        <v>11</v>
      </c>
      <c r="W19" s="1383">
        <f>J19</f>
        <v>102</v>
      </c>
      <c r="X19" s="1377"/>
      <c r="Y19" s="3417"/>
      <c r="Z19" s="1384" t="str">
        <f>Q19</f>
        <v>公共配套设施</v>
      </c>
      <c r="AA19" s="1384">
        <f t="shared" si="3"/>
        <v>0.98039215686274506</v>
      </c>
      <c r="AB19" s="1384">
        <f t="shared" si="4"/>
        <v>0.98039215686274506</v>
      </c>
      <c r="AC19" s="1384">
        <f t="shared" si="5"/>
        <v>0.98039215686274506</v>
      </c>
    </row>
    <row r="20" spans="1:29" ht="15">
      <c r="A20" s="487"/>
      <c r="B20" s="549"/>
      <c r="C20" s="531" t="s">
        <v>3603</v>
      </c>
      <c r="D20" s="510"/>
      <c r="E20" s="511" t="s">
        <v>3604</v>
      </c>
      <c r="F20" s="512"/>
      <c r="G20" s="511" t="s">
        <v>3604</v>
      </c>
      <c r="H20" s="510"/>
      <c r="I20" s="511" t="s">
        <v>3604</v>
      </c>
      <c r="J20" s="510"/>
      <c r="K20" s="807"/>
      <c r="L20" s="1861"/>
      <c r="M20" s="1854"/>
      <c r="N20" s="1854"/>
      <c r="O20" s="1860"/>
      <c r="P20" s="3417"/>
      <c r="Q20" s="1381"/>
      <c r="R20" s="1382"/>
      <c r="S20" s="1383"/>
      <c r="T20" s="1382"/>
      <c r="U20" s="1383"/>
      <c r="V20" s="1382"/>
      <c r="W20" s="1383"/>
      <c r="X20" s="1377"/>
      <c r="Y20" s="3417"/>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17"/>
      <c r="Q21" s="1381" t="str">
        <f>B21</f>
        <v>基础设施水平</v>
      </c>
      <c r="R21" s="1382" t="s">
        <v>11</v>
      </c>
      <c r="S21" s="1383">
        <f>F21</f>
        <v>100</v>
      </c>
      <c r="T21" s="1382" t="s">
        <v>11</v>
      </c>
      <c r="U21" s="1383">
        <f>H21</f>
        <v>100</v>
      </c>
      <c r="V21" s="1382" t="s">
        <v>11</v>
      </c>
      <c r="W21" s="1383">
        <f>J21</f>
        <v>100</v>
      </c>
      <c r="X21" s="1377"/>
      <c r="Y21" s="3417"/>
      <c r="Z21" s="1384" t="str">
        <f>Q21</f>
        <v>基础设施水平</v>
      </c>
      <c r="AA21" s="1384">
        <f t="shared" ref="AA21" si="8">D21/F21</f>
        <v>1</v>
      </c>
      <c r="AB21" s="1384">
        <f t="shared" ref="AB21" si="9">D21/H21</f>
        <v>1</v>
      </c>
      <c r="AC21" s="1384">
        <f t="shared" ref="AC21" si="10">D21/J21</f>
        <v>1</v>
      </c>
    </row>
    <row r="22" spans="1:29" ht="15">
      <c r="A22" s="487"/>
      <c r="B22" s="850"/>
      <c r="C22" s="809" t="s">
        <v>3600</v>
      </c>
      <c r="D22" s="510"/>
      <c r="E22" s="809" t="s">
        <v>3600</v>
      </c>
      <c r="F22" s="512"/>
      <c r="G22" s="809" t="s">
        <v>3600</v>
      </c>
      <c r="H22" s="510"/>
      <c r="I22" s="809" t="s">
        <v>3600</v>
      </c>
      <c r="J22" s="510"/>
      <c r="K22" s="2211"/>
      <c r="L22" s="1861"/>
      <c r="M22" s="1854"/>
      <c r="N22" s="1854"/>
      <c r="O22" s="1860"/>
      <c r="P22" s="3417"/>
      <c r="Q22" s="1381"/>
      <c r="R22" s="1382"/>
      <c r="S22" s="1383"/>
      <c r="T22" s="1382"/>
      <c r="U22" s="1383"/>
      <c r="V22" s="1382"/>
      <c r="W22" s="1383"/>
      <c r="X22" s="1377"/>
      <c r="Y22" s="3417"/>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102</v>
      </c>
      <c r="G23" s="519"/>
      <c r="H23" s="514">
        <f>SUMIF(84:84,G24,85:85)-SUMIF(84:84,C24,85:85)+100</f>
        <v>102</v>
      </c>
      <c r="I23" s="517"/>
      <c r="J23" s="514">
        <f>SUMIF(84:84,I24,85:85)-SUMIF(84:84,C24,85:85)+100</f>
        <v>102</v>
      </c>
      <c r="K23" s="805">
        <v>2</v>
      </c>
      <c r="L23" s="1861"/>
      <c r="M23" s="1854"/>
      <c r="N23" s="1854"/>
      <c r="O23" s="1860"/>
      <c r="P23" s="3417"/>
      <c r="Q23" s="1381" t="str">
        <f>B23</f>
        <v>自然及人文环境</v>
      </c>
      <c r="R23" s="1382" t="s">
        <v>11</v>
      </c>
      <c r="S23" s="1383">
        <f>F23</f>
        <v>102</v>
      </c>
      <c r="T23" s="1382" t="s">
        <v>11</v>
      </c>
      <c r="U23" s="1383">
        <f>H23</f>
        <v>102</v>
      </c>
      <c r="V23" s="1382" t="s">
        <v>11</v>
      </c>
      <c r="W23" s="1383">
        <f>J23</f>
        <v>102</v>
      </c>
      <c r="X23" s="1377"/>
      <c r="Y23" s="3417"/>
      <c r="Z23" s="1384" t="str">
        <f>Q23</f>
        <v>自然及人文环境</v>
      </c>
      <c r="AA23" s="1384">
        <f t="shared" si="3"/>
        <v>0.98039215686274506</v>
      </c>
      <c r="AB23" s="1384">
        <f t="shared" si="4"/>
        <v>0.98039215686274506</v>
      </c>
      <c r="AC23" s="1384">
        <f t="shared" si="5"/>
        <v>0.98039215686274506</v>
      </c>
    </row>
    <row r="24" spans="1:29" ht="15.75" thickBot="1">
      <c r="A24" s="487"/>
      <c r="B24" s="549"/>
      <c r="C24" s="531" t="s">
        <v>3603</v>
      </c>
      <c r="D24" s="510"/>
      <c r="E24" s="511" t="s">
        <v>3604</v>
      </c>
      <c r="F24" s="512"/>
      <c r="G24" s="511" t="s">
        <v>3604</v>
      </c>
      <c r="H24" s="510"/>
      <c r="I24" s="511" t="s">
        <v>3604</v>
      </c>
      <c r="J24" s="510"/>
      <c r="K24" s="807"/>
      <c r="L24" s="1861"/>
      <c r="M24" s="1854"/>
      <c r="N24" s="1854"/>
      <c r="O24" s="1860"/>
      <c r="P24" s="3417"/>
      <c r="Q24" s="1381"/>
      <c r="R24" s="1382"/>
      <c r="S24" s="1383"/>
      <c r="T24" s="1382"/>
      <c r="U24" s="1383"/>
      <c r="V24" s="1382"/>
      <c r="W24" s="1383"/>
      <c r="X24" s="1377"/>
      <c r="Y24" s="3417"/>
      <c r="Z24" s="1384"/>
      <c r="AA24" s="1384">
        <v>1</v>
      </c>
      <c r="AB24" s="1384">
        <v>1</v>
      </c>
      <c r="AC24" s="1384">
        <v>1</v>
      </c>
    </row>
    <row r="25" spans="1:29" ht="15" hidden="1">
      <c r="A25" s="487"/>
      <c r="B25" s="1666" t="s">
        <v>2047</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17"/>
      <c r="Q25" s="1381" t="str">
        <f t="shared" ref="Q25:Q46" si="11">B25</f>
        <v>楼层-1</v>
      </c>
      <c r="R25" s="1382" t="s">
        <v>11</v>
      </c>
      <c r="S25" s="1383">
        <f>F25</f>
        <v>100</v>
      </c>
      <c r="T25" s="1382" t="s">
        <v>11</v>
      </c>
      <c r="U25" s="1383">
        <f>H25</f>
        <v>100</v>
      </c>
      <c r="V25" s="1382" t="s">
        <v>11</v>
      </c>
      <c r="W25" s="1383">
        <f>J25</f>
        <v>100</v>
      </c>
      <c r="X25" s="1377"/>
      <c r="Y25" s="3417"/>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17"/>
      <c r="Q26" s="1381" t="str">
        <f t="shared" si="11"/>
        <v>朝向</v>
      </c>
      <c r="R26" s="1382" t="s">
        <v>11</v>
      </c>
      <c r="S26" s="1383">
        <f>F26</f>
        <v>100</v>
      </c>
      <c r="T26" s="1382" t="s">
        <v>11</v>
      </c>
      <c r="U26" s="1383">
        <f>H26</f>
        <v>100</v>
      </c>
      <c r="V26" s="1382" t="s">
        <v>11</v>
      </c>
      <c r="W26" s="1383">
        <f>J26</f>
        <v>100</v>
      </c>
      <c r="X26" s="1377"/>
      <c r="Y26" s="3417"/>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17"/>
      <c r="Q27" s="824" t="str">
        <f t="shared" si="11"/>
        <v>道路级别</v>
      </c>
      <c r="R27" s="1378" t="s">
        <v>11</v>
      </c>
      <c r="S27" s="1379">
        <f>F27</f>
        <v>100</v>
      </c>
      <c r="T27" s="1378" t="s">
        <v>11</v>
      </c>
      <c r="U27" s="1379">
        <f>H27</f>
        <v>100</v>
      </c>
      <c r="V27" s="1378" t="s">
        <v>11</v>
      </c>
      <c r="W27" s="1379">
        <f>J27</f>
        <v>100</v>
      </c>
      <c r="X27" s="1380"/>
      <c r="Y27" s="3417"/>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17"/>
      <c r="Q28" s="1381">
        <f t="shared" si="11"/>
        <v>111</v>
      </c>
      <c r="R28" s="1382" t="s">
        <v>11</v>
      </c>
      <c r="S28" s="1383">
        <f t="shared" ref="S28:S46" si="12">F28</f>
        <v>100</v>
      </c>
      <c r="T28" s="1382" t="s">
        <v>11</v>
      </c>
      <c r="U28" s="1383">
        <f t="shared" ref="U28:U46" si="13">H28</f>
        <v>100</v>
      </c>
      <c r="V28" s="1382" t="s">
        <v>11</v>
      </c>
      <c r="W28" s="1383">
        <f t="shared" ref="W28:W46" si="14">J28</f>
        <v>100</v>
      </c>
      <c r="X28" s="1377"/>
      <c r="Y28" s="3417"/>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17"/>
      <c r="Q29" s="1381">
        <f t="shared" si="11"/>
        <v>111</v>
      </c>
      <c r="R29" s="1382" t="s">
        <v>11</v>
      </c>
      <c r="S29" s="1383">
        <f t="shared" si="12"/>
        <v>100</v>
      </c>
      <c r="T29" s="1382" t="s">
        <v>11</v>
      </c>
      <c r="U29" s="1383">
        <f t="shared" si="13"/>
        <v>100</v>
      </c>
      <c r="V29" s="1382" t="s">
        <v>11</v>
      </c>
      <c r="W29" s="1383">
        <f t="shared" si="14"/>
        <v>100</v>
      </c>
      <c r="X29" s="1377"/>
      <c r="Y29" s="3417"/>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17"/>
      <c r="Q30" s="1381">
        <f t="shared" si="11"/>
        <v>111</v>
      </c>
      <c r="R30" s="1382" t="s">
        <v>11</v>
      </c>
      <c r="S30" s="1383">
        <f t="shared" si="12"/>
        <v>100</v>
      </c>
      <c r="T30" s="1382" t="s">
        <v>11</v>
      </c>
      <c r="U30" s="1383">
        <f t="shared" si="13"/>
        <v>100</v>
      </c>
      <c r="V30" s="1382" t="s">
        <v>11</v>
      </c>
      <c r="W30" s="1383">
        <f t="shared" si="14"/>
        <v>100</v>
      </c>
      <c r="X30" s="1377"/>
      <c r="Y30" s="3417"/>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17"/>
      <c r="Q31" s="1381">
        <f t="shared" si="11"/>
        <v>111</v>
      </c>
      <c r="R31" s="1382" t="s">
        <v>11</v>
      </c>
      <c r="S31" s="1383">
        <f t="shared" si="12"/>
        <v>100</v>
      </c>
      <c r="T31" s="1382" t="s">
        <v>11</v>
      </c>
      <c r="U31" s="1383">
        <f t="shared" si="13"/>
        <v>100</v>
      </c>
      <c r="V31" s="1382" t="s">
        <v>11</v>
      </c>
      <c r="W31" s="1383">
        <f t="shared" si="14"/>
        <v>100</v>
      </c>
      <c r="X31" s="1377"/>
      <c r="Y31" s="3417"/>
      <c r="Z31" s="1384">
        <f t="shared" si="15"/>
        <v>111</v>
      </c>
      <c r="AA31" s="1384">
        <f t="shared" si="3"/>
        <v>1</v>
      </c>
      <c r="AB31" s="1384">
        <f t="shared" si="4"/>
        <v>1</v>
      </c>
      <c r="AC31" s="1384">
        <f t="shared" si="5"/>
        <v>1</v>
      </c>
    </row>
    <row r="32" spans="1:29" ht="15">
      <c r="A32" s="2357" t="s">
        <v>2470</v>
      </c>
      <c r="B32" s="161" t="s">
        <v>707</v>
      </c>
      <c r="C32" s="811" t="s">
        <v>3733</v>
      </c>
      <c r="D32" s="551">
        <v>100</v>
      </c>
      <c r="E32" s="811" t="s">
        <v>3733</v>
      </c>
      <c r="F32" s="530">
        <f>SUMIF(100:100,E32,101:101)-SUMIF(100:100,C32,101:101)+100</f>
        <v>100</v>
      </c>
      <c r="G32" s="811" t="s">
        <v>3733</v>
      </c>
      <c r="H32" s="551">
        <f>SUMIF(100:100,G32,101:101)-SUMIF(100:100,C32,101:101)+100</f>
        <v>100</v>
      </c>
      <c r="I32" s="811" t="s">
        <v>3733</v>
      </c>
      <c r="J32" s="495">
        <f>SUMIF(100:100,I32,101:101)-SUMIF(100:100,C32,101:101)+100</f>
        <v>100</v>
      </c>
      <c r="K32" s="801">
        <v>5</v>
      </c>
      <c r="L32" s="1861"/>
      <c r="M32" s="1854"/>
      <c r="N32" s="1854"/>
      <c r="O32" s="1860"/>
      <c r="P32" s="3418" t="s">
        <v>533</v>
      </c>
      <c r="Q32" s="1381" t="str">
        <f t="shared" si="11"/>
        <v>建筑类型</v>
      </c>
      <c r="R32" s="1382" t="s">
        <v>11</v>
      </c>
      <c r="S32" s="1383">
        <f t="shared" si="12"/>
        <v>100</v>
      </c>
      <c r="T32" s="1382" t="s">
        <v>11</v>
      </c>
      <c r="U32" s="1383">
        <f t="shared" si="13"/>
        <v>100</v>
      </c>
      <c r="V32" s="1382" t="s">
        <v>11</v>
      </c>
      <c r="W32" s="1383">
        <f t="shared" si="14"/>
        <v>100</v>
      </c>
      <c r="X32" s="1377"/>
      <c r="Y32" s="3419" t="s">
        <v>533</v>
      </c>
      <c r="Z32" s="1384" t="str">
        <f t="shared" si="15"/>
        <v>建筑类型</v>
      </c>
      <c r="AA32" s="1384">
        <f t="shared" si="3"/>
        <v>1</v>
      </c>
      <c r="AB32" s="1384">
        <f t="shared" si="4"/>
        <v>1</v>
      </c>
      <c r="AC32" s="1384">
        <f t="shared" si="5"/>
        <v>1</v>
      </c>
    </row>
    <row r="33" spans="1:29" s="1180" customFormat="1" ht="15">
      <c r="A33" s="557"/>
      <c r="B33" s="482" t="s">
        <v>708</v>
      </c>
      <c r="C33" s="812">
        <f>'数据-汇总表'!E3</f>
        <v>139768.29999999999</v>
      </c>
      <c r="D33" s="240">
        <v>100</v>
      </c>
      <c r="E33" s="489">
        <v>173000</v>
      </c>
      <c r="F33" s="482">
        <f>LOOKUP(E33,103:103,104:104)-LOOKUP(C33,103:103,104:104)+100</f>
        <v>100</v>
      </c>
      <c r="G33" s="488">
        <v>300000</v>
      </c>
      <c r="H33" s="240">
        <f>LOOKUP(G33,103:103,104:104)-LOOKUP(C33,103:103,104:104)+100</f>
        <v>102</v>
      </c>
      <c r="I33" s="489">
        <v>300000</v>
      </c>
      <c r="J33" s="240">
        <f>LOOKUP(I33,103:103,104:104)-LOOKUP(C33,103:103,104:104)+100</f>
        <v>102</v>
      </c>
      <c r="K33" s="802"/>
      <c r="L33" s="1859"/>
      <c r="M33" s="1883"/>
      <c r="N33" s="1883"/>
      <c r="O33" s="1862"/>
      <c r="P33" s="3419"/>
      <c r="Q33" s="825" t="str">
        <f t="shared" si="11"/>
        <v>项目建筑规模</v>
      </c>
      <c r="R33" s="1385" t="s">
        <v>11</v>
      </c>
      <c r="S33" s="1386">
        <f t="shared" si="12"/>
        <v>100</v>
      </c>
      <c r="T33" s="1385" t="s">
        <v>11</v>
      </c>
      <c r="U33" s="1386">
        <f t="shared" si="13"/>
        <v>102</v>
      </c>
      <c r="V33" s="1385" t="s">
        <v>11</v>
      </c>
      <c r="W33" s="1386">
        <f t="shared" si="14"/>
        <v>102</v>
      </c>
      <c r="X33" s="1387"/>
      <c r="Y33" s="3419"/>
      <c r="Z33" s="1388" t="str">
        <f t="shared" si="15"/>
        <v>项目建筑规模</v>
      </c>
      <c r="AA33" s="1384">
        <f t="shared" si="3"/>
        <v>1</v>
      </c>
      <c r="AB33" s="1384">
        <f t="shared" si="4"/>
        <v>0.98039215686274506</v>
      </c>
      <c r="AC33" s="1384">
        <f t="shared" si="5"/>
        <v>0.98039215686274506</v>
      </c>
    </row>
    <row r="34" spans="1:29" ht="15">
      <c r="A34" s="548"/>
      <c r="B34" s="482" t="s">
        <v>709</v>
      </c>
      <c r="C34" s="529" t="s">
        <v>3158</v>
      </c>
      <c r="D34" s="495">
        <v>100</v>
      </c>
      <c r="E34" s="529" t="s">
        <v>3158</v>
      </c>
      <c r="F34" s="530">
        <f>SUMIF(105:105,E34,106:106)-SUMIF(105:105,C34,106:106)+100</f>
        <v>100</v>
      </c>
      <c r="G34" s="529" t="s">
        <v>3158</v>
      </c>
      <c r="H34" s="495">
        <f>SUMIF(105:105,G34,106:106)-SUMIF(105:105,C34,106:106)+100</f>
        <v>100</v>
      </c>
      <c r="I34" s="529" t="s">
        <v>3158</v>
      </c>
      <c r="J34" s="495">
        <f>SUMIF(105:105,I34,106:106)-SUMIF(105:105,C34,106:106)+100</f>
        <v>100</v>
      </c>
      <c r="K34" s="801">
        <v>1</v>
      </c>
      <c r="L34" s="1861"/>
      <c r="M34" s="1854"/>
      <c r="N34" s="1854"/>
      <c r="O34" s="1860"/>
      <c r="P34" s="3419"/>
      <c r="Q34" s="1381" t="str">
        <f t="shared" si="11"/>
        <v>建筑结构</v>
      </c>
      <c r="R34" s="1382" t="s">
        <v>11</v>
      </c>
      <c r="S34" s="1383">
        <f t="shared" si="12"/>
        <v>100</v>
      </c>
      <c r="T34" s="1382" t="s">
        <v>11</v>
      </c>
      <c r="U34" s="1383">
        <f t="shared" si="13"/>
        <v>100</v>
      </c>
      <c r="V34" s="1382" t="s">
        <v>11</v>
      </c>
      <c r="W34" s="1383">
        <f t="shared" si="14"/>
        <v>100</v>
      </c>
      <c r="X34" s="1377"/>
      <c r="Y34" s="3419"/>
      <c r="Z34" s="1384" t="str">
        <f t="shared" si="15"/>
        <v>建筑结构</v>
      </c>
      <c r="AA34" s="1384">
        <f t="shared" si="3"/>
        <v>1</v>
      </c>
      <c r="AB34" s="1384">
        <f t="shared" si="4"/>
        <v>1</v>
      </c>
      <c r="AC34" s="1384">
        <f t="shared" si="5"/>
        <v>1</v>
      </c>
    </row>
    <row r="35" spans="1:29" ht="15">
      <c r="A35" s="548"/>
      <c r="B35" s="482" t="s">
        <v>710</v>
      </c>
      <c r="C35" s="553" t="s">
        <v>3770</v>
      </c>
      <c r="D35" s="495">
        <v>100</v>
      </c>
      <c r="E35" s="553" t="s">
        <v>3770</v>
      </c>
      <c r="F35" s="530">
        <f>SUMIF(107:107,E35,108:108)-SUMIF(107:107,C35,108:108)+100</f>
        <v>100</v>
      </c>
      <c r="G35" s="553" t="s">
        <v>3770</v>
      </c>
      <c r="H35" s="495">
        <f>SUMIF(107:107,G35,108:108)-SUMIF(107:107,C35,108:108)+100</f>
        <v>100</v>
      </c>
      <c r="I35" s="553" t="s">
        <v>3768</v>
      </c>
      <c r="J35" s="495">
        <f>SUMIF(107:107,I35,108:108)-SUMIF(107:107,C35,108:108)+100</f>
        <v>103</v>
      </c>
      <c r="K35" s="801">
        <v>3</v>
      </c>
      <c r="L35" s="1861"/>
      <c r="M35" s="1854"/>
      <c r="N35" s="1854"/>
      <c r="O35" s="1860"/>
      <c r="P35" s="3419"/>
      <c r="Q35" s="1381" t="str">
        <f t="shared" si="11"/>
        <v>建筑品质</v>
      </c>
      <c r="R35" s="1382" t="s">
        <v>11</v>
      </c>
      <c r="S35" s="1383">
        <f t="shared" si="12"/>
        <v>100</v>
      </c>
      <c r="T35" s="1382" t="s">
        <v>11</v>
      </c>
      <c r="U35" s="1383">
        <f t="shared" si="13"/>
        <v>100</v>
      </c>
      <c r="V35" s="1382" t="s">
        <v>11</v>
      </c>
      <c r="W35" s="1383">
        <f t="shared" si="14"/>
        <v>103</v>
      </c>
      <c r="X35" s="1377"/>
      <c r="Y35" s="3419"/>
      <c r="Z35" s="1384" t="str">
        <f t="shared" si="15"/>
        <v>建筑品质</v>
      </c>
      <c r="AA35" s="1384">
        <f t="shared" si="3"/>
        <v>1</v>
      </c>
      <c r="AB35" s="1384">
        <f t="shared" si="4"/>
        <v>1</v>
      </c>
      <c r="AC35" s="1384">
        <f t="shared" si="5"/>
        <v>0.970873786407767</v>
      </c>
    </row>
    <row r="36" spans="1:29" ht="15">
      <c r="A36" s="548"/>
      <c r="B36" s="482" t="s">
        <v>711</v>
      </c>
      <c r="C36" s="553" t="s">
        <v>3736</v>
      </c>
      <c r="D36" s="495">
        <v>100</v>
      </c>
      <c r="E36" s="553" t="s">
        <v>3736</v>
      </c>
      <c r="F36" s="530">
        <f>SUMIF(109:109,E36,110:110)-SUMIF(109:109,C36,110:110)+100</f>
        <v>100</v>
      </c>
      <c r="G36" s="553" t="s">
        <v>3736</v>
      </c>
      <c r="H36" s="495">
        <f>SUMIF(109:109,G36,110:110)-SUMIF(109:109,C36,110:110)+100</f>
        <v>100</v>
      </c>
      <c r="I36" s="553" t="s">
        <v>3736</v>
      </c>
      <c r="J36" s="495">
        <f>SUMIF(109:109,I36,110:110)-SUMIF(109:109,C36,110:110)+100</f>
        <v>100</v>
      </c>
      <c r="K36" s="801">
        <v>2</v>
      </c>
      <c r="L36" s="1861"/>
      <c r="M36" s="1854"/>
      <c r="N36" s="1854"/>
      <c r="O36" s="1860"/>
      <c r="P36" s="3419"/>
      <c r="Q36" s="1381" t="str">
        <f t="shared" si="11"/>
        <v>公共部分装修</v>
      </c>
      <c r="R36" s="1382" t="s">
        <v>11</v>
      </c>
      <c r="S36" s="1383">
        <f t="shared" si="12"/>
        <v>100</v>
      </c>
      <c r="T36" s="1382" t="s">
        <v>11</v>
      </c>
      <c r="U36" s="1383">
        <f t="shared" si="13"/>
        <v>100</v>
      </c>
      <c r="V36" s="1382" t="s">
        <v>11</v>
      </c>
      <c r="W36" s="1383">
        <f t="shared" si="14"/>
        <v>100</v>
      </c>
      <c r="X36" s="1377"/>
      <c r="Y36" s="3419"/>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19"/>
      <c r="Q37" s="824" t="str">
        <f t="shared" si="11"/>
        <v>成新度</v>
      </c>
      <c r="R37" s="1378" t="s">
        <v>11</v>
      </c>
      <c r="S37" s="1379">
        <f t="shared" si="12"/>
        <v>100</v>
      </c>
      <c r="T37" s="1378" t="s">
        <v>11</v>
      </c>
      <c r="U37" s="1379">
        <f t="shared" si="13"/>
        <v>100</v>
      </c>
      <c r="V37" s="1378" t="s">
        <v>11</v>
      </c>
      <c r="W37" s="1379">
        <f t="shared" si="14"/>
        <v>100</v>
      </c>
      <c r="X37" s="1380"/>
      <c r="Y37" s="3419"/>
      <c r="Z37" s="1042" t="str">
        <f t="shared" si="15"/>
        <v>成新度</v>
      </c>
      <c r="AA37" s="1042">
        <f t="shared" si="3"/>
        <v>1</v>
      </c>
      <c r="AB37" s="1042">
        <f t="shared" si="4"/>
        <v>1</v>
      </c>
      <c r="AC37" s="1042">
        <f t="shared" si="5"/>
        <v>1</v>
      </c>
    </row>
    <row r="38" spans="1:29" ht="15">
      <c r="A38" s="548"/>
      <c r="B38" s="482" t="s">
        <v>713</v>
      </c>
      <c r="C38" s="553" t="s">
        <v>3742</v>
      </c>
      <c r="D38" s="495">
        <v>100</v>
      </c>
      <c r="E38" s="553" t="s">
        <v>3742</v>
      </c>
      <c r="F38" s="530">
        <f>SUMIF(114:114,E38,115:115)-SUMIF(114:114,C38,115:115)+100</f>
        <v>100</v>
      </c>
      <c r="G38" s="553" t="s">
        <v>3742</v>
      </c>
      <c r="H38" s="495">
        <f>SUMIF(114:114,G38,115:115)-SUMIF(114:114,C38,115:115)+100</f>
        <v>100</v>
      </c>
      <c r="I38" s="553" t="s">
        <v>3742</v>
      </c>
      <c r="J38" s="495">
        <f>SUMIF(114:114,I38,115:115)-SUMIF(114:114,C38,115:115)+100</f>
        <v>100</v>
      </c>
      <c r="K38" s="801">
        <v>1</v>
      </c>
      <c r="L38" s="1861"/>
      <c r="M38" s="1854"/>
      <c r="N38" s="1854"/>
      <c r="O38" s="1860"/>
      <c r="P38" s="3419" t="s">
        <v>533</v>
      </c>
      <c r="Q38" s="1381" t="str">
        <f t="shared" si="11"/>
        <v>物业管理</v>
      </c>
      <c r="R38" s="1382" t="s">
        <v>11</v>
      </c>
      <c r="S38" s="1383">
        <f t="shared" si="12"/>
        <v>100</v>
      </c>
      <c r="T38" s="1382" t="s">
        <v>11</v>
      </c>
      <c r="U38" s="1383">
        <f t="shared" si="13"/>
        <v>100</v>
      </c>
      <c r="V38" s="1382" t="s">
        <v>11</v>
      </c>
      <c r="W38" s="1383">
        <f t="shared" si="14"/>
        <v>100</v>
      </c>
      <c r="X38" s="1377"/>
      <c r="Y38" s="3419" t="s">
        <v>533</v>
      </c>
      <c r="Z38" s="1384" t="str">
        <f t="shared" si="15"/>
        <v>物业管理</v>
      </c>
      <c r="AA38" s="1384">
        <f t="shared" si="3"/>
        <v>1</v>
      </c>
      <c r="AB38" s="1384">
        <f t="shared" si="4"/>
        <v>1</v>
      </c>
      <c r="AC38" s="1384">
        <f t="shared" si="5"/>
        <v>1</v>
      </c>
    </row>
    <row r="39" spans="1:29" ht="15">
      <c r="A39" s="548"/>
      <c r="B39" s="1666" t="s">
        <v>2281</v>
      </c>
      <c r="C39" s="553" t="s">
        <v>3600</v>
      </c>
      <c r="D39" s="495">
        <v>100</v>
      </c>
      <c r="E39" s="553" t="s">
        <v>3600</v>
      </c>
      <c r="F39" s="530">
        <f>SUMIF(116:116,E39,117:117)-SUMIF(116:116,C39,117:117)+100</f>
        <v>100</v>
      </c>
      <c r="G39" s="553" t="s">
        <v>3600</v>
      </c>
      <c r="H39" s="495">
        <f>SUMIF(116:116,G39,117:117)-SUMIF(116:116,C39,117:117)+100</f>
        <v>100</v>
      </c>
      <c r="I39" s="553" t="s">
        <v>3600</v>
      </c>
      <c r="J39" s="495">
        <f>SUMIF(116:116,I39,117:117)-SUMIF(116:116,C39,117:117)+100</f>
        <v>100</v>
      </c>
      <c r="K39" s="801">
        <v>1</v>
      </c>
      <c r="L39" s="1861"/>
      <c r="M39" s="1854"/>
      <c r="N39" s="1854"/>
      <c r="O39" s="1860"/>
      <c r="P39" s="3419"/>
      <c r="Q39" s="1381" t="str">
        <f t="shared" si="11"/>
        <v>市政基础设施</v>
      </c>
      <c r="R39" s="1382" t="s">
        <v>11</v>
      </c>
      <c r="S39" s="1383">
        <f t="shared" si="12"/>
        <v>100</v>
      </c>
      <c r="T39" s="1382" t="s">
        <v>11</v>
      </c>
      <c r="U39" s="1383">
        <f t="shared" si="13"/>
        <v>100</v>
      </c>
      <c r="V39" s="1382" t="s">
        <v>11</v>
      </c>
      <c r="W39" s="1383">
        <f t="shared" si="14"/>
        <v>100</v>
      </c>
      <c r="X39" s="1377"/>
      <c r="Y39" s="3419"/>
      <c r="Z39" s="1384" t="str">
        <f t="shared" si="15"/>
        <v>市政基础设施</v>
      </c>
      <c r="AA39" s="1384">
        <f t="shared" si="3"/>
        <v>1</v>
      </c>
      <c r="AB39" s="1384">
        <f t="shared" si="4"/>
        <v>1</v>
      </c>
      <c r="AC39" s="1384">
        <f t="shared" si="5"/>
        <v>1</v>
      </c>
    </row>
    <row r="40" spans="1:29" ht="15" hidden="1">
      <c r="A40" s="548"/>
      <c r="B40" s="482" t="s">
        <v>714</v>
      </c>
      <c r="C40" s="553"/>
      <c r="D40" s="495">
        <v>100</v>
      </c>
      <c r="E40" s="553"/>
      <c r="F40" s="530">
        <f>SUMIF(118:118,E40,119:119)-SUMIF(118:118,C40,119:119)+100</f>
        <v>100</v>
      </c>
      <c r="G40" s="553"/>
      <c r="H40" s="495">
        <f>SUMIF(118:118,G40,119:119)-SUMIF(118:118,C40,119:119)+100</f>
        <v>100</v>
      </c>
      <c r="I40" s="553"/>
      <c r="J40" s="495">
        <f>SUMIF(118:118,I40,119:119)-SUMIF(118:118,C40,119:119)+100</f>
        <v>100</v>
      </c>
      <c r="K40" s="801"/>
      <c r="L40" s="1861"/>
      <c r="M40" s="1854"/>
      <c r="N40" s="1854"/>
      <c r="O40" s="1860"/>
      <c r="P40" s="3419"/>
      <c r="Q40" s="1381" t="str">
        <f t="shared" si="11"/>
        <v>房型</v>
      </c>
      <c r="R40" s="1382" t="s">
        <v>11</v>
      </c>
      <c r="S40" s="1383">
        <f t="shared" si="12"/>
        <v>100</v>
      </c>
      <c r="T40" s="1382" t="s">
        <v>11</v>
      </c>
      <c r="U40" s="1383">
        <f t="shared" si="13"/>
        <v>100</v>
      </c>
      <c r="V40" s="1382" t="s">
        <v>11</v>
      </c>
      <c r="W40" s="1383">
        <f t="shared" si="14"/>
        <v>100</v>
      </c>
      <c r="X40" s="1377"/>
      <c r="Y40" s="3419"/>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19"/>
      <c r="Q41" s="825" t="str">
        <f t="shared" si="11"/>
        <v>单套/主力户型建筑面积</v>
      </c>
      <c r="R41" s="1385" t="s">
        <v>11</v>
      </c>
      <c r="S41" s="1386">
        <f t="shared" si="12"/>
        <v>100</v>
      </c>
      <c r="T41" s="1385" t="s">
        <v>11</v>
      </c>
      <c r="U41" s="1386">
        <f t="shared" si="13"/>
        <v>100</v>
      </c>
      <c r="V41" s="1385" t="s">
        <v>11</v>
      </c>
      <c r="W41" s="1386">
        <f t="shared" si="14"/>
        <v>100</v>
      </c>
      <c r="X41" s="1387"/>
      <c r="Y41" s="3419"/>
      <c r="Z41" s="1388" t="str">
        <f t="shared" si="15"/>
        <v>单套/主力户型建筑面积</v>
      </c>
      <c r="AA41" s="1384">
        <f t="shared" si="3"/>
        <v>1</v>
      </c>
      <c r="AB41" s="1384">
        <f t="shared" si="4"/>
        <v>1</v>
      </c>
      <c r="AC41" s="1384">
        <f t="shared" si="5"/>
        <v>1</v>
      </c>
    </row>
    <row r="42" spans="1:29" ht="15">
      <c r="A42" s="548"/>
      <c r="B42" s="482" t="s">
        <v>716</v>
      </c>
      <c r="C42" s="553" t="s">
        <v>3740</v>
      </c>
      <c r="D42" s="495">
        <v>100</v>
      </c>
      <c r="E42" s="553" t="s">
        <v>3740</v>
      </c>
      <c r="F42" s="530">
        <f>SUMIF(122:122,E42,123:123)-SUMIF(122:122,C42,123:123)+100</f>
        <v>100</v>
      </c>
      <c r="G42" s="553" t="s">
        <v>3740</v>
      </c>
      <c r="H42" s="495">
        <f>SUMIF(122:122,G42,123:123)-SUMIF(122:122,C42,123:123)+100</f>
        <v>100</v>
      </c>
      <c r="I42" s="553" t="s">
        <v>3740</v>
      </c>
      <c r="J42" s="495">
        <f>SUMIF(122:122,I42,123:123)-SUMIF(122:122,C42,123:123)+100</f>
        <v>100</v>
      </c>
      <c r="K42" s="801">
        <v>2</v>
      </c>
      <c r="L42" s="1861"/>
      <c r="M42" s="1854"/>
      <c r="N42" s="1854"/>
      <c r="O42" s="1860"/>
      <c r="P42" s="3419"/>
      <c r="Q42" s="1381" t="str">
        <f t="shared" si="11"/>
        <v>内部装修</v>
      </c>
      <c r="R42" s="1382" t="s">
        <v>11</v>
      </c>
      <c r="S42" s="1383">
        <f t="shared" si="12"/>
        <v>100</v>
      </c>
      <c r="T42" s="1382" t="s">
        <v>11</v>
      </c>
      <c r="U42" s="1383">
        <f t="shared" si="13"/>
        <v>100</v>
      </c>
      <c r="V42" s="1382" t="s">
        <v>11</v>
      </c>
      <c r="W42" s="1383">
        <f t="shared" si="14"/>
        <v>100</v>
      </c>
      <c r="X42" s="1377"/>
      <c r="Y42" s="3419"/>
      <c r="Z42" s="1384" t="str">
        <f t="shared" si="15"/>
        <v>内部装修</v>
      </c>
      <c r="AA42" s="1384">
        <f t="shared" si="3"/>
        <v>1</v>
      </c>
      <c r="AB42" s="1384">
        <f t="shared" si="4"/>
        <v>1</v>
      </c>
      <c r="AC42" s="1384">
        <f t="shared" si="5"/>
        <v>1</v>
      </c>
    </row>
    <row r="43" spans="1:29" ht="27">
      <c r="A43" s="548"/>
      <c r="B43" s="482" t="s">
        <v>717</v>
      </c>
      <c r="C43" s="553" t="s">
        <v>3601</v>
      </c>
      <c r="D43" s="495">
        <v>100</v>
      </c>
      <c r="E43" s="553" t="s">
        <v>3601</v>
      </c>
      <c r="F43" s="530">
        <f>SUMIF(124:124,E43,125:125)-SUMIF(124:124,C43,125:125)+100</f>
        <v>100</v>
      </c>
      <c r="G43" s="553" t="s">
        <v>3601</v>
      </c>
      <c r="H43" s="495">
        <f>SUMIF(124:124,G43,125:125)-SUMIF(124:124,C43,125:125)+100</f>
        <v>100</v>
      </c>
      <c r="I43" s="553" t="s">
        <v>3601</v>
      </c>
      <c r="J43" s="495">
        <f>SUMIF(124:124,I43,125:125)-SUMIF(124:124,C43,125:125)+100</f>
        <v>100</v>
      </c>
      <c r="K43" s="801">
        <v>1</v>
      </c>
      <c r="L43" s="1861"/>
      <c r="M43" s="1854"/>
      <c r="N43" s="1854"/>
      <c r="O43" s="1860"/>
      <c r="P43" s="3419"/>
      <c r="Q43" s="1381" t="str">
        <f t="shared" si="11"/>
        <v>内部装修维护情况</v>
      </c>
      <c r="R43" s="1382" t="s">
        <v>11</v>
      </c>
      <c r="S43" s="1383">
        <f t="shared" si="12"/>
        <v>100</v>
      </c>
      <c r="T43" s="1382" t="s">
        <v>11</v>
      </c>
      <c r="U43" s="1383">
        <f t="shared" si="13"/>
        <v>100</v>
      </c>
      <c r="V43" s="1382" t="s">
        <v>11</v>
      </c>
      <c r="W43" s="1383">
        <f t="shared" si="14"/>
        <v>100</v>
      </c>
      <c r="X43" s="1377"/>
      <c r="Y43" s="3419"/>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19"/>
      <c r="Q44" s="824">
        <f t="shared" si="11"/>
        <v>111</v>
      </c>
      <c r="R44" s="1378" t="s">
        <v>11</v>
      </c>
      <c r="S44" s="1379">
        <f t="shared" si="12"/>
        <v>100</v>
      </c>
      <c r="T44" s="1378" t="s">
        <v>11</v>
      </c>
      <c r="U44" s="1379">
        <f t="shared" si="13"/>
        <v>100</v>
      </c>
      <c r="V44" s="1378" t="s">
        <v>11</v>
      </c>
      <c r="W44" s="1379">
        <f t="shared" si="14"/>
        <v>100</v>
      </c>
      <c r="X44" s="1380"/>
      <c r="Y44" s="3419"/>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19"/>
      <c r="Q45" s="1381">
        <f t="shared" si="11"/>
        <v>111</v>
      </c>
      <c r="R45" s="1382" t="s">
        <v>11</v>
      </c>
      <c r="S45" s="1383">
        <f t="shared" si="12"/>
        <v>100</v>
      </c>
      <c r="T45" s="1382" t="s">
        <v>11</v>
      </c>
      <c r="U45" s="1383">
        <f t="shared" si="13"/>
        <v>100</v>
      </c>
      <c r="V45" s="1382" t="s">
        <v>11</v>
      </c>
      <c r="W45" s="1383">
        <f t="shared" si="14"/>
        <v>100</v>
      </c>
      <c r="X45" s="1377"/>
      <c r="Y45" s="3419"/>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15"/>
      <c r="Q46" s="1381">
        <f t="shared" si="11"/>
        <v>111</v>
      </c>
      <c r="R46" s="1382" t="s">
        <v>10</v>
      </c>
      <c r="S46" s="1383">
        <f t="shared" si="12"/>
        <v>100</v>
      </c>
      <c r="T46" s="1382" t="s">
        <v>10</v>
      </c>
      <c r="U46" s="1383">
        <f t="shared" si="13"/>
        <v>100</v>
      </c>
      <c r="V46" s="1382" t="s">
        <v>10</v>
      </c>
      <c r="W46" s="1383">
        <f t="shared" si="14"/>
        <v>100</v>
      </c>
      <c r="X46" s="1377"/>
      <c r="Y46" s="3515"/>
      <c r="Z46" s="1384">
        <f t="shared" si="15"/>
        <v>111</v>
      </c>
      <c r="AA46" s="1384">
        <f t="shared" si="3"/>
        <v>1</v>
      </c>
      <c r="AB46" s="1384">
        <f t="shared" si="4"/>
        <v>1</v>
      </c>
      <c r="AC46" s="1384">
        <f t="shared" si="5"/>
        <v>1</v>
      </c>
    </row>
    <row r="47" spans="1:29" ht="15">
      <c r="A47" s="561" t="s">
        <v>718</v>
      </c>
      <c r="B47" s="818"/>
      <c r="C47" s="2234" t="s">
        <v>9</v>
      </c>
      <c r="D47" s="564"/>
      <c r="E47" s="565">
        <v>6800</v>
      </c>
      <c r="F47" s="566"/>
      <c r="G47" s="567">
        <v>6700</v>
      </c>
      <c r="H47" s="568"/>
      <c r="I47" s="565">
        <v>7100</v>
      </c>
      <c r="J47" s="568"/>
      <c r="K47" s="1406"/>
      <c r="L47" s="1863"/>
      <c r="M47" s="1854"/>
      <c r="N47" s="1854"/>
      <c r="O47" s="1854"/>
      <c r="P47" s="3414" t="str">
        <f>A47</f>
        <v>成交单价（元/平方米）</v>
      </c>
      <c r="Q47" s="3414"/>
      <c r="R47" s="3430">
        <f>E47</f>
        <v>6800</v>
      </c>
      <c r="S47" s="3430"/>
      <c r="T47" s="3430">
        <f>G47</f>
        <v>6700</v>
      </c>
      <c r="U47" s="3430"/>
      <c r="V47" s="3430">
        <f>I47</f>
        <v>7100</v>
      </c>
      <c r="W47" s="3430"/>
      <c r="X47" s="806"/>
      <c r="Y47" s="1389"/>
      <c r="Z47" s="806"/>
      <c r="AA47" s="806"/>
      <c r="AB47" s="806"/>
      <c r="AC47" s="806"/>
    </row>
    <row r="48" spans="1:29" ht="15.75" thickBot="1">
      <c r="A48" s="569" t="s">
        <v>2475</v>
      </c>
      <c r="B48" s="819"/>
      <c r="C48" s="2235">
        <f>R49</f>
        <v>6198</v>
      </c>
      <c r="D48" s="2709" t="s">
        <v>2698</v>
      </c>
      <c r="E48" s="2236">
        <f>R48</f>
        <v>6282</v>
      </c>
      <c r="F48" s="2710"/>
      <c r="G48" s="2235">
        <f>T48</f>
        <v>6068</v>
      </c>
      <c r="H48" s="2710"/>
      <c r="I48" s="2236">
        <f>V48</f>
        <v>6243</v>
      </c>
      <c r="J48" s="2710"/>
      <c r="K48" s="2717">
        <f>F48+H48+J48</f>
        <v>0</v>
      </c>
      <c r="L48" s="1863"/>
      <c r="M48" s="1854"/>
      <c r="N48" s="1854"/>
      <c r="O48" s="1854"/>
      <c r="P48" s="3414" t="str">
        <f>A48</f>
        <v>比较价格（元/平方米）</v>
      </c>
      <c r="Q48" s="3414"/>
      <c r="R48" s="3430">
        <f>IF(F1="售价",ROUND(PRODUCT(R47,AA7:AA46),0),ROUND(PRODUCT(R47,AA7:AA46),1))</f>
        <v>6282</v>
      </c>
      <c r="S48" s="3430"/>
      <c r="T48" s="3430">
        <f>IF(F1="售价",ROUND(PRODUCT(T47,AB7:AB46),0),ROUND(PRODUCT(T47,AB7:AB46),1))</f>
        <v>6068</v>
      </c>
      <c r="U48" s="3430"/>
      <c r="V48" s="3430">
        <f>IF(F1="售价",ROUND(PRODUCT(V47,AC7:AC46),0),ROUND(PRODUCT(V47,AC7:AC46),1))</f>
        <v>6243</v>
      </c>
      <c r="W48" s="3430"/>
      <c r="X48" s="806"/>
      <c r="Y48" s="806"/>
      <c r="Z48" s="806"/>
      <c r="AA48" s="806"/>
      <c r="AB48" s="806"/>
      <c r="AC48" s="806"/>
    </row>
    <row r="49" spans="1:29" ht="15.75" thickBot="1">
      <c r="A49" s="573" t="s">
        <v>2633</v>
      </c>
      <c r="B49" s="574"/>
      <c r="C49" s="474">
        <f>R49</f>
        <v>6198</v>
      </c>
      <c r="D49" s="474"/>
      <c r="E49" s="474"/>
      <c r="F49" s="474"/>
      <c r="G49" s="474"/>
      <c r="H49" s="474"/>
      <c r="I49" s="474"/>
      <c r="J49" s="474"/>
      <c r="K49" s="1407"/>
      <c r="L49" s="1863"/>
      <c r="M49" s="1854"/>
      <c r="N49" s="1854"/>
      <c r="O49" s="1854"/>
      <c r="P49" s="3420" t="str">
        <f>A49</f>
        <v>估价对象XX用房的比较价格（楼面单价，元/平方米）</v>
      </c>
      <c r="Q49" s="3421"/>
      <c r="R49" s="3514">
        <f>IF(F1="售价",ROUND(IF(D48="简单平均",AVERAGE(R48:V48),R48*F48+T48*H48+V48*J48),0),ROUND(IF(D48="简单平均",AVERAGE(R48:V48),R48*F48+T48*H48+V48*J48),1))</f>
        <v>6198</v>
      </c>
      <c r="S49" s="3514"/>
      <c r="T49" s="3514"/>
      <c r="U49" s="3514"/>
      <c r="V49" s="3514"/>
      <c r="W49" s="3514"/>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8.245781598217139E-2</v>
      </c>
      <c r="F52" s="579" t="str">
        <f>IF(OR(E52&gt;=0.3,E52&lt;=-0.3),"超过30%","")</f>
        <v/>
      </c>
      <c r="G52" s="578">
        <f>IF(G47&lt;G48,G48/G47-1,G47/G48-1)</f>
        <v>0.10415293342122611</v>
      </c>
      <c r="H52" s="579" t="str">
        <f>IF(OR(G52&gt;=0.3,G52&lt;=-0.3),"超过30%","")</f>
        <v/>
      </c>
      <c r="I52" s="578">
        <f>IF(I47&lt;I48,I48/I47-1,I47/I48-1)</f>
        <v>0.13727374659618774</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3.5266974291364495E-2</v>
      </c>
      <c r="F53" s="579" t="str">
        <f>IF(OR(E53&gt;=0.2,E53&lt;=-0.2),"超过20%","")</f>
        <v/>
      </c>
      <c r="G53" s="578">
        <f>IF(G48&lt;I48,I48/G48-1,G48/I48-1)</f>
        <v>2.8839815425181214E-2</v>
      </c>
      <c r="H53" s="579" t="str">
        <f>IF(OR(G53&gt;=0.2,G53&lt;=-0.2),"超过20%","")</f>
        <v/>
      </c>
      <c r="I53" s="578">
        <f>IF(I48&lt;E48,E48/I48-1,I48/E48-1)</f>
        <v>6.2469966362326268E-3</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1.4925373134328401E-2</v>
      </c>
      <c r="F54" s="579" t="str">
        <f>IF(OR(E54&gt;=0.3,E54&lt;=-0.3),"超过30%","")</f>
        <v/>
      </c>
      <c r="G54" s="578">
        <f>IF(G47&lt;I47,I47/G47-1,G47/I47-1)</f>
        <v>5.9701492537313383E-2</v>
      </c>
      <c r="H54" s="579" t="str">
        <f>IF(OR(G54&gt;=0.3,G54&lt;=-0.3),"超过30%","")</f>
        <v/>
      </c>
      <c r="I54" s="578">
        <f>IF(I47&lt;E47,E47/I47-1,I47/E47-1)</f>
        <v>4.4117647058823595E-2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O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f t="shared" si="17"/>
        <v>94.5</v>
      </c>
      <c r="O59" s="601">
        <f t="shared" si="17"/>
        <v>94</v>
      </c>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v>100</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0（含）-1</v>
      </c>
      <c r="D67" s="629" t="str">
        <f t="shared" ref="D67:L67" si="19">D68&amp;"（含）"&amp;"-"&amp;E68</f>
        <v>1（含）-2</v>
      </c>
      <c r="E67" s="629" t="str">
        <f t="shared" si="19"/>
        <v>2（含）-3</v>
      </c>
      <c r="F67" s="629" t="str">
        <f t="shared" si="19"/>
        <v>3（含）-4</v>
      </c>
      <c r="G67" s="629" t="str">
        <f t="shared" si="19"/>
        <v>4（含）-</v>
      </c>
      <c r="H67" s="629" t="str">
        <f t="shared" si="19"/>
        <v>（含）-</v>
      </c>
      <c r="I67" s="629" t="str">
        <f t="shared" si="19"/>
        <v>（含）-</v>
      </c>
      <c r="J67" s="629" t="str">
        <f t="shared" si="19"/>
        <v>（含）-</v>
      </c>
      <c r="K67" s="629" t="str">
        <f t="shared" si="19"/>
        <v>（含）-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1</v>
      </c>
      <c r="E68" s="496">
        <v>2</v>
      </c>
      <c r="F68" s="496">
        <v>3</v>
      </c>
      <c r="G68" s="496">
        <v>4</v>
      </c>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98</v>
      </c>
      <c r="E85" s="626">
        <f>D85-$K23</f>
        <v>96</v>
      </c>
      <c r="F85" s="626">
        <f>E85-$K23</f>
        <v>94</v>
      </c>
      <c r="G85" s="626">
        <f>F85-$K23</f>
        <v>92</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2048</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198" t="s">
        <v>3767</v>
      </c>
      <c r="D100" s="3198" t="s">
        <v>3734</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95</v>
      </c>
      <c r="E101" s="626">
        <f t="shared" si="23"/>
        <v>90</v>
      </c>
      <c r="F101" s="626">
        <f t="shared" si="23"/>
        <v>85</v>
      </c>
      <c r="G101" s="626">
        <f t="shared" si="23"/>
        <v>80</v>
      </c>
      <c r="H101" s="626">
        <f t="shared" si="23"/>
        <v>75</v>
      </c>
      <c r="I101" s="626">
        <f t="shared" si="23"/>
        <v>70</v>
      </c>
      <c r="J101" s="626">
        <f t="shared" si="23"/>
        <v>65</v>
      </c>
      <c r="K101" s="626">
        <f t="shared" si="23"/>
        <v>60</v>
      </c>
      <c r="L101" s="626">
        <f t="shared" si="23"/>
        <v>55</v>
      </c>
      <c r="M101" s="626">
        <f t="shared" si="23"/>
        <v>50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0(含)-100000</v>
      </c>
      <c r="D102" s="654" t="str">
        <f t="shared" ref="D102:L102" si="24">D103&amp;"(含)"&amp;"-"&amp;E103</f>
        <v>100000(含)-200000</v>
      </c>
      <c r="E102" s="654" t="str">
        <f t="shared" si="24"/>
        <v>200000(含)-300000</v>
      </c>
      <c r="F102" s="654" t="str">
        <f t="shared" si="24"/>
        <v>300000(含)-</v>
      </c>
      <c r="G102" s="654" t="str">
        <f t="shared" si="24"/>
        <v>(含)-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100000</v>
      </c>
      <c r="E103" s="82">
        <v>200000</v>
      </c>
      <c r="F103" s="82">
        <v>300000</v>
      </c>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v>101</v>
      </c>
      <c r="E104" s="618">
        <v>102</v>
      </c>
      <c r="F104" s="618">
        <v>103</v>
      </c>
      <c r="G104" s="618"/>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200" t="s">
        <v>3735</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5">C106-$K34</f>
        <v>99</v>
      </c>
      <c r="E106" s="626">
        <f t="shared" si="25"/>
        <v>98</v>
      </c>
      <c r="F106" s="626">
        <f t="shared" si="25"/>
        <v>97</v>
      </c>
      <c r="G106" s="626">
        <f t="shared" si="25"/>
        <v>96</v>
      </c>
      <c r="H106" s="626">
        <f t="shared" si="25"/>
        <v>95</v>
      </c>
      <c r="I106" s="626">
        <f t="shared" si="25"/>
        <v>94</v>
      </c>
      <c r="J106" s="626">
        <f t="shared" si="25"/>
        <v>93</v>
      </c>
      <c r="K106" s="626">
        <f t="shared" si="25"/>
        <v>92</v>
      </c>
      <c r="L106" s="626">
        <f t="shared" si="25"/>
        <v>91</v>
      </c>
      <c r="M106" s="626">
        <f t="shared" si="25"/>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3199" t="s">
        <v>3769</v>
      </c>
      <c r="D107" s="3199" t="s">
        <v>3771</v>
      </c>
      <c r="E107" s="3199" t="s">
        <v>3772</v>
      </c>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6">C108-$K35</f>
        <v>97</v>
      </c>
      <c r="E108" s="626">
        <f t="shared" si="26"/>
        <v>94</v>
      </c>
      <c r="F108" s="626">
        <f t="shared" si="26"/>
        <v>91</v>
      </c>
      <c r="G108" s="626">
        <f t="shared" si="26"/>
        <v>88</v>
      </c>
      <c r="H108" s="626">
        <f t="shared" si="26"/>
        <v>85</v>
      </c>
      <c r="I108" s="626">
        <f t="shared" si="26"/>
        <v>82</v>
      </c>
      <c r="J108" s="626">
        <f t="shared" si="26"/>
        <v>79</v>
      </c>
      <c r="K108" s="626">
        <f t="shared" si="26"/>
        <v>76</v>
      </c>
      <c r="L108" s="626">
        <f t="shared" si="26"/>
        <v>73</v>
      </c>
      <c r="M108" s="626">
        <f t="shared" si="26"/>
        <v>70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200" t="s">
        <v>3737</v>
      </c>
      <c r="D109" s="3200" t="s">
        <v>3738</v>
      </c>
      <c r="E109" s="3200" t="s">
        <v>3739</v>
      </c>
      <c r="F109" s="3199" t="s">
        <v>3741</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7">C110-$K36</f>
        <v>98</v>
      </c>
      <c r="E110" s="626">
        <f t="shared" si="27"/>
        <v>96</v>
      </c>
      <c r="F110" s="626">
        <f t="shared" si="27"/>
        <v>94</v>
      </c>
      <c r="G110" s="626">
        <f t="shared" si="27"/>
        <v>92</v>
      </c>
      <c r="H110" s="626">
        <f t="shared" si="27"/>
        <v>90</v>
      </c>
      <c r="I110" s="626">
        <f t="shared" si="27"/>
        <v>88</v>
      </c>
      <c r="J110" s="626">
        <f t="shared" si="27"/>
        <v>86</v>
      </c>
      <c r="K110" s="626">
        <f t="shared" si="27"/>
        <v>84</v>
      </c>
      <c r="L110" s="626">
        <f t="shared" si="27"/>
        <v>82</v>
      </c>
      <c r="M110" s="626">
        <f t="shared" si="27"/>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200" t="s">
        <v>3743</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8">C115-$K38</f>
        <v>99</v>
      </c>
      <c r="E115" s="626">
        <f t="shared" si="28"/>
        <v>98</v>
      </c>
      <c r="F115" s="626">
        <f t="shared" si="28"/>
        <v>97</v>
      </c>
      <c r="G115" s="626">
        <f t="shared" si="28"/>
        <v>96</v>
      </c>
      <c r="H115" s="626">
        <f t="shared" si="28"/>
        <v>95</v>
      </c>
      <c r="I115" s="626">
        <f t="shared" si="28"/>
        <v>94</v>
      </c>
      <c r="J115" s="626">
        <f t="shared" si="28"/>
        <v>93</v>
      </c>
      <c r="K115" s="626">
        <f t="shared" si="28"/>
        <v>92</v>
      </c>
      <c r="L115" s="626">
        <f t="shared" si="28"/>
        <v>91</v>
      </c>
      <c r="M115" s="626">
        <f t="shared" si="28"/>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2273</v>
      </c>
      <c r="C116" s="3200" t="s">
        <v>2276</v>
      </c>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663"/>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29">C119-$K40</f>
        <v>100</v>
      </c>
      <c r="E119" s="626">
        <f t="shared" si="29"/>
        <v>100</v>
      </c>
      <c r="F119" s="626">
        <f t="shared" si="29"/>
        <v>100</v>
      </c>
      <c r="G119" s="626">
        <f t="shared" si="29"/>
        <v>100</v>
      </c>
      <c r="H119" s="626">
        <f t="shared" si="29"/>
        <v>100</v>
      </c>
      <c r="I119" s="626">
        <f t="shared" si="29"/>
        <v>100</v>
      </c>
      <c r="J119" s="626">
        <f t="shared" si="29"/>
        <v>100</v>
      </c>
      <c r="K119" s="626">
        <f t="shared" si="29"/>
        <v>100</v>
      </c>
      <c r="L119" s="626">
        <f t="shared" si="29"/>
        <v>100</v>
      </c>
      <c r="M119" s="626">
        <f t="shared" si="29"/>
        <v>100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200" t="s">
        <v>3737</v>
      </c>
      <c r="D122" s="3200" t="s">
        <v>3738</v>
      </c>
      <c r="E122" s="3200" t="s">
        <v>3739</v>
      </c>
      <c r="F122" s="3199" t="s">
        <v>3741</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0">C123-$K42</f>
        <v>98</v>
      </c>
      <c r="E123" s="626">
        <f t="shared" si="30"/>
        <v>96</v>
      </c>
      <c r="F123" s="626">
        <f t="shared" si="30"/>
        <v>94</v>
      </c>
      <c r="G123" s="626">
        <f t="shared" si="30"/>
        <v>92</v>
      </c>
      <c r="H123" s="626">
        <f t="shared" si="30"/>
        <v>90</v>
      </c>
      <c r="I123" s="626">
        <f t="shared" si="30"/>
        <v>88</v>
      </c>
      <c r="J123" s="626">
        <f t="shared" si="30"/>
        <v>86</v>
      </c>
      <c r="K123" s="626">
        <f t="shared" si="30"/>
        <v>84</v>
      </c>
      <c r="L123" s="626">
        <f t="shared" si="30"/>
        <v>82</v>
      </c>
      <c r="M123" s="626">
        <f t="shared" si="30"/>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2049</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2050</v>
      </c>
      <c r="C137" s="1690"/>
      <c r="D137" s="1690"/>
      <c r="E137" s="1690"/>
      <c r="F137" s="1690"/>
      <c r="G137" s="1691"/>
      <c r="H137" s="1692"/>
      <c r="I137" s="1693" t="s">
        <v>2051</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2052</v>
      </c>
      <c r="D138" s="1696" t="s">
        <v>2053</v>
      </c>
      <c r="E138" s="1697" t="s">
        <v>2054</v>
      </c>
      <c r="F138" s="1698" t="s">
        <v>2055</v>
      </c>
      <c r="G138" s="1696" t="s">
        <v>2056</v>
      </c>
      <c r="H138" s="1699" t="s">
        <v>2057</v>
      </c>
      <c r="I138" s="1700"/>
      <c r="J138" s="1696" t="s">
        <v>2058</v>
      </c>
      <c r="K138" s="1699" t="s">
        <v>2059</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2060</v>
      </c>
      <c r="E139" s="1670">
        <v>100</v>
      </c>
      <c r="F139" s="1671">
        <v>102.5</v>
      </c>
      <c r="G139" s="1701" t="s">
        <v>2061</v>
      </c>
      <c r="H139" s="1672">
        <v>105</v>
      </c>
      <c r="I139" s="1702" t="s">
        <v>2062</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2063</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2064</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2065</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2066</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2067</v>
      </c>
      <c r="E144" s="1676">
        <v>102</v>
      </c>
      <c r="F144" s="1682">
        <v>100</v>
      </c>
      <c r="G144" s="1705" t="s">
        <v>2067</v>
      </c>
      <c r="H144" s="1678">
        <v>105</v>
      </c>
      <c r="I144" s="1704" t="s">
        <v>2066</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2068</v>
      </c>
      <c r="C145" s="1683">
        <f>ROUND(MAX(C139:C144)/MIN(C139:C144)-1,3)</f>
        <v>7.2999999999999995E-2</v>
      </c>
      <c r="D145" s="1707"/>
      <c r="E145" s="1707"/>
      <c r="F145" s="1708" t="s">
        <v>2069</v>
      </c>
      <c r="G145" s="1709"/>
      <c r="H145" s="1710"/>
      <c r="I145" s="1711" t="s">
        <v>2066</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2077</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2078</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9" zoomScale="80" zoomScaleNormal="60" zoomScaleSheetLayoutView="80" workbookViewId="0">
      <selection activeCell="W23" sqref="W23"/>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3150</v>
      </c>
      <c r="D1" s="2520" t="s">
        <v>3155</v>
      </c>
      <c r="E1" s="2063" t="s">
        <v>2160</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1525</v>
      </c>
      <c r="B2" s="715" t="e">
        <f ca="1">C40+J29+L46</f>
        <v>#N/A</v>
      </c>
      <c r="C2" s="2923"/>
      <c r="D2" s="2922"/>
      <c r="E2" s="2924"/>
      <c r="F2" s="2924"/>
      <c r="G2" s="2919"/>
      <c r="H2" s="1782"/>
      <c r="I2" s="1782"/>
      <c r="J2" s="1782"/>
      <c r="K2" s="1783"/>
      <c r="L2" s="1782"/>
      <c r="M2" s="1782"/>
    </row>
    <row r="3" spans="1:33" ht="18" customHeight="1" thickBot="1">
      <c r="A3" s="772" t="s">
        <v>1526</v>
      </c>
      <c r="B3" s="773">
        <f ca="1">IF(ISERROR(B2*10000/F43),0,ROUND(B2*10000/F43,0))</f>
        <v>0</v>
      </c>
      <c r="C3" s="2923"/>
      <c r="D3" s="2922"/>
      <c r="E3" s="2924"/>
      <c r="F3" s="2924"/>
      <c r="G3" s="2919"/>
      <c r="H3" s="716" t="s">
        <v>677</v>
      </c>
      <c r="I3" s="1203"/>
      <c r="J3" s="1203"/>
      <c r="K3" s="1399"/>
      <c r="L3" s="1203"/>
      <c r="M3" s="1203"/>
    </row>
    <row r="4" spans="1:33" ht="18" customHeight="1">
      <c r="A4" s="717" t="s">
        <v>1527</v>
      </c>
      <c r="B4" s="718" t="s">
        <v>1528</v>
      </c>
      <c r="C4" s="718" t="s">
        <v>1529</v>
      </c>
      <c r="D4" s="718" t="s">
        <v>615</v>
      </c>
      <c r="E4" s="719" t="s">
        <v>1530</v>
      </c>
      <c r="F4" s="720"/>
      <c r="G4" s="1780"/>
      <c r="H4" s="717" t="s">
        <v>1531</v>
      </c>
      <c r="I4" s="718" t="s">
        <v>1532</v>
      </c>
      <c r="J4" s="718" t="s">
        <v>1533</v>
      </c>
      <c r="K4" s="718" t="s">
        <v>1534</v>
      </c>
      <c r="L4" s="719" t="s">
        <v>1535</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504" t="s">
        <v>2241</v>
      </c>
      <c r="C6" s="723" t="e">
        <f ca="1">ROUND(F6*F8*F7*(1-F9)/10000,0)</f>
        <v>#N/A</v>
      </c>
      <c r="D6" s="2155" t="s">
        <v>2240</v>
      </c>
      <c r="E6" s="724" t="s">
        <v>1537</v>
      </c>
      <c r="F6" s="725" t="e">
        <f ca="1">INDIRECT("'数据-取费表'!u"&amp;$G$1)</f>
        <v>#N/A</v>
      </c>
      <c r="G6" s="1780"/>
      <c r="H6" s="2162" t="s">
        <v>2246</v>
      </c>
      <c r="I6" s="3504" t="s">
        <v>2241</v>
      </c>
      <c r="J6" s="723" t="e">
        <f ca="1">ROUND(M6*M8*M7*(1-M9)/10000,0)</f>
        <v>#N/A</v>
      </c>
      <c r="K6" s="320" t="s">
        <v>1536</v>
      </c>
      <c r="L6" s="724" t="s">
        <v>1537</v>
      </c>
      <c r="M6" s="725" t="e">
        <f ca="1">INDIRECT("'数据-取费表'!z"&amp;$G$1)</f>
        <v>#N/A</v>
      </c>
    </row>
    <row r="7" spans="1:33" ht="18" customHeight="1">
      <c r="A7" s="2158"/>
      <c r="B7" s="3505"/>
      <c r="C7" s="728"/>
      <c r="D7" s="729"/>
      <c r="E7" s="724" t="s">
        <v>1538</v>
      </c>
      <c r="F7" s="725" t="e">
        <f ca="1">IF(INDIRECT("'数据-取费表'!ah"&amp;$G$1)="",INDIRECT("'数据-取费表'!k"&amp;$G$1),INDIRECT("'数据-取费表'!ah"&amp;$G$1))</f>
        <v>#N/A</v>
      </c>
      <c r="G7" s="1780"/>
      <c r="H7" s="2147"/>
      <c r="I7" s="3505"/>
      <c r="J7" s="728"/>
      <c r="K7" s="729"/>
      <c r="L7" s="724" t="s">
        <v>1538</v>
      </c>
      <c r="M7" s="725" t="e">
        <f ca="1">F7</f>
        <v>#N/A</v>
      </c>
    </row>
    <row r="8" spans="1:33" ht="18" customHeight="1">
      <c r="A8" s="2151"/>
      <c r="B8" s="3506"/>
      <c r="C8" s="728"/>
      <c r="D8" s="729"/>
      <c r="E8" s="724" t="s">
        <v>1539</v>
      </c>
      <c r="F8" s="725" t="e">
        <f ca="1">INDIRECT("'数据-取费表'!ai"&amp;$G$1)</f>
        <v>#N/A</v>
      </c>
      <c r="G8" s="1780"/>
      <c r="H8" s="2147"/>
      <c r="I8" s="3506"/>
      <c r="J8" s="728"/>
      <c r="K8" s="729"/>
      <c r="L8" s="724" t="s">
        <v>1539</v>
      </c>
      <c r="M8" s="725" t="e">
        <f ca="1">INDIRECT("'数据-取费表'!ai"&amp;$G$1)</f>
        <v>#N/A</v>
      </c>
    </row>
    <row r="9" spans="1:33" ht="18" customHeight="1">
      <c r="A9" s="726"/>
      <c r="B9" s="3507"/>
      <c r="C9" s="728"/>
      <c r="D9" s="729"/>
      <c r="E9" s="724" t="s">
        <v>1540</v>
      </c>
      <c r="F9" s="734" t="e">
        <f ca="1">INDIRECT("'数据-取费表'!w"&amp;$G$1)</f>
        <v>#N/A</v>
      </c>
      <c r="G9" s="1780"/>
      <c r="H9" s="2163"/>
      <c r="I9" s="3506"/>
      <c r="J9" s="728"/>
      <c r="K9" s="729"/>
      <c r="L9" s="735" t="s">
        <v>1540</v>
      </c>
      <c r="M9" s="736" t="e">
        <f ca="1">INDIRECT("'数据-取费表'!ab"&amp;$G$1)</f>
        <v>#N/A</v>
      </c>
    </row>
    <row r="10" spans="1:33" ht="18" customHeight="1">
      <c r="A10" s="1603" t="s">
        <v>2244</v>
      </c>
      <c r="B10" s="2152" t="s">
        <v>2237</v>
      </c>
      <c r="C10" s="739" t="e">
        <f ca="1">ROUND(IF(F10="押一",C6/12*F11,IF(F10="押二",C6/12*2*F11,IF(F10="押三",C6/12*3*F11,C11*F11))),0)</f>
        <v>#N/A</v>
      </c>
      <c r="D10" s="2159" t="s">
        <v>2667</v>
      </c>
      <c r="E10" s="2156" t="s">
        <v>2242</v>
      </c>
      <c r="F10" s="2229" t="s">
        <v>3156</v>
      </c>
      <c r="G10" s="1780"/>
      <c r="H10" s="2190" t="s">
        <v>2247</v>
      </c>
      <c r="I10" s="2194" t="s">
        <v>2237</v>
      </c>
      <c r="J10" s="723">
        <f ca="1">ROUND(IF(M10="押一",J6/12*M11,IF(M10="押二",J6/12*2*M11,IF(M10="押三",J6/12*3*M11,J11*M11))),0)</f>
        <v>0</v>
      </c>
      <c r="K10" s="2159" t="s">
        <v>2667</v>
      </c>
      <c r="L10" s="2156" t="s">
        <v>2242</v>
      </c>
      <c r="M10" s="2229"/>
    </row>
    <row r="11" spans="1:33" ht="18" customHeight="1">
      <c r="A11" s="730"/>
      <c r="B11" s="2153" t="s">
        <v>2290</v>
      </c>
      <c r="C11" s="2157"/>
      <c r="D11" s="729"/>
      <c r="E11" s="2156" t="s">
        <v>2243</v>
      </c>
      <c r="F11" s="736">
        <f ca="1">'数据-取费表'!B39</f>
        <v>1.4999999999999999E-2</v>
      </c>
      <c r="G11" s="1780"/>
      <c r="H11" s="2191"/>
      <c r="I11" s="2153" t="s">
        <v>2290</v>
      </c>
      <c r="J11" s="2157"/>
      <c r="K11" s="292"/>
      <c r="L11" s="2156" t="s">
        <v>2243</v>
      </c>
      <c r="M11" s="2150">
        <f ca="1">'数据-取费表'!B39</f>
        <v>1.4999999999999999E-2</v>
      </c>
    </row>
    <row r="12" spans="1:33" ht="18" customHeight="1" thickBot="1">
      <c r="A12" s="2166" t="s">
        <v>2245</v>
      </c>
      <c r="B12" s="2167" t="s">
        <v>2238</v>
      </c>
      <c r="C12" s="2168"/>
      <c r="D12" s="2169"/>
      <c r="E12" s="2170"/>
      <c r="F12" s="2171"/>
      <c r="G12" s="1780"/>
      <c r="H12" s="2180" t="s">
        <v>2248</v>
      </c>
      <c r="I12" s="2192" t="s">
        <v>2238</v>
      </c>
      <c r="J12" s="2193"/>
      <c r="K12" s="2169"/>
      <c r="L12" s="2170"/>
      <c r="M12" s="2183"/>
    </row>
    <row r="13" spans="1:33" ht="18" customHeight="1" thickTop="1">
      <c r="A13" s="1602">
        <v>2</v>
      </c>
      <c r="B13" s="1600" t="s">
        <v>1541</v>
      </c>
      <c r="C13" s="732" t="e">
        <f ca="1">ROUND(C29*F13,0)</f>
        <v>#N/A</v>
      </c>
      <c r="D13" s="1607" t="s">
        <v>2086</v>
      </c>
      <c r="E13" s="1607" t="s">
        <v>1543</v>
      </c>
      <c r="F13" s="2165" t="e">
        <f ca="1">INDIRECT("'数据-取费表'!y"&amp;$G$1)</f>
        <v>#N/A</v>
      </c>
      <c r="G13" s="1780"/>
      <c r="H13" s="1602">
        <v>2</v>
      </c>
      <c r="I13" s="1600" t="s">
        <v>1541</v>
      </c>
      <c r="J13" s="1594" t="e">
        <f ca="1">ROUND(J14*J15,0)</f>
        <v>#N/A</v>
      </c>
      <c r="K13" s="1596" t="s">
        <v>1542</v>
      </c>
      <c r="L13" s="2181"/>
      <c r="M13" s="2182"/>
    </row>
    <row r="14" spans="1:33" ht="18" customHeight="1">
      <c r="A14" s="1444" t="s">
        <v>1679</v>
      </c>
      <c r="B14" s="724" t="s">
        <v>627</v>
      </c>
      <c r="C14" s="744" t="e">
        <f ca="1">INDIRECT("'数据-取费表'!m"&amp;$G$1)+INDIRECT("'数据-取费表'!t"&amp;$G$1)</f>
        <v>#N/A</v>
      </c>
      <c r="D14" s="912" t="s">
        <v>1544</v>
      </c>
      <c r="E14" s="911"/>
      <c r="F14" s="745"/>
      <c r="G14" s="1780"/>
      <c r="H14" s="1445" t="s">
        <v>1629</v>
      </c>
      <c r="I14" s="1939" t="s">
        <v>2540</v>
      </c>
      <c r="J14" s="51" t="e">
        <f ca="1">C29</f>
        <v>#N/A</v>
      </c>
      <c r="K14" s="24"/>
      <c r="L14" s="741"/>
      <c r="M14" s="742"/>
    </row>
    <row r="15" spans="1:33" s="1788" customFormat="1" ht="18" customHeight="1" thickBot="1">
      <c r="A15" s="1444" t="s">
        <v>1680</v>
      </c>
      <c r="B15" s="724" t="s">
        <v>629</v>
      </c>
      <c r="C15" s="51" t="e">
        <f ca="1">ROUND(C14*F15,0)</f>
        <v>#N/A</v>
      </c>
      <c r="D15" s="746" t="s">
        <v>1545</v>
      </c>
      <c r="E15" s="746" t="s">
        <v>1546</v>
      </c>
      <c r="F15" s="747">
        <f>'数据-取费表'!B33</f>
        <v>0.03</v>
      </c>
      <c r="G15" s="2920"/>
      <c r="H15" s="2180" t="s">
        <v>1684</v>
      </c>
      <c r="I15" s="2175" t="s">
        <v>1543</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1681</v>
      </c>
      <c r="B16" s="724" t="s">
        <v>632</v>
      </c>
      <c r="C16" s="51" t="e">
        <f ca="1">ROUND(INDIRECT("'数据-取费表'!m"&amp;$G$1)*F16,0)</f>
        <v>#N/A</v>
      </c>
      <c r="D16" s="724" t="s">
        <v>1545</v>
      </c>
      <c r="E16" s="724" t="s">
        <v>1546</v>
      </c>
      <c r="F16" s="749" t="e">
        <f ca="1">IF(INDIRECT("'数据-取费表'!c"&amp;$G$1)="住宅",'数据-取费表'!B34,0)</f>
        <v>#N/A</v>
      </c>
      <c r="G16" s="1780"/>
      <c r="H16" s="1602" t="s">
        <v>1547</v>
      </c>
      <c r="I16" s="1600" t="s">
        <v>1548</v>
      </c>
      <c r="J16" s="732" t="e">
        <f ca="1">ROUND(J17+J22+J23+J24,0)</f>
        <v>#N/A</v>
      </c>
      <c r="K16" s="1596" t="s">
        <v>1549</v>
      </c>
      <c r="L16" s="915"/>
      <c r="M16" s="2149"/>
    </row>
    <row r="17" spans="1:33" s="1788" customFormat="1" ht="18" customHeight="1">
      <c r="A17" s="1444" t="s">
        <v>1682</v>
      </c>
      <c r="B17" s="724" t="s">
        <v>635</v>
      </c>
      <c r="C17" s="51" t="e">
        <f ca="1">ROUND(F17*(F43+INDIRECT("'数据-取费表'!S"&amp;$G$1))/10000,0)</f>
        <v>#N/A</v>
      </c>
      <c r="D17" s="724" t="s">
        <v>1550</v>
      </c>
      <c r="E17" s="724" t="s">
        <v>1551</v>
      </c>
      <c r="F17" s="54">
        <f>'数据-取费表'!B35</f>
        <v>200</v>
      </c>
      <c r="G17" s="2920"/>
      <c r="H17" s="1445" t="s">
        <v>1629</v>
      </c>
      <c r="I17" s="724" t="s">
        <v>638</v>
      </c>
      <c r="J17" s="2714" t="e">
        <f ca="1">ROUND(IF(AND(项目基本情况!B11="自然人",项目基本情况!B10="北京市"),J6*M17/(1+'数据-取费表'!C42),J18+J19+J20),0)</f>
        <v>#N/A</v>
      </c>
      <c r="K17" s="912" t="s">
        <v>1552</v>
      </c>
      <c r="L17" s="913" t="s">
        <v>1553</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1545</v>
      </c>
      <c r="E18" s="724" t="s">
        <v>1546</v>
      </c>
      <c r="F18" s="749">
        <f>'数据-取费表'!B36</f>
        <v>1.4999999999999999E-2</v>
      </c>
      <c r="G18" s="2920"/>
      <c r="H18" s="1444" t="s">
        <v>1679</v>
      </c>
      <c r="I18" s="724" t="s">
        <v>1554</v>
      </c>
      <c r="J18" s="51" t="e">
        <f ca="1">ROUND(J6*M18/(1+'数据-取费表'!C42),1)</f>
        <v>#N/A</v>
      </c>
      <c r="K18" s="913" t="s">
        <v>1555</v>
      </c>
      <c r="L18" s="724" t="s">
        <v>1546</v>
      </c>
      <c r="M18" s="749">
        <f>'数据-取费表'!B41</f>
        <v>5.6000000000000001E-2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1629</v>
      </c>
      <c r="B19" s="724" t="s">
        <v>644</v>
      </c>
      <c r="C19" s="51" t="e">
        <f ca="1">SUM(C14:C18)</f>
        <v>#N/A</v>
      </c>
      <c r="D19" s="246" t="s">
        <v>1556</v>
      </c>
      <c r="E19" s="921"/>
      <c r="F19" s="54"/>
      <c r="G19" s="1780"/>
      <c r="H19" s="1444" t="s">
        <v>1680</v>
      </c>
      <c r="I19" s="724" t="s">
        <v>1557</v>
      </c>
      <c r="J19" s="51" t="e">
        <f ca="1">IF(K19="按租金收入计税",ROUND(J6*M19/(1+'数据-取费表'!C42),1),ROUND(C29*F33*0.7,1))</f>
        <v>#N/A</v>
      </c>
      <c r="K19" s="750" t="s">
        <v>647</v>
      </c>
      <c r="L19" s="724" t="s">
        <v>1546</v>
      </c>
      <c r="M19" s="749">
        <f>IF(K19="按租金收入计税",'数据-取费表'!B51,'数据-取费表'!B50)</f>
        <v>1.2E-2</v>
      </c>
    </row>
    <row r="20" spans="1:33" s="1788" customFormat="1" ht="18" customHeight="1">
      <c r="A20" s="1445" t="s">
        <v>1684</v>
      </c>
      <c r="B20" s="724" t="s">
        <v>648</v>
      </c>
      <c r="C20" s="51" t="e">
        <f ca="1">ROUND(C19*F20,0)</f>
        <v>#N/A</v>
      </c>
      <c r="D20" s="751" t="s">
        <v>1558</v>
      </c>
      <c r="E20" s="724" t="s">
        <v>1546</v>
      </c>
      <c r="F20" s="749">
        <f>'数据-取费表'!B37</f>
        <v>0.02</v>
      </c>
      <c r="G20" s="2920"/>
      <c r="H20" s="1447" t="s">
        <v>1675</v>
      </c>
      <c r="I20" s="320" t="s">
        <v>1559</v>
      </c>
      <c r="J20" s="52" t="e">
        <f ca="1">ROUND(M20*M21/10000,0)</f>
        <v>#N/A</v>
      </c>
      <c r="K20" s="753" t="s">
        <v>1560</v>
      </c>
      <c r="L20" s="724" t="s">
        <v>1561</v>
      </c>
      <c r="M20" s="592">
        <f>'数据-取费表'!B52</f>
        <v>0</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1562</v>
      </c>
      <c r="C21" s="51" t="s">
        <v>1563</v>
      </c>
      <c r="D21" s="751" t="s">
        <v>2087</v>
      </c>
      <c r="E21" s="724" t="s">
        <v>1564</v>
      </c>
      <c r="F21" s="749">
        <f>'数据-取费表'!B38</f>
        <v>0.02</v>
      </c>
      <c r="G21" s="2920"/>
      <c r="H21" s="2164"/>
      <c r="I21" s="733"/>
      <c r="J21" s="67"/>
      <c r="K21" s="755"/>
      <c r="L21" s="724" t="s">
        <v>1565</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1566</v>
      </c>
      <c r="C22" s="51"/>
      <c r="D22" s="2198" t="str">
        <f>IF(F23&lt;=1,"单利计息。","复利计息。")&amp;"建造成本、管理费用、销售费用产生的利息。"</f>
        <v>复利计息。建造成本、管理费用、销售费用产生的利息。</v>
      </c>
      <c r="E22" s="921"/>
      <c r="F22" s="54"/>
      <c r="G22" s="1780"/>
      <c r="H22" s="1445" t="s">
        <v>1684</v>
      </c>
      <c r="I22" s="724" t="s">
        <v>1567</v>
      </c>
      <c r="J22" s="51" t="e">
        <f ca="1">ROUND(J14*M22,0)</f>
        <v>#N/A</v>
      </c>
      <c r="K22" s="913" t="s">
        <v>1568</v>
      </c>
      <c r="L22" s="724" t="s">
        <v>1546</v>
      </c>
      <c r="M22" s="756" t="e">
        <f ca="1">INDIRECT("'数据-取费表'!Ak"&amp;$G$1)</f>
        <v>#N/A</v>
      </c>
    </row>
    <row r="23" spans="1:33" s="1788" customFormat="1" ht="18" customHeight="1">
      <c r="A23" s="1444" t="s">
        <v>1630</v>
      </c>
      <c r="B23" s="724" t="s">
        <v>2252</v>
      </c>
      <c r="C23" s="51" t="e">
        <f ca="1">ROUND(IF('数据-取费表'!B22&lt;=1,(C19+C20)*F24*F23/2,(C19+C20)*(POWER((1+F24),F23/2)-1)),0)</f>
        <v>#N/A</v>
      </c>
      <c r="D23" s="2197" t="str">
        <f>IF(F23&lt;=1,"(建造成本+管理费用)×利率×(建设周期÷2)","(建造成本+管理费用)×((1+利率)^(建设周期÷2)-1)")</f>
        <v>(建造成本+管理费用)×((1+利率)^(建设周期÷2)-1)</v>
      </c>
      <c r="E23" s="724" t="s">
        <v>1569</v>
      </c>
      <c r="F23" s="592">
        <f>'数据-取费表'!B20</f>
        <v>2</v>
      </c>
      <c r="G23" s="2920"/>
      <c r="H23" s="1445" t="s">
        <v>1685</v>
      </c>
      <c r="I23" s="724" t="s">
        <v>661</v>
      </c>
      <c r="J23" s="51" t="e">
        <f ca="1">ROUND(J13*M23,0)</f>
        <v>#N/A</v>
      </c>
      <c r="K23" s="913" t="s">
        <v>1570</v>
      </c>
      <c r="L23" s="724" t="s">
        <v>1546</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1571</v>
      </c>
      <c r="C24" s="51">
        <f ca="1">ROUND(IF('数据-取费表'!B22&lt;=1,F21*F24*F23/2,F21*(POWER((1+F24),F23/2)-1)),4)</f>
        <v>8.0000000000000004E-4</v>
      </c>
      <c r="D24" s="2197" t="str">
        <f>IF(F23&lt;=1,"销售费用×利率×(建设周期÷2)","销售费用×((1+利率)^(建设周期÷2)-1)")</f>
        <v>销售费用×((1+利率)^(建设周期÷2)-1)</v>
      </c>
      <c r="E24" s="724" t="s">
        <v>1572</v>
      </c>
      <c r="F24" s="758">
        <f ca="1">'数据-取费表'!B40</f>
        <v>4.1499999999999995E-2</v>
      </c>
      <c r="G24" s="2920"/>
      <c r="H24" s="2180" t="s">
        <v>1686</v>
      </c>
      <c r="I24" s="2175" t="s">
        <v>648</v>
      </c>
      <c r="J24" s="2173" t="e">
        <f ca="1">ROUND(J5*M24,0)</f>
        <v>#N/A</v>
      </c>
      <c r="K24" s="2174" t="s">
        <v>1573</v>
      </c>
      <c r="L24" s="2175" t="s">
        <v>1546</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1574</v>
      </c>
      <c r="E25" s="921"/>
      <c r="F25" s="54"/>
      <c r="G25" s="1780"/>
      <c r="H25" s="1602" t="s">
        <v>1575</v>
      </c>
      <c r="I25" s="2451" t="s">
        <v>2536</v>
      </c>
      <c r="J25" s="732" t="e">
        <f ca="1">J5-J16</f>
        <v>#N/A</v>
      </c>
      <c r="K25" s="2177" t="s">
        <v>1576</v>
      </c>
      <c r="L25" s="2178"/>
      <c r="M25" s="2179"/>
    </row>
    <row r="26" spans="1:33" ht="18" customHeight="1">
      <c r="A26" s="1444" t="s">
        <v>1630</v>
      </c>
      <c r="B26" s="724" t="s">
        <v>2219</v>
      </c>
      <c r="C26" s="51" t="e">
        <f ca="1">ROUND((C19+C20)*F26,0)</f>
        <v>#N/A</v>
      </c>
      <c r="D26" s="751" t="s">
        <v>1577</v>
      </c>
      <c r="E26" s="735" t="s">
        <v>1578</v>
      </c>
      <c r="F26" s="734" t="e">
        <f ca="1">INDIRECT("'数据-取费表'!q"&amp;$G$1)</f>
        <v>#N/A</v>
      </c>
      <c r="G26" s="1780"/>
      <c r="H26" s="2160" t="s">
        <v>1579</v>
      </c>
      <c r="I26" s="1940" t="s">
        <v>2541</v>
      </c>
      <c r="J26" s="723" t="e">
        <f ca="1">IF(J5&lt;&gt;0,ROUND(J25*(1-((1+M28)/(1+M26))^M27)/(M26-M28),0),0)</f>
        <v>#N/A</v>
      </c>
      <c r="K26" s="753" t="s">
        <v>1580</v>
      </c>
      <c r="L26" s="724" t="s">
        <v>2205</v>
      </c>
      <c r="M26" s="734" t="e">
        <f ca="1">INDIRECT("'数据-取费表'!I"&amp;$G$1)</f>
        <v>#N/A</v>
      </c>
    </row>
    <row r="27" spans="1:33" ht="18" customHeight="1">
      <c r="A27" s="1444" t="s">
        <v>1631</v>
      </c>
      <c r="B27" s="724" t="s">
        <v>668</v>
      </c>
      <c r="C27" s="51" t="e">
        <f ca="1">ROUND(F21*F26,4)</f>
        <v>#N/A</v>
      </c>
      <c r="D27" s="751" t="s">
        <v>1581</v>
      </c>
      <c r="E27" s="746"/>
      <c r="F27" s="747"/>
      <c r="G27" s="1780"/>
      <c r="H27" s="2161"/>
      <c r="I27" s="727"/>
      <c r="J27" s="728"/>
      <c r="K27" s="760" t="s">
        <v>1582</v>
      </c>
      <c r="L27" s="724" t="s">
        <v>1583</v>
      </c>
      <c r="M27" s="761" t="e">
        <f ca="1">INDIRECT("'数据-取费表'!ag"&amp;$G$1)</f>
        <v>#N/A</v>
      </c>
    </row>
    <row r="28" spans="1:33" s="1788" customFormat="1" ht="18" customHeight="1">
      <c r="A28" s="1446" t="s">
        <v>1640</v>
      </c>
      <c r="B28" s="724" t="s">
        <v>669</v>
      </c>
      <c r="C28" s="51">
        <f>ROUND(F28/(1+'数据-取费表'!C42),4)</f>
        <v>5.33E-2</v>
      </c>
      <c r="D28" s="751" t="s">
        <v>2088</v>
      </c>
      <c r="E28" s="724" t="s">
        <v>1584</v>
      </c>
      <c r="F28" s="749">
        <f>'数据-取费表'!B41</f>
        <v>5.6000000000000001E-2</v>
      </c>
      <c r="G28" s="2920"/>
      <c r="H28" s="1602"/>
      <c r="I28" s="731"/>
      <c r="J28" s="732"/>
      <c r="K28" s="755"/>
      <c r="L28" s="724" t="s">
        <v>1585</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1588</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1688</v>
      </c>
      <c r="B30" s="1600" t="s">
        <v>1589</v>
      </c>
      <c r="C30" s="732" t="e">
        <f ca="1">ROUND(C31+C36+C37+C38,0)</f>
        <v>#N/A</v>
      </c>
      <c r="D30" s="1596" t="s">
        <v>1590</v>
      </c>
      <c r="E30" s="915"/>
      <c r="F30" s="2149"/>
      <c r="G30" s="1780"/>
      <c r="H30" s="1789"/>
      <c r="I30" s="1790"/>
      <c r="J30" s="1791"/>
      <c r="K30" s="1748"/>
      <c r="L30" s="1792"/>
      <c r="M30" s="1793"/>
    </row>
    <row r="31" spans="1:33" ht="18" customHeight="1">
      <c r="A31" s="1445" t="s">
        <v>1629</v>
      </c>
      <c r="B31" s="724" t="s">
        <v>638</v>
      </c>
      <c r="C31" s="2714" t="e">
        <f ca="1">ROUND(IF(AND(项目基本情况!B11="自然人",项目基本情况!B10="北京市"),C6*F31/(1+'数据-取费表'!C42),C32+C33+C34),0)</f>
        <v>#N/A</v>
      </c>
      <c r="D31" s="912" t="s">
        <v>1591</v>
      </c>
      <c r="E31" s="913" t="s">
        <v>1592</v>
      </c>
      <c r="F31" s="2713" t="str">
        <f>IF(项目基本情况!B11="企业","——",IF('数据-取费表'!B10="住宅",IF(F6*F7*F8/12/(1+'数据-取费表'!F30)&gt;100000,4%,2.5%),IF(F6*F7*F8/12/(1+'数据-取费表'!F30)&gt;100000,12%,7%)))</f>
        <v>——</v>
      </c>
      <c r="G31" s="1780"/>
      <c r="H31" s="2917" t="s">
        <v>2722</v>
      </c>
      <c r="I31" s="1790"/>
      <c r="J31" s="1791"/>
      <c r="K31" s="1748"/>
      <c r="L31" s="1792"/>
      <c r="M31" s="1793"/>
    </row>
    <row r="32" spans="1:33" ht="18" customHeight="1">
      <c r="A32" s="1444" t="s">
        <v>1630</v>
      </c>
      <c r="B32" s="724" t="s">
        <v>1593</v>
      </c>
      <c r="C32" s="51" t="e">
        <f ca="1">ROUND(C6*F32/(1+'数据-取费表'!C42),1)</f>
        <v>#N/A</v>
      </c>
      <c r="D32" s="913" t="s">
        <v>1594</v>
      </c>
      <c r="E32" s="724" t="s">
        <v>1595</v>
      </c>
      <c r="F32" s="749">
        <f>'数据-取费表'!B41</f>
        <v>5.6000000000000001E-2</v>
      </c>
      <c r="G32" s="1780"/>
      <c r="H32" s="1794"/>
      <c r="I32" s="1795"/>
      <c r="J32" s="1796"/>
      <c r="K32" s="1797"/>
      <c r="L32" s="1798"/>
      <c r="M32" s="1799"/>
    </row>
    <row r="33" spans="1:18" ht="18" customHeight="1">
      <c r="A33" s="1444" t="s">
        <v>1631</v>
      </c>
      <c r="B33" s="724" t="s">
        <v>1596</v>
      </c>
      <c r="C33" s="51" t="e">
        <f ca="1">IF(D33="按租金收入计税",ROUND(C6*F33/(1+'数据-取费表'!C42),1),IF(D33="按房产原值计税",ROUND(C29*F33*0.7,1),INDIRECT("'数据-取费表'!Aj"&amp;$G$1)))</f>
        <v>#N/A</v>
      </c>
      <c r="D33" s="750" t="s">
        <v>3157</v>
      </c>
      <c r="E33" s="724" t="s">
        <v>1595</v>
      </c>
      <c r="F33" s="749">
        <f>IF(D33="按租金收入计税",'数据-取费表'!B51,'数据-取费表'!B50)</f>
        <v>0.12</v>
      </c>
      <c r="G33" s="1780"/>
      <c r="H33" s="1800"/>
      <c r="I33" s="1800"/>
      <c r="J33" s="1800"/>
      <c r="K33" s="1801"/>
      <c r="L33" s="1800"/>
      <c r="M33" s="1800"/>
    </row>
    <row r="34" spans="1:18" ht="18" customHeight="1">
      <c r="A34" s="1447" t="s">
        <v>1632</v>
      </c>
      <c r="B34" s="320" t="s">
        <v>1597</v>
      </c>
      <c r="C34" s="52" t="e">
        <f ca="1">ROUND(F34*F35/10000,1)</f>
        <v>#N/A</v>
      </c>
      <c r="D34" s="753" t="s">
        <v>1598</v>
      </c>
      <c r="E34" s="724" t="s">
        <v>1599</v>
      </c>
      <c r="F34" s="592">
        <f>'数据-取费表'!B52</f>
        <v>0</v>
      </c>
      <c r="G34" s="1780"/>
      <c r="H34" s="1789"/>
      <c r="I34" s="774" t="s">
        <v>1612</v>
      </c>
      <c r="J34" s="775"/>
      <c r="K34" s="1803"/>
      <c r="L34" s="1802"/>
      <c r="M34" s="1802"/>
    </row>
    <row r="35" spans="1:18" ht="18" customHeight="1">
      <c r="A35" s="754"/>
      <c r="B35" s="733"/>
      <c r="C35" s="67"/>
      <c r="D35" s="755"/>
      <c r="E35" s="724" t="s">
        <v>1600</v>
      </c>
      <c r="F35" s="725" t="e">
        <f ca="1">INDIRECT("'数据-取费表'!r"&amp;$G$1)</f>
        <v>#N/A</v>
      </c>
      <c r="G35" s="1780"/>
      <c r="H35" s="1789"/>
      <c r="I35" s="776" t="s">
        <v>1613</v>
      </c>
      <c r="J35" s="777" t="e">
        <f ca="1">ROUND(C13*J36,0)</f>
        <v>#N/A</v>
      </c>
      <c r="K35" s="1801"/>
      <c r="L35" s="1800"/>
      <c r="M35" s="1800"/>
    </row>
    <row r="36" spans="1:18" ht="18" customHeight="1">
      <c r="A36" s="1445" t="s">
        <v>1684</v>
      </c>
      <c r="B36" s="724" t="s">
        <v>1601</v>
      </c>
      <c r="C36" s="51" t="e">
        <f ca="1">ROUND(C29*F36,1)</f>
        <v>#N/A</v>
      </c>
      <c r="D36" s="913" t="s">
        <v>1602</v>
      </c>
      <c r="E36" s="724" t="s">
        <v>1595</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1603</v>
      </c>
      <c r="E37" s="724" t="s">
        <v>1595</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1604</v>
      </c>
      <c r="E38" s="2175" t="s">
        <v>1595</v>
      </c>
      <c r="F38" s="2171" t="e">
        <f ca="1">INDIRECT("'数据-取费表'!Am"&amp;$G$1)</f>
        <v>#N/A</v>
      </c>
      <c r="G38" s="1780"/>
      <c r="H38" s="1800"/>
      <c r="I38" s="782" t="s">
        <v>1616</v>
      </c>
      <c r="J38" s="783"/>
      <c r="K38" s="1805"/>
      <c r="L38" s="1800"/>
      <c r="M38" s="1800"/>
    </row>
    <row r="39" spans="1:18" ht="24.6" customHeight="1" thickTop="1">
      <c r="A39" s="1602" t="s">
        <v>1689</v>
      </c>
      <c r="B39" s="2451" t="s">
        <v>2536</v>
      </c>
      <c r="C39" s="732" t="e">
        <f ca="1">C5-C30</f>
        <v>#N/A</v>
      </c>
      <c r="D39" s="2177" t="s">
        <v>1605</v>
      </c>
      <c r="E39" s="2178"/>
      <c r="F39" s="2179"/>
      <c r="G39" s="1780"/>
      <c r="H39" s="1800"/>
      <c r="I39" s="776" t="s">
        <v>1617</v>
      </c>
      <c r="J39" s="784" t="e">
        <f ca="1">ROUND(J35/C39,3)</f>
        <v>#N/A</v>
      </c>
      <c r="K39" s="1805"/>
      <c r="L39" s="1800"/>
      <c r="M39" s="1800"/>
    </row>
    <row r="40" spans="1:18" ht="18" customHeight="1">
      <c r="A40" s="721" t="s">
        <v>1690</v>
      </c>
      <c r="B40" s="1940" t="s">
        <v>2090</v>
      </c>
      <c r="C40" s="723" t="e">
        <f ca="1">ROUND(C39*(1-((1+F42)/(1+F40))^F41)/(F40-F42),0)</f>
        <v>#N/A</v>
      </c>
      <c r="D40" s="753" t="s">
        <v>1606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2659</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1608</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3158</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2254</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1538</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1539</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2668</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2671</v>
      </c>
      <c r="J53" s="2575" t="e">
        <f ca="1">IF(M47="住宅",IF(D1="——",MAX(J51,L48),MAX(J51,L48-'数据-取费表'!B20)),IF(D1="——",MIN(J51,L48),MIN(J51,L48-'数据-取费表'!B20)))</f>
        <v>#N/A</v>
      </c>
      <c r="K53" s="3516" t="s">
        <v>2661</v>
      </c>
      <c r="L53" s="351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2091</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1547</v>
      </c>
      <c r="B57" s="738" t="s">
        <v>633</v>
      </c>
      <c r="C57" s="739" t="e">
        <f ca="1">ROUND(C58+C63+C64+C65,0)</f>
        <v>#N/A</v>
      </c>
      <c r="D57" s="24" t="s">
        <v>1549</v>
      </c>
      <c r="E57" s="921"/>
      <c r="F57" s="54"/>
      <c r="I57" s="2540" t="s">
        <v>2144</v>
      </c>
      <c r="J57" s="2541" t="e">
        <f ca="1">IF(OR(M47="住宅",J51&lt;L48,J56="是"),"——",J51-L48)</f>
        <v>#N/A</v>
      </c>
      <c r="K57" s="2521" t="s">
        <v>2149</v>
      </c>
      <c r="L57" s="1679" t="e">
        <f ca="1">IF(L48&lt;J51,"——",IF(L55="比较法",L49,IF(L55="基准地价",L50,L51)))</f>
        <v>#N/A</v>
      </c>
      <c r="M57" s="2922"/>
      <c r="O57" s="2072" t="s">
        <v>2165</v>
      </c>
      <c r="P57" s="2073" t="s">
        <v>2195</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1555</v>
      </c>
      <c r="E59" s="724" t="s">
        <v>1546</v>
      </c>
      <c r="F59" s="749">
        <f t="shared" ref="F59:F65" si="0">F32</f>
        <v>5.6000000000000001E-2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1557</v>
      </c>
      <c r="C60" s="51" t="e">
        <f ca="1">IF(D60="按租金收入计税",ROUND(C48*F60/(1+'数据-取费表'!C42),1),IF(D60="按房产原值计税",ROUND(C56*F60*0.7,1),INDIRECT("'数据-取费表'!Aj"&amp;$G$1)))</f>
        <v>#N/A</v>
      </c>
      <c r="D60" s="913" t="str">
        <f>D33</f>
        <v>按租金收入计税</v>
      </c>
      <c r="E60" s="724" t="s">
        <v>1546</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0</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2640</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1602</v>
      </c>
      <c r="E63" s="724" t="s">
        <v>1546</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1546</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1546</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2195</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1583</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10" sqref="F10"/>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3151</v>
      </c>
      <c r="D1" s="2520" t="s">
        <v>3155</v>
      </c>
      <c r="E1" s="2063" t="s">
        <v>849</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461</v>
      </c>
      <c r="B2" s="715" t="e">
        <f ca="1">C40+J29+L46</f>
        <v>#N/A</v>
      </c>
      <c r="C2" s="2923"/>
      <c r="D2" s="2922"/>
      <c r="E2" s="2924"/>
      <c r="F2" s="2924"/>
      <c r="G2" s="2919"/>
      <c r="H2" s="1782"/>
      <c r="I2" s="1782"/>
      <c r="J2" s="1782"/>
      <c r="K2" s="1783"/>
      <c r="L2" s="1782"/>
      <c r="M2" s="1782"/>
    </row>
    <row r="3" spans="1:33" ht="18" customHeight="1" thickBot="1">
      <c r="A3" s="772" t="s">
        <v>502</v>
      </c>
      <c r="B3" s="773">
        <f ca="1">IF(ISERROR(B2*10000/F43),0,ROUND(B2*10000/F43,0))</f>
        <v>0</v>
      </c>
      <c r="C3" s="2923"/>
      <c r="D3" s="2922"/>
      <c r="E3" s="2924"/>
      <c r="F3" s="2924"/>
      <c r="G3" s="2919"/>
      <c r="H3" s="716" t="s">
        <v>677</v>
      </c>
      <c r="I3" s="1203"/>
      <c r="J3" s="1203"/>
      <c r="K3" s="1399"/>
      <c r="L3" s="1203"/>
      <c r="M3" s="1203"/>
    </row>
    <row r="4" spans="1:33" ht="18" customHeight="1">
      <c r="A4" s="717" t="s">
        <v>612</v>
      </c>
      <c r="B4" s="718" t="s">
        <v>613</v>
      </c>
      <c r="C4" s="718" t="s">
        <v>614</v>
      </c>
      <c r="D4" s="718" t="s">
        <v>615</v>
      </c>
      <c r="E4" s="719" t="s">
        <v>616</v>
      </c>
      <c r="F4" s="720"/>
      <c r="G4" s="1780"/>
      <c r="H4" s="717" t="s">
        <v>612</v>
      </c>
      <c r="I4" s="718" t="s">
        <v>613</v>
      </c>
      <c r="J4" s="718" t="s">
        <v>614</v>
      </c>
      <c r="K4" s="718" t="s">
        <v>615</v>
      </c>
      <c r="L4" s="719" t="s">
        <v>616</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504" t="s">
        <v>2241</v>
      </c>
      <c r="C6" s="723" t="e">
        <f ca="1">ROUND(F6*F8*F7*(1-F9)/10000,0)</f>
        <v>#N/A</v>
      </c>
      <c r="D6" s="2155" t="s">
        <v>2240</v>
      </c>
      <c r="E6" s="724" t="s">
        <v>619</v>
      </c>
      <c r="F6" s="725" t="e">
        <f ca="1">INDIRECT("'数据-取费表'!u"&amp;$G$1)</f>
        <v>#N/A</v>
      </c>
      <c r="G6" s="1780"/>
      <c r="H6" s="2162" t="s">
        <v>1623</v>
      </c>
      <c r="I6" s="3504" t="s">
        <v>2241</v>
      </c>
      <c r="J6" s="723" t="e">
        <f ca="1">ROUND(M6*M8*M7*(1-M9)/10000,0)</f>
        <v>#N/A</v>
      </c>
      <c r="K6" s="320" t="s">
        <v>618</v>
      </c>
      <c r="L6" s="724" t="s">
        <v>619</v>
      </c>
      <c r="M6" s="725" t="e">
        <f ca="1">INDIRECT("'数据-取费表'!z"&amp;$G$1)</f>
        <v>#N/A</v>
      </c>
    </row>
    <row r="7" spans="1:33" ht="18" customHeight="1">
      <c r="A7" s="2158"/>
      <c r="B7" s="3505"/>
      <c r="C7" s="728"/>
      <c r="D7" s="729"/>
      <c r="E7" s="724" t="s">
        <v>620</v>
      </c>
      <c r="F7" s="725" t="e">
        <f ca="1">IF(INDIRECT("'数据-取费表'!ah"&amp;$G$1)="",INDIRECT("'数据-取费表'!k"&amp;$G$1),INDIRECT("'数据-取费表'!ah"&amp;$G$1))</f>
        <v>#N/A</v>
      </c>
      <c r="G7" s="1780"/>
      <c r="H7" s="2147"/>
      <c r="I7" s="3505"/>
      <c r="J7" s="728"/>
      <c r="K7" s="729"/>
      <c r="L7" s="724" t="s">
        <v>620</v>
      </c>
      <c r="M7" s="725" t="e">
        <f ca="1">F7</f>
        <v>#N/A</v>
      </c>
    </row>
    <row r="8" spans="1:33" ht="18" customHeight="1">
      <c r="A8" s="2151"/>
      <c r="B8" s="3506"/>
      <c r="C8" s="728"/>
      <c r="D8" s="729"/>
      <c r="E8" s="724" t="s">
        <v>621</v>
      </c>
      <c r="F8" s="725" t="e">
        <f ca="1">INDIRECT("'数据-取费表'!ai"&amp;$G$1)</f>
        <v>#N/A</v>
      </c>
      <c r="G8" s="1780"/>
      <c r="H8" s="2147"/>
      <c r="I8" s="3506"/>
      <c r="J8" s="728"/>
      <c r="K8" s="729"/>
      <c r="L8" s="724" t="s">
        <v>621</v>
      </c>
      <c r="M8" s="725" t="e">
        <f ca="1">INDIRECT("'数据-取费表'!ai"&amp;$G$1)</f>
        <v>#N/A</v>
      </c>
    </row>
    <row r="9" spans="1:33" ht="18" customHeight="1">
      <c r="A9" s="726"/>
      <c r="B9" s="3507"/>
      <c r="C9" s="728"/>
      <c r="D9" s="729"/>
      <c r="E9" s="724" t="s">
        <v>622</v>
      </c>
      <c r="F9" s="734" t="e">
        <f ca="1">INDIRECT("'数据-取费表'!w"&amp;$G$1)</f>
        <v>#N/A</v>
      </c>
      <c r="G9" s="1780"/>
      <c r="H9" s="2163"/>
      <c r="I9" s="3506"/>
      <c r="J9" s="728"/>
      <c r="K9" s="729"/>
      <c r="L9" s="735" t="s">
        <v>622</v>
      </c>
      <c r="M9" s="736" t="e">
        <f ca="1">INDIRECT("'数据-取费表'!ab"&amp;$G$1)</f>
        <v>#N/A</v>
      </c>
    </row>
    <row r="10" spans="1:33" ht="18" customHeight="1">
      <c r="A10" s="1603" t="s">
        <v>1624</v>
      </c>
      <c r="B10" s="2152" t="s">
        <v>2237</v>
      </c>
      <c r="C10" s="739">
        <f ca="1">ROUND(IF(F10="押一",C6/12*F11,IF(F10="押二",C6/12*2*F11,IF(F10="押三",C6/12*3*F11,C11*F11))),0)</f>
        <v>0</v>
      </c>
      <c r="D10" s="2159" t="s">
        <v>2667</v>
      </c>
      <c r="E10" s="2156" t="s">
        <v>2242</v>
      </c>
      <c r="F10" s="2229" t="s">
        <v>3749</v>
      </c>
      <c r="G10" s="1780"/>
      <c r="H10" s="2190" t="s">
        <v>1624</v>
      </c>
      <c r="I10" s="2194" t="s">
        <v>2237</v>
      </c>
      <c r="J10" s="723">
        <f ca="1">ROUND(IF(M10="押一",J6/12*M11,IF(M10="押二",J6/12*2*M11,IF(M10="押三",J6/12*3*M11,J11*M11))),0)</f>
        <v>0</v>
      </c>
      <c r="K10" s="2159" t="s">
        <v>2667</v>
      </c>
      <c r="L10" s="2156" t="s">
        <v>2242</v>
      </c>
      <c r="M10" s="2229"/>
    </row>
    <row r="11" spans="1:33" ht="18" customHeight="1">
      <c r="A11" s="730"/>
      <c r="B11" s="2153" t="s">
        <v>2290</v>
      </c>
      <c r="C11" s="2157"/>
      <c r="D11" s="729"/>
      <c r="E11" s="2156" t="s">
        <v>2235</v>
      </c>
      <c r="F11" s="736">
        <f ca="1">'数据-取费表'!B39</f>
        <v>1.4999999999999999E-2</v>
      </c>
      <c r="G11" s="1780"/>
      <c r="H11" s="2191"/>
      <c r="I11" s="2153" t="s">
        <v>2290</v>
      </c>
      <c r="J11" s="2157"/>
      <c r="K11" s="292"/>
      <c r="L11" s="2156" t="s">
        <v>2235</v>
      </c>
      <c r="M11" s="2150">
        <f ca="1">'数据-取费表'!B39</f>
        <v>1.4999999999999999E-2</v>
      </c>
    </row>
    <row r="12" spans="1:33" ht="18" customHeight="1" thickBot="1">
      <c r="A12" s="2166" t="s">
        <v>2245</v>
      </c>
      <c r="B12" s="2167" t="s">
        <v>2238</v>
      </c>
      <c r="C12" s="2168"/>
      <c r="D12" s="2169"/>
      <c r="E12" s="2170"/>
      <c r="F12" s="2171"/>
      <c r="G12" s="1780"/>
      <c r="H12" s="2180" t="s">
        <v>2245</v>
      </c>
      <c r="I12" s="2192" t="s">
        <v>2238</v>
      </c>
      <c r="J12" s="2193"/>
      <c r="K12" s="2169"/>
      <c r="L12" s="2170"/>
      <c r="M12" s="2183"/>
    </row>
    <row r="13" spans="1:33" ht="18" customHeight="1" thickTop="1">
      <c r="A13" s="1602">
        <v>2</v>
      </c>
      <c r="B13" s="1600" t="s">
        <v>626</v>
      </c>
      <c r="C13" s="732" t="e">
        <f ca="1">ROUND(C29*F13,0)</f>
        <v>#N/A</v>
      </c>
      <c r="D13" s="1607" t="s">
        <v>2086</v>
      </c>
      <c r="E13" s="1607" t="s">
        <v>625</v>
      </c>
      <c r="F13" s="2165" t="e">
        <f ca="1">INDIRECT("'数据-取费表'!y"&amp;$G$1)</f>
        <v>#N/A</v>
      </c>
      <c r="G13" s="1780"/>
      <c r="H13" s="1602">
        <v>2</v>
      </c>
      <c r="I13" s="1600" t="s">
        <v>626</v>
      </c>
      <c r="J13" s="1594" t="e">
        <f ca="1">ROUND(J14*J15,0)</f>
        <v>#N/A</v>
      </c>
      <c r="K13" s="1596" t="s">
        <v>624</v>
      </c>
      <c r="L13" s="2181"/>
      <c r="M13" s="2182"/>
    </row>
    <row r="14" spans="1:33" ht="18" customHeight="1">
      <c r="A14" s="1444" t="s">
        <v>1630</v>
      </c>
      <c r="B14" s="724" t="s">
        <v>627</v>
      </c>
      <c r="C14" s="744" t="e">
        <f ca="1">INDIRECT("'数据-取费表'!m"&amp;$G$1)+INDIRECT("'数据-取费表'!t"&amp;$G$1)</f>
        <v>#N/A</v>
      </c>
      <c r="D14" s="912" t="s">
        <v>628</v>
      </c>
      <c r="E14" s="911"/>
      <c r="F14" s="745"/>
      <c r="G14" s="1780"/>
      <c r="H14" s="1445" t="s">
        <v>1623</v>
      </c>
      <c r="I14" s="1939" t="s">
        <v>2539</v>
      </c>
      <c r="J14" s="51" t="e">
        <f ca="1">C29</f>
        <v>#N/A</v>
      </c>
      <c r="K14" s="24"/>
      <c r="L14" s="741"/>
      <c r="M14" s="742"/>
    </row>
    <row r="15" spans="1:33" s="1788" customFormat="1" ht="18" customHeight="1" thickBot="1">
      <c r="A15" s="1444" t="s">
        <v>1631</v>
      </c>
      <c r="B15" s="724" t="s">
        <v>629</v>
      </c>
      <c r="C15" s="51" t="e">
        <f ca="1">ROUND(C14*F15,0)</f>
        <v>#N/A</v>
      </c>
      <c r="D15" s="746" t="s">
        <v>630</v>
      </c>
      <c r="E15" s="746" t="s">
        <v>631</v>
      </c>
      <c r="F15" s="747">
        <f>'数据-取费表'!B33</f>
        <v>0.03</v>
      </c>
      <c r="G15" s="2920"/>
      <c r="H15" s="2180" t="s">
        <v>1684</v>
      </c>
      <c r="I15" s="2175" t="s">
        <v>625</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1632</v>
      </c>
      <c r="B16" s="724" t="s">
        <v>632</v>
      </c>
      <c r="C16" s="51" t="e">
        <f ca="1">ROUND(INDIRECT("'数据-取费表'!m"&amp;$G$1)*F16,0)</f>
        <v>#N/A</v>
      </c>
      <c r="D16" s="724" t="s">
        <v>630</v>
      </c>
      <c r="E16" s="724" t="s">
        <v>631</v>
      </c>
      <c r="F16" s="749" t="e">
        <f ca="1">IF(INDIRECT("'数据-取费表'!c"&amp;$G$1)="住宅",'数据-取费表'!B34,0)</f>
        <v>#N/A</v>
      </c>
      <c r="G16" s="1780"/>
      <c r="H16" s="1602" t="s">
        <v>7</v>
      </c>
      <c r="I16" s="1600" t="s">
        <v>633</v>
      </c>
      <c r="J16" s="732" t="e">
        <f ca="1">ROUND(J17+J22+J23+J24,0)</f>
        <v>#N/A</v>
      </c>
      <c r="K16" s="1596" t="s">
        <v>634</v>
      </c>
      <c r="L16" s="915"/>
      <c r="M16" s="2149"/>
    </row>
    <row r="17" spans="1:33" s="1788" customFormat="1" ht="18" customHeight="1">
      <c r="A17" s="1444" t="s">
        <v>1682</v>
      </c>
      <c r="B17" s="724" t="s">
        <v>635</v>
      </c>
      <c r="C17" s="51" t="e">
        <f ca="1">ROUND(F17*(F43+INDIRECT("'数据-取费表'!S"&amp;$G$1))/10000,0)</f>
        <v>#N/A</v>
      </c>
      <c r="D17" s="724" t="s">
        <v>636</v>
      </c>
      <c r="E17" s="724" t="s">
        <v>637</v>
      </c>
      <c r="F17" s="54">
        <f>'数据-取费表'!B35</f>
        <v>200</v>
      </c>
      <c r="G17" s="2920"/>
      <c r="H17" s="1445" t="s">
        <v>1623</v>
      </c>
      <c r="I17" s="724" t="s">
        <v>638</v>
      </c>
      <c r="J17" s="2714" t="e">
        <f ca="1">ROUND(IF(AND(项目基本情况!B11="自然人",项目基本情况!B10="北京市"),J6*M17/(1+'数据-取费表'!C42),J18+J19+J20),0)</f>
        <v>#N/A</v>
      </c>
      <c r="K17" s="912" t="s">
        <v>639</v>
      </c>
      <c r="L17" s="913" t="s">
        <v>640</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630</v>
      </c>
      <c r="E18" s="724" t="s">
        <v>631</v>
      </c>
      <c r="F18" s="749">
        <f>'数据-取费表'!B36</f>
        <v>1.4999999999999999E-2</v>
      </c>
      <c r="G18" s="2920"/>
      <c r="H18" s="1444" t="s">
        <v>1630</v>
      </c>
      <c r="I18" s="724" t="s">
        <v>642</v>
      </c>
      <c r="J18" s="51" t="e">
        <f ca="1">ROUND(J6*M18/(1+'数据-取费表'!C42),1)</f>
        <v>#N/A</v>
      </c>
      <c r="K18" s="913" t="s">
        <v>643</v>
      </c>
      <c r="L18" s="724" t="s">
        <v>631</v>
      </c>
      <c r="M18" s="749">
        <f>'数据-取费表'!B41</f>
        <v>5.6000000000000001E-2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1623</v>
      </c>
      <c r="B19" s="724" t="s">
        <v>644</v>
      </c>
      <c r="C19" s="51" t="e">
        <f ca="1">SUM(C14:C18)</f>
        <v>#N/A</v>
      </c>
      <c r="D19" s="246" t="s">
        <v>645</v>
      </c>
      <c r="E19" s="921"/>
      <c r="F19" s="54"/>
      <c r="G19" s="1780"/>
      <c r="H19" s="1444" t="s">
        <v>1631</v>
      </c>
      <c r="I19" s="724" t="s">
        <v>646</v>
      </c>
      <c r="J19" s="51" t="e">
        <f ca="1">IF(K19="按租金收入计税",ROUND(J6*M19/(1+'数据-取费表'!C42),1),ROUND(C29*F33*0.7,1))</f>
        <v>#N/A</v>
      </c>
      <c r="K19" s="750" t="s">
        <v>647</v>
      </c>
      <c r="L19" s="724" t="s">
        <v>631</v>
      </c>
      <c r="M19" s="749">
        <f>IF(K19="按租金收入计税",'数据-取费表'!B51,'数据-取费表'!B50)</f>
        <v>1.2E-2</v>
      </c>
    </row>
    <row r="20" spans="1:33" s="1788" customFormat="1" ht="18" customHeight="1">
      <c r="A20" s="1445" t="s">
        <v>1684</v>
      </c>
      <c r="B20" s="724" t="s">
        <v>648</v>
      </c>
      <c r="C20" s="51" t="e">
        <f ca="1">ROUND(C19*F20,0)</f>
        <v>#N/A</v>
      </c>
      <c r="D20" s="751" t="s">
        <v>649</v>
      </c>
      <c r="E20" s="724" t="s">
        <v>631</v>
      </c>
      <c r="F20" s="749">
        <f>'数据-取费表'!B37</f>
        <v>0.02</v>
      </c>
      <c r="G20" s="2920"/>
      <c r="H20" s="1447" t="s">
        <v>1632</v>
      </c>
      <c r="I20" s="320" t="s">
        <v>650</v>
      </c>
      <c r="J20" s="52" t="e">
        <f ca="1">ROUND(M20*M21/10000,0)</f>
        <v>#N/A</v>
      </c>
      <c r="K20" s="753" t="s">
        <v>651</v>
      </c>
      <c r="L20" s="724" t="s">
        <v>652</v>
      </c>
      <c r="M20" s="592">
        <f>'数据-取费表'!B52</f>
        <v>0</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653</v>
      </c>
      <c r="C21" s="51" t="s">
        <v>1</v>
      </c>
      <c r="D21" s="751" t="s">
        <v>2087</v>
      </c>
      <c r="E21" s="724" t="s">
        <v>655</v>
      </c>
      <c r="F21" s="749">
        <f>'数据-取费表'!B38</f>
        <v>0.02</v>
      </c>
      <c r="G21" s="2920"/>
      <c r="H21" s="2164"/>
      <c r="I21" s="733"/>
      <c r="J21" s="67"/>
      <c r="K21" s="755"/>
      <c r="L21" s="724" t="s">
        <v>656</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657</v>
      </c>
      <c r="C22" s="51"/>
      <c r="D22" s="2198" t="str">
        <f>IF(F23&lt;=1,"单利计息。","复利计息。")&amp;"建造成本、管理费用、销售费用产生的利息。"</f>
        <v>复利计息。建造成本、管理费用、销售费用产生的利息。</v>
      </c>
      <c r="E22" s="921"/>
      <c r="F22" s="54"/>
      <c r="G22" s="1780"/>
      <c r="H22" s="1445" t="s">
        <v>1684</v>
      </c>
      <c r="I22" s="724" t="s">
        <v>658</v>
      </c>
      <c r="J22" s="51" t="e">
        <f ca="1">ROUND(J14*M22,0)</f>
        <v>#N/A</v>
      </c>
      <c r="K22" s="913" t="s">
        <v>659</v>
      </c>
      <c r="L22" s="724" t="s">
        <v>631</v>
      </c>
      <c r="M22" s="756" t="e">
        <f ca="1">INDIRECT("'数据-取费表'!Ak"&amp;$G$1)</f>
        <v>#N/A</v>
      </c>
    </row>
    <row r="23" spans="1:33" s="1788" customFormat="1" ht="18" customHeight="1">
      <c r="A23" s="1444" t="s">
        <v>1630</v>
      </c>
      <c r="B23" s="724" t="s">
        <v>2218</v>
      </c>
      <c r="C23" s="51" t="e">
        <f ca="1">ROUND(IF('数据-取费表'!B22&lt;=1,(C19+C20)*F24*F23/2,(C19+C20)*(POWER((1+F24),F23/2)-1)),0)</f>
        <v>#N/A</v>
      </c>
      <c r="D23" s="2197" t="str">
        <f>IF(F23&lt;=1,"(建造成本+管理费用)×利率×(建设周期÷2)","(建造成本+管理费用)×((1+利率)^(建设周期÷2)-1)")</f>
        <v>(建造成本+管理费用)×((1+利率)^(建设周期÷2)-1)</v>
      </c>
      <c r="E23" s="724" t="s">
        <v>660</v>
      </c>
      <c r="F23" s="592">
        <f>'数据-取费表'!B20</f>
        <v>2</v>
      </c>
      <c r="G23" s="2920"/>
      <c r="H23" s="1445" t="s">
        <v>1685</v>
      </c>
      <c r="I23" s="724" t="s">
        <v>661</v>
      </c>
      <c r="J23" s="51" t="e">
        <f ca="1">ROUND(J13*M23,0)</f>
        <v>#N/A</v>
      </c>
      <c r="K23" s="913" t="s">
        <v>662</v>
      </c>
      <c r="L23" s="724" t="s">
        <v>631</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663</v>
      </c>
      <c r="C24" s="51">
        <f ca="1">ROUND(IF('数据-取费表'!B22&lt;=1,F21*F24*F23/2,F21*(POWER((1+F24),F23/2)-1)),4)</f>
        <v>8.0000000000000004E-4</v>
      </c>
      <c r="D24" s="2197" t="str">
        <f>IF(F23&lt;=1,"销售费用×利率×(建设周期÷2)","销售费用×((1+利率)^(建设周期÷2)-1)")</f>
        <v>销售费用×((1+利率)^(建设周期÷2)-1)</v>
      </c>
      <c r="E24" s="724" t="s">
        <v>664</v>
      </c>
      <c r="F24" s="758">
        <f ca="1">'数据-取费表'!B40</f>
        <v>4.1499999999999995E-2</v>
      </c>
      <c r="G24" s="2920"/>
      <c r="H24" s="2180" t="s">
        <v>1686</v>
      </c>
      <c r="I24" s="2175" t="s">
        <v>648</v>
      </c>
      <c r="J24" s="2173" t="e">
        <f ca="1">ROUND(J5*M24,0)</f>
        <v>#N/A</v>
      </c>
      <c r="K24" s="2174" t="s">
        <v>665</v>
      </c>
      <c r="L24" s="2175" t="s">
        <v>631</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667</v>
      </c>
      <c r="E25" s="921"/>
      <c r="F25" s="54"/>
      <c r="G25" s="1780"/>
      <c r="H25" s="1602" t="s">
        <v>1575</v>
      </c>
      <c r="I25" s="2451" t="s">
        <v>2536</v>
      </c>
      <c r="J25" s="732" t="e">
        <f ca="1">J5-J16</f>
        <v>#N/A</v>
      </c>
      <c r="K25" s="2177" t="s">
        <v>682</v>
      </c>
      <c r="L25" s="2178"/>
      <c r="M25" s="2179"/>
    </row>
    <row r="26" spans="1:33" ht="18" customHeight="1">
      <c r="A26" s="1444" t="s">
        <v>1630</v>
      </c>
      <c r="B26" s="724" t="s">
        <v>2219</v>
      </c>
      <c r="C26" s="51" t="e">
        <f ca="1">ROUND((C19+C20)*F26,0)</f>
        <v>#N/A</v>
      </c>
      <c r="D26" s="751" t="s">
        <v>683</v>
      </c>
      <c r="E26" s="735" t="s">
        <v>684</v>
      </c>
      <c r="F26" s="734" t="e">
        <f ca="1">INDIRECT("'数据-取费表'!q"&amp;$G$1)</f>
        <v>#N/A</v>
      </c>
      <c r="G26" s="1780"/>
      <c r="H26" s="2160" t="s">
        <v>1579</v>
      </c>
      <c r="I26" s="1940" t="s">
        <v>2541</v>
      </c>
      <c r="J26" s="723" t="e">
        <f ca="1">IF(J5&lt;&gt;0,ROUND(J25*(1-((1+M28)/(1+M26))^M27)/(M26-M28),0),0)</f>
        <v>#N/A</v>
      </c>
      <c r="K26" s="753" t="s">
        <v>686</v>
      </c>
      <c r="L26" s="724" t="s">
        <v>2205</v>
      </c>
      <c r="M26" s="734" t="e">
        <f ca="1">INDIRECT("'数据-取费表'!I"&amp;$G$1)</f>
        <v>#N/A</v>
      </c>
    </row>
    <row r="27" spans="1:33" ht="18" customHeight="1">
      <c r="A27" s="1444" t="s">
        <v>1631</v>
      </c>
      <c r="B27" s="724" t="s">
        <v>668</v>
      </c>
      <c r="C27" s="51" t="e">
        <f ca="1">ROUND(F21*F26,4)</f>
        <v>#N/A</v>
      </c>
      <c r="D27" s="751" t="s">
        <v>688</v>
      </c>
      <c r="E27" s="746"/>
      <c r="F27" s="747"/>
      <c r="G27" s="1780"/>
      <c r="H27" s="2161"/>
      <c r="I27" s="727"/>
      <c r="J27" s="728"/>
      <c r="K27" s="760" t="s">
        <v>689</v>
      </c>
      <c r="L27" s="724" t="s">
        <v>690</v>
      </c>
      <c r="M27" s="761" t="e">
        <f ca="1">INDIRECT("'数据-取费表'!ag"&amp;$G$1)</f>
        <v>#N/A</v>
      </c>
    </row>
    <row r="28" spans="1:33" s="1788" customFormat="1" ht="18" customHeight="1">
      <c r="A28" s="1446" t="s">
        <v>1640</v>
      </c>
      <c r="B28" s="724" t="s">
        <v>669</v>
      </c>
      <c r="C28" s="51">
        <f>ROUND(F28/(1+'数据-取费表'!C42),4)</f>
        <v>5.33E-2</v>
      </c>
      <c r="D28" s="751" t="s">
        <v>2088</v>
      </c>
      <c r="E28" s="724" t="s">
        <v>631</v>
      </c>
      <c r="F28" s="749">
        <f>'数据-取费表'!B41</f>
        <v>5.6000000000000001E-2</v>
      </c>
      <c r="G28" s="2920"/>
      <c r="H28" s="1602"/>
      <c r="I28" s="731"/>
      <c r="J28" s="732"/>
      <c r="K28" s="755"/>
      <c r="L28" s="724" t="s">
        <v>692</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670</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7</v>
      </c>
      <c r="B30" s="1600" t="s">
        <v>633</v>
      </c>
      <c r="C30" s="732" t="e">
        <f ca="1">ROUND(C31+C36+C37+C38,0)</f>
        <v>#N/A</v>
      </c>
      <c r="D30" s="1596" t="s">
        <v>634</v>
      </c>
      <c r="E30" s="915"/>
      <c r="F30" s="2149"/>
      <c r="G30" s="1780"/>
      <c r="H30" s="1789"/>
      <c r="I30" s="1790"/>
      <c r="J30" s="1791"/>
      <c r="K30" s="1748"/>
      <c r="L30" s="1792"/>
      <c r="M30" s="1793"/>
    </row>
    <row r="31" spans="1:33" ht="18" customHeight="1">
      <c r="A31" s="1445" t="s">
        <v>1623</v>
      </c>
      <c r="B31" s="724" t="s">
        <v>638</v>
      </c>
      <c r="C31" s="2714" t="e">
        <f ca="1">ROUND(IF(AND(项目基本情况!B11="自然人",项目基本情况!B10="北京市"),C6*F31/(1+'数据-取费表'!C42),C32+C33+C34),0)</f>
        <v>#N/A</v>
      </c>
      <c r="D31" s="912" t="s">
        <v>639</v>
      </c>
      <c r="E31" s="913" t="s">
        <v>672</v>
      </c>
      <c r="F31" s="2713" t="str">
        <f>IF(项目基本情况!B11="企业","——",IF('数据-取费表'!B10="住宅",IF(F6*F7*F8/12/(1+'数据-取费表'!F30)&gt;100000,4%,2.5%),IF(F6*F7*F8/12/(1+'数据-取费表'!F30)&gt;100000,12%,7%)))</f>
        <v>——</v>
      </c>
      <c r="G31" s="1780"/>
      <c r="H31" s="2917" t="s">
        <v>2721</v>
      </c>
      <c r="I31" s="1790"/>
      <c r="J31" s="1791"/>
      <c r="K31" s="1748"/>
      <c r="L31" s="1792"/>
      <c r="M31" s="1793"/>
    </row>
    <row r="32" spans="1:33" ht="18" customHeight="1">
      <c r="A32" s="1444" t="s">
        <v>1630</v>
      </c>
      <c r="B32" s="724" t="s">
        <v>642</v>
      </c>
      <c r="C32" s="51" t="e">
        <f ca="1">ROUND(C6*F32/(1+'数据-取费表'!C42),1)</f>
        <v>#N/A</v>
      </c>
      <c r="D32" s="913" t="s">
        <v>643</v>
      </c>
      <c r="E32" s="724" t="s">
        <v>631</v>
      </c>
      <c r="F32" s="749">
        <f>'数据-取费表'!B41</f>
        <v>5.6000000000000001E-2</v>
      </c>
      <c r="G32" s="1780"/>
      <c r="H32" s="1794"/>
      <c r="I32" s="1795"/>
      <c r="J32" s="1796"/>
      <c r="K32" s="1797"/>
      <c r="L32" s="1798"/>
      <c r="M32" s="1799"/>
    </row>
    <row r="33" spans="1:18" ht="18" customHeight="1">
      <c r="A33" s="1444" t="s">
        <v>1631</v>
      </c>
      <c r="B33" s="724" t="s">
        <v>646</v>
      </c>
      <c r="C33" s="51" t="e">
        <f ca="1">IF(D33="按租金收入计税",ROUND(C6*F33/(1+'数据-取费表'!C42),1),IF(D33="按房产原值计税",ROUND(C29*F33*0.7,1),INDIRECT("'数据-取费表'!Aj"&amp;$G$1)))</f>
        <v>#N/A</v>
      </c>
      <c r="D33" s="750" t="s">
        <v>3157</v>
      </c>
      <c r="E33" s="724" t="s">
        <v>631</v>
      </c>
      <c r="F33" s="749">
        <f>IF(D33="按租金收入计税",'数据-取费表'!B51,'数据-取费表'!B50)</f>
        <v>0.12</v>
      </c>
      <c r="G33" s="1780"/>
      <c r="H33" s="1800"/>
      <c r="I33" s="1800"/>
      <c r="J33" s="1800"/>
      <c r="K33" s="1801"/>
      <c r="L33" s="1800"/>
      <c r="M33" s="1800"/>
    </row>
    <row r="34" spans="1:18" ht="18" customHeight="1">
      <c r="A34" s="1447" t="s">
        <v>1632</v>
      </c>
      <c r="B34" s="320" t="s">
        <v>650</v>
      </c>
      <c r="C34" s="52" t="e">
        <f ca="1">ROUND(F34*F35/10000,1)</f>
        <v>#N/A</v>
      </c>
      <c r="D34" s="753" t="s">
        <v>651</v>
      </c>
      <c r="E34" s="724" t="s">
        <v>652</v>
      </c>
      <c r="F34" s="592">
        <f>'数据-取费表'!B52</f>
        <v>0</v>
      </c>
      <c r="G34" s="1780"/>
      <c r="H34" s="1789"/>
      <c r="I34" s="774" t="s">
        <v>1612</v>
      </c>
      <c r="J34" s="775"/>
      <c r="K34" s="1803"/>
      <c r="L34" s="1802"/>
      <c r="M34" s="1802"/>
    </row>
    <row r="35" spans="1:18" ht="18" customHeight="1">
      <c r="A35" s="754"/>
      <c r="B35" s="733"/>
      <c r="C35" s="67"/>
      <c r="D35" s="755"/>
      <c r="E35" s="724" t="s">
        <v>656</v>
      </c>
      <c r="F35" s="725" t="e">
        <f ca="1">INDIRECT("'数据-取费表'!r"&amp;$G$1)</f>
        <v>#N/A</v>
      </c>
      <c r="G35" s="1780"/>
      <c r="H35" s="1789"/>
      <c r="I35" s="776" t="s">
        <v>1613</v>
      </c>
      <c r="J35" s="777" t="e">
        <f ca="1">ROUND(C13*J36,0)</f>
        <v>#N/A</v>
      </c>
      <c r="K35" s="1801"/>
      <c r="L35" s="1800"/>
      <c r="M35" s="1800"/>
    </row>
    <row r="36" spans="1:18" ht="18" customHeight="1">
      <c r="A36" s="1445" t="s">
        <v>1684</v>
      </c>
      <c r="B36" s="724" t="s">
        <v>658</v>
      </c>
      <c r="C36" s="51" t="e">
        <f ca="1">ROUND(C29*F36,1)</f>
        <v>#N/A</v>
      </c>
      <c r="D36" s="913" t="s">
        <v>673</v>
      </c>
      <c r="E36" s="724" t="s">
        <v>631</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662</v>
      </c>
      <c r="E37" s="724" t="s">
        <v>631</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665</v>
      </c>
      <c r="E38" s="2175" t="s">
        <v>631</v>
      </c>
      <c r="F38" s="2171" t="e">
        <f ca="1">INDIRECT("'数据-取费表'!Am"&amp;$G$1)</f>
        <v>#N/A</v>
      </c>
      <c r="G38" s="1780"/>
      <c r="H38" s="1800"/>
      <c r="I38" s="782" t="s">
        <v>1616</v>
      </c>
      <c r="J38" s="783"/>
      <c r="K38" s="1805"/>
      <c r="L38" s="1800"/>
      <c r="M38" s="1800"/>
    </row>
    <row r="39" spans="1:18" ht="24.6" customHeight="1" thickTop="1">
      <c r="A39" s="1602" t="s">
        <v>1575</v>
      </c>
      <c r="B39" s="2451" t="s">
        <v>2536</v>
      </c>
      <c r="C39" s="732" t="e">
        <f ca="1">C5-C30</f>
        <v>#N/A</v>
      </c>
      <c r="D39" s="2177" t="s">
        <v>682</v>
      </c>
      <c r="E39" s="2178"/>
      <c r="F39" s="2179"/>
      <c r="G39" s="1780"/>
      <c r="H39" s="1800"/>
      <c r="I39" s="776" t="s">
        <v>1617</v>
      </c>
      <c r="J39" s="784" t="e">
        <f ca="1">ROUND(J35/C39,3)</f>
        <v>#N/A</v>
      </c>
      <c r="K39" s="1805"/>
      <c r="L39" s="1800"/>
      <c r="M39" s="1800"/>
    </row>
    <row r="40" spans="1:18" ht="18" customHeight="1">
      <c r="A40" s="721" t="s">
        <v>1579</v>
      </c>
      <c r="B40" s="1940" t="s">
        <v>2090</v>
      </c>
      <c r="C40" s="723" t="e">
        <f ca="1">ROUND(C39*(1-((1+F42)/(1+F40))^F41)/(F40-F42),0)</f>
        <v>#N/A</v>
      </c>
      <c r="D40" s="753" t="s">
        <v>686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690</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692</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3158</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1665</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620</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621</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2667</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2671</v>
      </c>
      <c r="J53" s="2575" t="e">
        <f ca="1">IF(M47="住宅",IF(D1="——",MAX(J51,L48),MAX(J51,L48-'数据-取费表'!B20)),IF(D1="——",MIN(J51,L48),MIN(J51,L48-'数据-取费表'!B20)))</f>
        <v>#N/A</v>
      </c>
      <c r="K53" s="3516" t="s">
        <v>2661</v>
      </c>
      <c r="L53" s="351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2089</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7</v>
      </c>
      <c r="B57" s="738" t="s">
        <v>633</v>
      </c>
      <c r="C57" s="739" t="e">
        <f ca="1">ROUND(C58+C63+C64+C65,0)</f>
        <v>#N/A</v>
      </c>
      <c r="D57" s="24" t="s">
        <v>634</v>
      </c>
      <c r="E57" s="921"/>
      <c r="F57" s="54"/>
      <c r="I57" s="2540" t="s">
        <v>2144</v>
      </c>
      <c r="J57" s="2541" t="e">
        <f ca="1">IF(OR(M47="住宅",J51&lt;L48,J56="是"),"——",J51-L48)</f>
        <v>#N/A</v>
      </c>
      <c r="K57" s="2521" t="s">
        <v>2149</v>
      </c>
      <c r="L57" s="1679" t="e">
        <f ca="1">IF(L48&lt;J51,"——",IF(L55="比较法",L49,IF(L55="基准地价",L50,L51)))</f>
        <v>#N/A</v>
      </c>
      <c r="M57" s="2922"/>
      <c r="O57" s="2072" t="s">
        <v>2165</v>
      </c>
      <c r="P57" s="2073" t="s">
        <v>2191</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643</v>
      </c>
      <c r="E59" s="724" t="s">
        <v>631</v>
      </c>
      <c r="F59" s="749">
        <f t="shared" ref="F59:F65" si="0">F32</f>
        <v>5.6000000000000001E-2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646</v>
      </c>
      <c r="C60" s="51" t="e">
        <f ca="1">IF(D60="按租金收入计税",ROUND(C48*F60/(1+'数据-取费表'!C42),1),IF(D60="按房产原值计税",ROUND(C56*F60*0.7,1),INDIRECT("'数据-取费表'!Aj"&amp;$G$1)))</f>
        <v>#N/A</v>
      </c>
      <c r="D60" s="913" t="str">
        <f>D33</f>
        <v>按租金收入计税</v>
      </c>
      <c r="E60" s="724" t="s">
        <v>631</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0</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2640</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673</v>
      </c>
      <c r="E63" s="724" t="s">
        <v>631</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631</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631</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2191</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690</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R25" sqref="R25"/>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20" width="11" style="242" customWidth="1"/>
    <col min="21" max="35" width="9" style="242"/>
    <col min="36" max="16384" width="9" style="1091"/>
  </cols>
  <sheetData>
    <row r="1" spans="1:45" s="242" customFormat="1" ht="14.25" customHeight="1" thickBot="1">
      <c r="A1" s="344"/>
      <c r="B1" s="1942" t="s">
        <v>2092</v>
      </c>
      <c r="C1" s="3521" t="s">
        <v>2093</v>
      </c>
      <c r="D1" s="3522"/>
      <c r="E1" s="3522"/>
      <c r="F1" s="3522"/>
      <c r="G1" s="3522"/>
      <c r="H1" s="3522"/>
      <c r="I1" s="3522"/>
      <c r="J1" s="3522"/>
      <c r="K1" s="3522"/>
      <c r="L1" s="3522"/>
      <c r="M1" s="3522"/>
      <c r="N1" s="3522"/>
      <c r="O1" s="3522"/>
      <c r="P1" s="3522"/>
      <c r="Q1" s="3522"/>
      <c r="R1" s="3522"/>
      <c r="S1" s="3523"/>
      <c r="T1" s="1942" t="s">
        <v>2094</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2095</v>
      </c>
      <c r="C2" s="26" t="str">
        <f t="shared" ref="C2:L2" si="0">C3&amp;"(含)"&amp;"-"&amp;D3</f>
        <v>0(含)-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v>0</v>
      </c>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v>100</v>
      </c>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38.25">
      <c r="A5" s="1959"/>
      <c r="B5" s="3209" t="s">
        <v>1752</v>
      </c>
      <c r="C5" s="1960" t="str">
        <f>'比较法-住宅、综合'!C117</f>
        <v>0(含)-20000</v>
      </c>
      <c r="D5" s="1960" t="str">
        <f>'比较法-住宅、综合'!D117</f>
        <v>20000(含)-40000</v>
      </c>
      <c r="E5" s="1960" t="str">
        <f>'比较法-住宅、综合'!E117</f>
        <v>40000(含)-60000</v>
      </c>
      <c r="F5" s="1960" t="str">
        <f>'比较法-住宅、综合'!F117</f>
        <v>60000(含)-80000</v>
      </c>
      <c r="G5" s="1960" t="str">
        <f>'比较法-住宅、综合'!G117</f>
        <v>80000(含)-</v>
      </c>
      <c r="H5" s="1960" t="str">
        <f>'比较法-住宅、综合'!H117</f>
        <v>(含)-</v>
      </c>
      <c r="I5" s="1960" t="str">
        <f>'比较法-住宅、综合'!I117</f>
        <v>(含)-</v>
      </c>
      <c r="J5" s="1960" t="str">
        <f>'比较法-住宅、综合'!J117</f>
        <v>(含)-</v>
      </c>
      <c r="K5" s="1961"/>
      <c r="L5" s="1962"/>
      <c r="M5" s="1963"/>
      <c r="N5" s="1963"/>
      <c r="O5" s="1961"/>
      <c r="P5" s="1961"/>
      <c r="Q5" s="1961"/>
      <c r="R5" s="1961"/>
      <c r="S5" s="1964"/>
      <c r="T5" s="1965">
        <v>-1</v>
      </c>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101</v>
      </c>
      <c r="E6" s="1739">
        <f t="shared" ref="E6:S6" si="7">D6-$T5</f>
        <v>102</v>
      </c>
      <c r="F6" s="1739">
        <f t="shared" si="7"/>
        <v>103</v>
      </c>
      <c r="G6" s="1739">
        <f t="shared" si="7"/>
        <v>104</v>
      </c>
      <c r="H6" s="1739">
        <f t="shared" si="7"/>
        <v>105</v>
      </c>
      <c r="I6" s="1739">
        <f t="shared" si="7"/>
        <v>106</v>
      </c>
      <c r="J6" s="1739">
        <f t="shared" si="7"/>
        <v>107</v>
      </c>
      <c r="K6" s="1739">
        <f t="shared" si="7"/>
        <v>108</v>
      </c>
      <c r="L6" s="1739">
        <f t="shared" si="7"/>
        <v>109</v>
      </c>
      <c r="M6" s="1739">
        <f t="shared" si="7"/>
        <v>110</v>
      </c>
      <c r="N6" s="1739">
        <f t="shared" si="7"/>
        <v>111</v>
      </c>
      <c r="O6" s="1739">
        <f t="shared" si="7"/>
        <v>112</v>
      </c>
      <c r="P6" s="1739">
        <f t="shared" si="7"/>
        <v>113</v>
      </c>
      <c r="Q6" s="1739">
        <f t="shared" si="7"/>
        <v>114</v>
      </c>
      <c r="R6" s="1739">
        <f t="shared" si="7"/>
        <v>115</v>
      </c>
      <c r="S6" s="1739">
        <f t="shared" si="7"/>
        <v>116</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3210" t="s">
        <v>3752</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idden="1">
      <c r="A9" s="1959"/>
      <c r="B9" s="2502" t="s">
        <v>2626</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hidden="1"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idden="1">
      <c r="A11" s="1959"/>
      <c r="B11" s="2500" t="s">
        <v>2637</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hidden="1"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idden="1">
      <c r="A13" s="1959"/>
      <c r="B13" s="2500" t="s">
        <v>2625</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hidden="1"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idden="1">
      <c r="A15" s="1959"/>
      <c r="B15" s="2500" t="s">
        <v>2624</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hidden="1"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2096</v>
      </c>
      <c r="B17" s="1984" t="s">
        <v>2097</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 ca="1">S22</f>
        <v>42025</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f ca="1">R22</f>
        <v>2313</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181658.93</v>
      </c>
      <c r="C22" s="3518" t="s">
        <v>20</v>
      </c>
      <c r="D22" s="3519"/>
      <c r="E22" s="3519"/>
      <c r="F22" s="3519"/>
      <c r="G22" s="3519"/>
      <c r="H22" s="3519"/>
      <c r="I22" s="3519"/>
      <c r="J22" s="3519"/>
      <c r="K22" s="3519"/>
      <c r="L22" s="3519"/>
      <c r="M22" s="3519"/>
      <c r="N22" s="3519"/>
      <c r="O22" s="3519"/>
      <c r="P22" s="3519"/>
      <c r="Q22" s="3520"/>
      <c r="R22" s="51">
        <f ca="1">ROUND(S22*10000/B22,0)</f>
        <v>2313</v>
      </c>
      <c r="S22" s="51">
        <f ca="1">SUM(S24:S10000)</f>
        <v>42025</v>
      </c>
    </row>
    <row r="23" spans="1:45" s="1412" customFormat="1" ht="24">
      <c r="A23" s="16" t="s">
        <v>812</v>
      </c>
      <c r="B23" s="2578" t="s">
        <v>2645</v>
      </c>
      <c r="C23" s="16" t="s">
        <v>813</v>
      </c>
      <c r="D23" s="16" t="str">
        <f>B5</f>
        <v>土地面积</v>
      </c>
      <c r="E23" s="16" t="s">
        <v>813</v>
      </c>
      <c r="F23" s="16" t="str">
        <f>B7</f>
        <v>容积率</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3208" t="s">
        <v>3750</v>
      </c>
      <c r="U23" s="3208" t="s">
        <v>3751</v>
      </c>
      <c r="V23" s="17"/>
      <c r="W23" s="17"/>
      <c r="X23" s="17"/>
      <c r="Y23" s="17"/>
      <c r="Z23" s="17"/>
      <c r="AA23" s="17"/>
      <c r="AB23" s="17"/>
      <c r="AC23" s="17"/>
      <c r="AD23" s="17"/>
      <c r="AE23" s="17"/>
      <c r="AF23" s="17"/>
      <c r="AG23" s="17"/>
      <c r="AH23" s="17"/>
      <c r="AI23" s="17"/>
    </row>
    <row r="24" spans="1:45" s="1413" customFormat="1">
      <c r="A24" s="883">
        <f>'数据-基础表'!A3</f>
        <v>53757.04</v>
      </c>
      <c r="B24" s="883">
        <f>'数据-基础表'!B3</f>
        <v>139768.29999999999</v>
      </c>
      <c r="C24" s="2934">
        <v>1</v>
      </c>
      <c r="D24" s="2935" t="s">
        <v>3753</v>
      </c>
      <c r="E24" s="2934">
        <v>1</v>
      </c>
      <c r="F24" s="2935"/>
      <c r="G24" s="2934">
        <v>1</v>
      </c>
      <c r="H24" s="2935"/>
      <c r="I24" s="2934">
        <v>1</v>
      </c>
      <c r="J24" s="2935"/>
      <c r="K24" s="2934">
        <v>1</v>
      </c>
      <c r="L24" s="2935"/>
      <c r="M24" s="2934">
        <v>1</v>
      </c>
      <c r="N24" s="2935"/>
      <c r="O24" s="2934">
        <v>1</v>
      </c>
      <c r="P24" s="2935"/>
      <c r="Q24" s="2934">
        <v>1</v>
      </c>
      <c r="R24" s="883">
        <f ca="1">结果表!G20</f>
        <v>2324</v>
      </c>
      <c r="S24" s="884">
        <f t="shared" ref="S24:S54" ca="1" si="11">ROUND(R24*B24/10000,0)</f>
        <v>32482</v>
      </c>
      <c r="T24" s="1742">
        <v>53757.04</v>
      </c>
      <c r="U24" s="1742">
        <v>2.6</v>
      </c>
      <c r="V24" s="1742" t="s">
        <v>3777</v>
      </c>
      <c r="W24" s="1742"/>
      <c r="X24" s="1742"/>
      <c r="Y24" s="1742"/>
      <c r="Z24" s="1742"/>
      <c r="AA24" s="1742"/>
      <c r="AB24" s="1742"/>
      <c r="AC24" s="1742"/>
      <c r="AD24" s="1742"/>
      <c r="AE24" s="1742"/>
      <c r="AF24" s="1742"/>
      <c r="AG24" s="1742"/>
      <c r="AH24" s="1742"/>
      <c r="AI24" s="1742"/>
    </row>
    <row r="25" spans="1:45">
      <c r="A25" s="886">
        <f>T25</f>
        <v>12458.7</v>
      </c>
      <c r="B25" s="130">
        <v>41890.629999999997</v>
      </c>
      <c r="C25" s="51">
        <f>IF(B25="",1,(LOOKUP(B25,$3:$3,$4:$4)-LOOKUP($B$24,$3:$3,$4:$4)+100)/100)</f>
        <v>1</v>
      </c>
      <c r="D25" s="885" t="s">
        <v>3754</v>
      </c>
      <c r="E25" s="51">
        <f>(SUMIF($5:$5,D25,$6:$6)-SUMIF($5:$5,$D$24,$6:$6)+100)/100</f>
        <v>0.98</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 ca="1">IF(B25="",0,ROUND($R$24*C25*E25*G25*I25*K25*M25*O25*Q25,0))</f>
        <v>2278</v>
      </c>
      <c r="S25" s="739">
        <f t="shared" ca="1" si="11"/>
        <v>9543</v>
      </c>
      <c r="T25" s="242">
        <v>12458.7</v>
      </c>
      <c r="U25" s="242">
        <v>2.9</v>
      </c>
      <c r="V25" s="242" t="s">
        <v>3779</v>
      </c>
    </row>
    <row r="26" spans="1:45">
      <c r="A26" s="886"/>
      <c r="B26" s="130"/>
      <c r="C26" s="51">
        <f t="shared" ref="C26:C89" si="12">IF(B26="",1,(LOOKUP(B26,$3:$3,$4:$4)-LOOKUP($B$24,$3:$3,$4:$4)+100)/100)</f>
        <v>1</v>
      </c>
      <c r="D26" s="885"/>
      <c r="E26" s="51">
        <f t="shared" ref="E26:E89" si="13">(SUMIF($5:$5,D26,$6:$6)-SUMIF($5:$5,$D$24,$6:$6)+100)/100</f>
        <v>-0.02</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-0.02</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-0.02</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-0.02</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-0.02</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-0.02</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-0.02</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-0.02</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-0.02</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-0.02</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-0.02</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-0.02</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-0.02</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-0.02</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-0.02</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-0.02</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-0.02</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-0.02</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-0.02</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-0.02</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-0.02</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-0.02</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-0.02</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-0.02</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-0.02</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-0.02</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-0.02</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-0.02</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-0.02</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-0.02</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-0.02</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-0.02</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-0.02</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-0.02</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-0.02</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-0.02</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-0.02</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-0.02</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-0.02</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-0.02</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-0.02</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-0.02</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-0.02</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-0.02</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-0.02</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-0.02</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-0.02</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-0.02</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-0.02</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-0.02</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-0.02</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-0.02</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-0.02</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-0.02</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-0.02</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-0.02</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-0.02</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-0.02</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-0.02</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-0.02</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-0.02</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-0.02</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-0.02</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-0.02</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-0.02</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-0.02</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-0.02</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-0.02</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-0.02</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-0.02</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-0.02</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-0.02</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-0.02</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-0.02</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-0.02</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-0.02</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-0.02</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-0.02</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-0.02</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-0.02</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-0.02</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-0.02</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-0.02</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-0.02</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-0.02</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-0.02</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-0.02</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-0.02</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-0.02</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-0.02</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-0.02</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-0.02</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-0.02</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-0.02</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-0.02</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-0.02</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-0.02</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-0.02</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-0.02</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-0.02</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-0.02</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-0.02</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-0.02</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-0.02</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-0.02</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-0.02</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-0.02</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-0.02</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-0.02</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-0.02</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-0.02</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-0.02</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-0.02</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-0.02</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-0.02</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-0.02</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-0.02</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-0.02</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-0.02</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-0.02</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-0.02</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-0.02</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-0.02</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-0.02</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-0.02</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-0.02</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-0.02</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-0.02</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-0.02</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-0.02</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-0.02</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-0.02</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-0.02</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-0.02</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-0.02</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-0.02</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-0.02</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-0.02</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-0.02</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-0.02</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-0.02</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-0.02</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-0.02</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-0.02</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-0.02</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-0.02</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-0.02</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-0.02</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-0.02</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-0.02</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-0.02</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-0.02</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-0.02</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-0.02</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-0.02</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-0.02</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-0.02</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-0.02</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-0.02</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-0.02</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-0.02</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-0.02</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-0.02</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-0.02</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-0.02</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-0.02</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-0.02</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-0.02</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-0.02</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-0.02</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-0.02</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-0.02</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-0.02</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-0.02</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-0.02</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-0.02</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-0.02</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-0.02</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-0.02</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-0.02</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-0.02</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-0.02</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-0.02</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-0.02</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-0.02</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-0.02</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-0.02</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-0.02</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-0.02</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-0.02</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-0.02</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-0.02</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-0.02</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-0.02</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-0.02</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-0.02</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-0.02</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-0.02</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-0.02</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-0.02</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-0.02</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-0.02</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-0.02</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-0.02</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-0.02</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-0.02</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-0.02</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-0.02</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-0.02</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-0.02</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-0.02</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-0.02</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-0.02</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-0.02</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-0.02</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-0.02</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-0.02</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-0.02</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-0.02</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-0.02</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-0.02</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-0.02</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-0.02</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-0.02</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-0.02</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-0.02</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-0.02</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-0.02</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-0.02</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-0.02</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-0.02</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-0.02</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-0.02</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-0.02</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-0.02</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-0.02</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-0.02</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-0.02</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-0.02</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-0.02</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-0.02</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-0.02</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-0.02</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-0.02</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-0.02</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-0.02</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-0.02</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-0.02</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-0.02</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-0.02</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-0.02</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-0.02</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-0.02</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-0.02</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-0.02</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-0.02</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-0.02</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-0.02</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-0.02</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-0.02</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-0.02</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-0.02</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-0.02</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-0.02</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-0.02</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-0.02</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-0.02</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-0.02</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-0.02</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-0.02</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-0.02</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-0.02</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-0.02</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-0.02</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-0.02</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-0.02</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-0.02</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-0.02</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-0.02</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-0.02</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-0.02</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-0.02</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-0.02</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-0.02</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-0.02</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-0.02</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-0.02</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-0.02</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-0.02</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-0.02</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-0.02</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-0.02</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-0.02</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-0.02</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-0.02</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-0.02</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-0.02</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-0.02</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-0.02</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-0.02</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-0.02</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-0.02</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-0.02</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-0.02</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-0.02</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-0.02</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-0.02</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-0.02</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-0.02</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-0.02</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-0.02</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-0.02</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-0.02</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-0.02</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-0.02</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-0.02</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-0.02</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-0.02</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-0.02</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-0.02</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-0.02</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-0.02</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-0.02</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-0.02</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-0.02</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-0.02</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-0.02</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-0.02</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-0.02</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-0.02</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-0.02</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-0.02</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-0.02</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-0.02</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-0.02</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-0.02</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-0.02</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-0.02</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-0.02</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-0.02</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-0.02</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-0.02</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-0.02</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-0.02</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-0.02</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-0.02</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-0.02</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-0.02</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-0.02</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-0.02</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-0.02</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-0.02</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-0.02</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-0.02</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-0.02</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-0.02</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-0.02</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-0.02</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-0.02</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-0.02</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-0.02</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-0.02</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-0.02</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-0.02</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-0.02</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-0.02</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-0.02</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-0.02</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-0.02</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-0.02</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-0.02</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-0.02</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-0.02</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-0.02</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-0.02</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-0.02</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-0.02</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-0.02</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-0.02</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-0.02</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-0.02</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-0.02</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-0.02</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-0.02</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-0.02</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-0.02</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-0.02</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-0.02</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-0.02</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-0.02</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-0.02</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-0.02</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-0.02</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-0.02</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-0.02</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-0.02</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-0.02</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-0.02</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-0.02</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-0.02</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-0.02</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-0.02</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-0.02</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-0.02</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-0.02</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-0.02</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-0.02</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-0.02</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-0.02</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-0.02</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-0.02</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-0.02</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-0.02</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-0.02</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-0.02</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-0.02</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-0.02</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-0.02</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-0.02</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-0.02</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-0.02</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-0.02</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-0.02</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-0.02</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-0.02</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-0.02</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-0.02</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-0.02</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-0.02</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-0.02</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-0.02</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-0.02</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-0.02</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-0.02</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-0.02</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-0.02</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-0.02</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-0.02</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-0.02</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-0.02</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-0.02</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-0.02</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-0.02</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-0.02</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-0.02</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-0.02</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-0.02</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-0.02</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-0.02</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-0.02</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-0.02</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-0.02</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-0.02</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-0.02</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-0.02</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-0.02</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-0.02</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-0.02</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-0.02</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-0.02</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-0.02</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-0.02</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-0.02</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-0.02</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-0.02</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-0.02</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-0.02</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-0.02</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-0.02</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-0.02</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-0.02</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-0.02</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-0.02</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-0.02</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-0.02</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-0.02</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-0.02</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-0.02</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-0.02</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-0.02</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-0.02</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-0.02</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-0.02</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-0.02</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-0.02</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-0.02</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-0.02</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-0.02</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-0.02</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-0.02</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-0.02</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-0.02</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-0.02</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-0.02</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-0.02</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-0.02</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-0.02</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-0.02</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-0.02</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9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workbookViewId="0">
      <pane ySplit="1" topLeftCell="A14" activePane="bottomLeft" state="frozen"/>
      <selection pane="bottomLeft" activeCell="A25" sqref="A25:XFD25"/>
    </sheetView>
  </sheetViews>
  <sheetFormatPr defaultColWidth="9" defaultRowHeight="12"/>
  <cols>
    <col min="1" max="1" width="20" style="3192" customWidth="1"/>
    <col min="2" max="2" width="7.625" style="3192" customWidth="1"/>
    <col min="3" max="3" width="20" style="3192" hidden="1" customWidth="1"/>
    <col min="4" max="4" width="20" style="3192" customWidth="1"/>
    <col min="5" max="5" width="10.125" style="3192" customWidth="1"/>
    <col min="6" max="6" width="11.125" style="3192" customWidth="1"/>
    <col min="7" max="7" width="12.625" style="3192" customWidth="1"/>
    <col min="8" max="8" width="15.875" style="3192" customWidth="1"/>
    <col min="9" max="11" width="20" style="3192" customWidth="1"/>
    <col min="12" max="16384" width="9" style="3192"/>
  </cols>
  <sheetData>
    <row r="1" spans="1:11">
      <c r="A1" s="3192" t="s">
        <v>3607</v>
      </c>
      <c r="B1" s="3192" t="s">
        <v>3163</v>
      </c>
      <c r="C1" s="3192" t="s">
        <v>3608</v>
      </c>
      <c r="D1" s="3192" t="s">
        <v>3609</v>
      </c>
      <c r="E1" s="3192" t="s">
        <v>3610</v>
      </c>
      <c r="F1" s="3192" t="s">
        <v>3611</v>
      </c>
      <c r="G1" s="3192" t="s">
        <v>3612</v>
      </c>
      <c r="H1" s="3192" t="s">
        <v>3613</v>
      </c>
      <c r="I1" s="3192" t="s">
        <v>3614</v>
      </c>
      <c r="J1" s="3192" t="s">
        <v>3615</v>
      </c>
      <c r="K1" s="3192" t="s">
        <v>3616</v>
      </c>
    </row>
    <row r="2" spans="1:11">
      <c r="A2" s="3192" t="s">
        <v>3744</v>
      </c>
      <c r="B2" s="3192" t="s">
        <v>3617</v>
      </c>
      <c r="C2" s="3192" t="s">
        <v>2532</v>
      </c>
      <c r="D2" s="3192" t="s">
        <v>3618</v>
      </c>
      <c r="E2" s="3192" t="s">
        <v>3619</v>
      </c>
      <c r="F2" s="3192">
        <v>465</v>
      </c>
      <c r="G2" s="3192">
        <v>54337</v>
      </c>
      <c r="H2" s="3192">
        <v>7355</v>
      </c>
      <c r="I2" s="3192">
        <v>39965.72</v>
      </c>
      <c r="J2" s="3192">
        <v>85.95</v>
      </c>
      <c r="K2" s="3192">
        <v>117</v>
      </c>
    </row>
    <row r="3" spans="1:11" s="3203" customFormat="1">
      <c r="A3" s="3203" t="s">
        <v>3765</v>
      </c>
      <c r="B3" s="3203" t="s">
        <v>3617</v>
      </c>
      <c r="C3" s="3203" t="s">
        <v>2532</v>
      </c>
      <c r="D3" s="3203" t="s">
        <v>2532</v>
      </c>
      <c r="E3" s="3203" t="s">
        <v>2532</v>
      </c>
      <c r="F3" s="3203">
        <v>384</v>
      </c>
      <c r="G3" s="3203">
        <v>43667</v>
      </c>
      <c r="H3" s="3203">
        <v>7198</v>
      </c>
      <c r="I3" s="3203">
        <v>31431.21</v>
      </c>
      <c r="J3" s="3203">
        <v>81.849999999999994</v>
      </c>
      <c r="K3" s="3203">
        <v>114</v>
      </c>
    </row>
    <row r="4" spans="1:11">
      <c r="A4" s="3192" t="s">
        <v>3620</v>
      </c>
      <c r="B4" s="3192" t="s">
        <v>3617</v>
      </c>
      <c r="C4" s="3192" t="s">
        <v>2532</v>
      </c>
      <c r="D4" s="3192" t="s">
        <v>3621</v>
      </c>
      <c r="E4" s="3192" t="s">
        <v>2532</v>
      </c>
      <c r="F4" s="3192">
        <v>267</v>
      </c>
      <c r="G4" s="3192">
        <v>30320</v>
      </c>
      <c r="H4" s="3192">
        <v>6809</v>
      </c>
      <c r="I4" s="3192">
        <v>20645.34</v>
      </c>
      <c r="J4" s="3192">
        <v>77.319999999999993</v>
      </c>
      <c r="K4" s="3192">
        <v>114</v>
      </c>
    </row>
    <row r="5" spans="1:11">
      <c r="A5" s="3192" t="s">
        <v>3622</v>
      </c>
      <c r="B5" s="3192" t="s">
        <v>3617</v>
      </c>
      <c r="C5" s="3192" t="s">
        <v>2532</v>
      </c>
      <c r="D5" s="3192" t="s">
        <v>2532</v>
      </c>
      <c r="E5" s="3192" t="s">
        <v>2532</v>
      </c>
      <c r="F5" s="3192">
        <v>233</v>
      </c>
      <c r="G5" s="3192">
        <v>28342</v>
      </c>
      <c r="H5" s="3192">
        <v>6402</v>
      </c>
      <c r="I5" s="3192">
        <v>18144.099999999999</v>
      </c>
      <c r="J5" s="3192">
        <v>77.87</v>
      </c>
      <c r="K5" s="3192">
        <v>122</v>
      </c>
    </row>
    <row r="6" spans="1:11">
      <c r="A6" s="3192" t="s">
        <v>3623</v>
      </c>
      <c r="B6" s="3192" t="s">
        <v>3617</v>
      </c>
      <c r="C6" s="3192" t="s">
        <v>2532</v>
      </c>
      <c r="D6" s="3192" t="s">
        <v>3624</v>
      </c>
      <c r="E6" s="3192" t="s">
        <v>3625</v>
      </c>
      <c r="F6" s="3192">
        <v>231</v>
      </c>
      <c r="G6" s="3192">
        <v>27063</v>
      </c>
      <c r="H6" s="3192">
        <v>6391</v>
      </c>
      <c r="I6" s="3192">
        <v>17296.73</v>
      </c>
      <c r="J6" s="3192">
        <v>74.88</v>
      </c>
      <c r="K6" s="3192">
        <v>117</v>
      </c>
    </row>
    <row r="7" spans="1:11">
      <c r="A7" s="3192" t="s">
        <v>3626</v>
      </c>
      <c r="B7" s="3192" t="s">
        <v>3617</v>
      </c>
      <c r="C7" s="3192" t="s">
        <v>2532</v>
      </c>
      <c r="D7" s="3192" t="s">
        <v>3627</v>
      </c>
      <c r="E7" s="3192" t="s">
        <v>2532</v>
      </c>
      <c r="F7" s="3192">
        <v>210</v>
      </c>
      <c r="G7" s="3192">
        <v>24424</v>
      </c>
      <c r="H7" s="3192">
        <v>7361</v>
      </c>
      <c r="I7" s="3192">
        <v>17979.18</v>
      </c>
      <c r="J7" s="3192">
        <v>85.62</v>
      </c>
      <c r="K7" s="3192">
        <v>116</v>
      </c>
    </row>
    <row r="8" spans="1:11">
      <c r="A8" s="3192" t="s">
        <v>3628</v>
      </c>
      <c r="B8" s="3192" t="s">
        <v>3617</v>
      </c>
      <c r="C8" s="3192" t="s">
        <v>2532</v>
      </c>
      <c r="D8" s="3192" t="s">
        <v>2532</v>
      </c>
      <c r="E8" s="3192" t="s">
        <v>2532</v>
      </c>
      <c r="F8" s="3192">
        <v>172</v>
      </c>
      <c r="G8" s="3192">
        <v>21401</v>
      </c>
      <c r="H8" s="3192">
        <v>7177</v>
      </c>
      <c r="I8" s="3192">
        <v>15358.97</v>
      </c>
      <c r="J8" s="3192">
        <v>89.3</v>
      </c>
      <c r="K8" s="3192">
        <v>124</v>
      </c>
    </row>
    <row r="9" spans="1:11">
      <c r="A9" s="3192" t="s">
        <v>3629</v>
      </c>
      <c r="B9" s="3192" t="s">
        <v>3617</v>
      </c>
      <c r="C9" s="3192" t="s">
        <v>2532</v>
      </c>
      <c r="D9" s="3192" t="s">
        <v>2532</v>
      </c>
      <c r="E9" s="3192" t="s">
        <v>2532</v>
      </c>
      <c r="F9" s="3192">
        <v>158</v>
      </c>
      <c r="G9" s="3192">
        <v>17896</v>
      </c>
      <c r="H9" s="3192">
        <v>7360</v>
      </c>
      <c r="I9" s="3192">
        <v>13171.96</v>
      </c>
      <c r="J9" s="3192">
        <v>83.37</v>
      </c>
      <c r="K9" s="3192">
        <v>113</v>
      </c>
    </row>
    <row r="10" spans="1:11">
      <c r="A10" s="3192" t="s">
        <v>3630</v>
      </c>
      <c r="B10" s="3192" t="s">
        <v>3617</v>
      </c>
      <c r="C10" s="3192" t="s">
        <v>2532</v>
      </c>
      <c r="D10" s="3192" t="s">
        <v>3631</v>
      </c>
      <c r="E10" s="3192" t="s">
        <v>2532</v>
      </c>
      <c r="F10" s="3192">
        <v>131</v>
      </c>
      <c r="G10" s="3192">
        <v>16401</v>
      </c>
      <c r="H10" s="3192">
        <v>7143</v>
      </c>
      <c r="I10" s="3192">
        <v>11715.11</v>
      </c>
      <c r="J10" s="3192">
        <v>89.43</v>
      </c>
      <c r="K10" s="3192">
        <v>125</v>
      </c>
    </row>
    <row r="11" spans="1:11">
      <c r="A11" s="3192" t="s">
        <v>3632</v>
      </c>
      <c r="B11" s="3192" t="s">
        <v>3617</v>
      </c>
      <c r="C11" s="3192" t="s">
        <v>2532</v>
      </c>
      <c r="D11" s="3192" t="s">
        <v>3632</v>
      </c>
      <c r="E11" s="3192" t="s">
        <v>3633</v>
      </c>
      <c r="F11" s="3192">
        <v>115</v>
      </c>
      <c r="G11" s="3192">
        <v>14124</v>
      </c>
      <c r="H11" s="3192">
        <v>7580</v>
      </c>
      <c r="I11" s="3192">
        <v>10705.69</v>
      </c>
      <c r="J11" s="3192">
        <v>93.09</v>
      </c>
      <c r="K11" s="3192">
        <v>123</v>
      </c>
    </row>
    <row r="12" spans="1:11">
      <c r="A12" s="3192" t="s">
        <v>3634</v>
      </c>
      <c r="B12" s="3192" t="s">
        <v>3617</v>
      </c>
      <c r="C12" s="3192" t="s">
        <v>2532</v>
      </c>
      <c r="D12" s="3192" t="s">
        <v>3635</v>
      </c>
      <c r="E12" s="3192" t="s">
        <v>3636</v>
      </c>
      <c r="F12" s="3192">
        <v>105</v>
      </c>
      <c r="G12" s="3192">
        <v>11400</v>
      </c>
      <c r="H12" s="3192">
        <v>7967</v>
      </c>
      <c r="I12" s="3192">
        <v>9082.36</v>
      </c>
      <c r="J12" s="3192">
        <v>86.5</v>
      </c>
      <c r="K12" s="3192">
        <v>109</v>
      </c>
    </row>
    <row r="13" spans="1:11">
      <c r="A13" s="3192" t="s">
        <v>3637</v>
      </c>
      <c r="B13" s="3192" t="s">
        <v>3617</v>
      </c>
      <c r="C13" s="3192" t="s">
        <v>2532</v>
      </c>
      <c r="D13" s="3192" t="s">
        <v>2532</v>
      </c>
      <c r="E13" s="3192" t="s">
        <v>2532</v>
      </c>
      <c r="F13" s="3192">
        <v>104</v>
      </c>
      <c r="G13" s="3192">
        <v>12519</v>
      </c>
      <c r="H13" s="3192">
        <v>7639</v>
      </c>
      <c r="I13" s="3192">
        <v>9563.33</v>
      </c>
      <c r="J13" s="3192">
        <v>91.96</v>
      </c>
      <c r="K13" s="3192">
        <v>120</v>
      </c>
    </row>
    <row r="14" spans="1:11">
      <c r="A14" s="3192" t="s">
        <v>3638</v>
      </c>
      <c r="B14" s="3192" t="s">
        <v>3617</v>
      </c>
      <c r="C14" s="3192" t="s">
        <v>2532</v>
      </c>
      <c r="D14" s="3192" t="s">
        <v>3638</v>
      </c>
      <c r="E14" s="3192" t="s">
        <v>3639</v>
      </c>
      <c r="F14" s="3192">
        <v>103</v>
      </c>
      <c r="G14" s="3192">
        <v>11701</v>
      </c>
      <c r="H14" s="3192">
        <v>8344</v>
      </c>
      <c r="I14" s="3192">
        <v>9762.7800000000007</v>
      </c>
      <c r="J14" s="3192">
        <v>94.78</v>
      </c>
      <c r="K14" s="3192">
        <v>114</v>
      </c>
    </row>
    <row r="15" spans="1:11">
      <c r="A15" s="3192" t="s">
        <v>3640</v>
      </c>
      <c r="B15" s="3192" t="s">
        <v>3617</v>
      </c>
      <c r="C15" s="3192" t="s">
        <v>2532</v>
      </c>
      <c r="D15" s="3192" t="s">
        <v>3641</v>
      </c>
      <c r="E15" s="3192" t="s">
        <v>3642</v>
      </c>
      <c r="F15" s="3192">
        <v>100</v>
      </c>
      <c r="G15" s="3192">
        <v>11880</v>
      </c>
      <c r="H15" s="3192">
        <v>7250</v>
      </c>
      <c r="I15" s="3192">
        <v>8612.8700000000008</v>
      </c>
      <c r="J15" s="3192">
        <v>86.13</v>
      </c>
      <c r="K15" s="3192">
        <v>119</v>
      </c>
    </row>
    <row r="16" spans="1:11" s="3203" customFormat="1">
      <c r="A16" s="3203" t="s">
        <v>3643</v>
      </c>
      <c r="B16" s="3203" t="s">
        <v>3617</v>
      </c>
      <c r="C16" s="3203" t="s">
        <v>2532</v>
      </c>
      <c r="D16" s="3203" t="s">
        <v>3644</v>
      </c>
      <c r="E16" s="3203" t="s">
        <v>3645</v>
      </c>
      <c r="F16" s="3203">
        <v>87</v>
      </c>
      <c r="G16" s="3203">
        <v>12010</v>
      </c>
      <c r="H16" s="3203">
        <v>8871</v>
      </c>
      <c r="I16" s="3203">
        <v>10653.9</v>
      </c>
      <c r="J16" s="3203">
        <v>122.46</v>
      </c>
      <c r="K16" s="3203">
        <v>138</v>
      </c>
    </row>
    <row r="17" spans="1:11">
      <c r="A17" s="3192" t="s">
        <v>3646</v>
      </c>
      <c r="B17" s="3192" t="s">
        <v>3617</v>
      </c>
      <c r="C17" s="3192" t="s">
        <v>2532</v>
      </c>
      <c r="D17" s="3192" t="s">
        <v>3647</v>
      </c>
      <c r="E17" s="3192" t="s">
        <v>3648</v>
      </c>
      <c r="F17" s="3192">
        <v>87</v>
      </c>
      <c r="G17" s="3192">
        <v>10309</v>
      </c>
      <c r="H17" s="3192">
        <v>8415</v>
      </c>
      <c r="I17" s="3192">
        <v>8675.6</v>
      </c>
      <c r="J17" s="3192">
        <v>99.72</v>
      </c>
      <c r="K17" s="3192">
        <v>119</v>
      </c>
    </row>
    <row r="18" spans="1:11" s="3212" customFormat="1">
      <c r="A18" s="3212" t="s">
        <v>3649</v>
      </c>
      <c r="B18" s="3212" t="s">
        <v>3617</v>
      </c>
      <c r="C18" s="3212" t="s">
        <v>2532</v>
      </c>
      <c r="D18" s="3212" t="s">
        <v>3649</v>
      </c>
      <c r="E18" s="3212" t="s">
        <v>2532</v>
      </c>
      <c r="F18" s="3212">
        <v>73</v>
      </c>
      <c r="G18" s="3212">
        <v>10101</v>
      </c>
      <c r="H18" s="3212">
        <v>9723</v>
      </c>
      <c r="I18" s="3212">
        <v>9821.83</v>
      </c>
      <c r="J18" s="3212">
        <v>134.55000000000001</v>
      </c>
      <c r="K18" s="3212">
        <v>138</v>
      </c>
    </row>
    <row r="19" spans="1:11">
      <c r="A19" s="3192" t="s">
        <v>3650</v>
      </c>
      <c r="B19" s="3192" t="s">
        <v>3617</v>
      </c>
      <c r="C19" s="3192" t="s">
        <v>2532</v>
      </c>
      <c r="D19" s="3192" t="s">
        <v>3651</v>
      </c>
      <c r="E19" s="3192" t="s">
        <v>3652</v>
      </c>
      <c r="F19" s="3192">
        <v>68</v>
      </c>
      <c r="G19" s="3192">
        <v>9484</v>
      </c>
      <c r="H19" s="3192">
        <v>8747</v>
      </c>
      <c r="I19" s="3192">
        <v>8295.19</v>
      </c>
      <c r="J19" s="3192">
        <v>121.99</v>
      </c>
      <c r="K19" s="3192">
        <v>139</v>
      </c>
    </row>
    <row r="20" spans="1:11">
      <c r="A20" s="3192" t="s">
        <v>3653</v>
      </c>
      <c r="B20" s="3192" t="s">
        <v>3617</v>
      </c>
      <c r="C20" s="3192" t="s">
        <v>2532</v>
      </c>
      <c r="D20" s="3192" t="s">
        <v>3654</v>
      </c>
      <c r="E20" s="3192" t="s">
        <v>2532</v>
      </c>
      <c r="F20" s="3192">
        <v>67</v>
      </c>
      <c r="G20" s="3192">
        <v>8605</v>
      </c>
      <c r="H20" s="3192">
        <v>11176</v>
      </c>
      <c r="I20" s="3192">
        <v>9616.8700000000008</v>
      </c>
      <c r="J20" s="3192">
        <v>143.54</v>
      </c>
      <c r="K20" s="3192">
        <v>128</v>
      </c>
    </row>
    <row r="21" spans="1:11">
      <c r="A21" s="3192" t="s">
        <v>3655</v>
      </c>
      <c r="B21" s="3192" t="s">
        <v>3617</v>
      </c>
      <c r="C21" s="3192" t="s">
        <v>2532</v>
      </c>
      <c r="D21" s="3192" t="s">
        <v>2532</v>
      </c>
      <c r="E21" s="3192" t="s">
        <v>2532</v>
      </c>
      <c r="F21" s="3192">
        <v>67</v>
      </c>
      <c r="G21" s="3192">
        <v>7417</v>
      </c>
      <c r="H21" s="3192">
        <v>6763</v>
      </c>
      <c r="I21" s="3192">
        <v>5016.72</v>
      </c>
      <c r="J21" s="3192">
        <v>74.88</v>
      </c>
      <c r="K21" s="3192">
        <v>111</v>
      </c>
    </row>
    <row r="22" spans="1:11">
      <c r="A22" s="3192" t="s">
        <v>3656</v>
      </c>
      <c r="B22" s="3192" t="s">
        <v>3617</v>
      </c>
      <c r="C22" s="3192" t="s">
        <v>2532</v>
      </c>
      <c r="D22" s="3192" t="s">
        <v>3656</v>
      </c>
      <c r="E22" s="3192" t="s">
        <v>3657</v>
      </c>
      <c r="F22" s="3192">
        <v>66</v>
      </c>
      <c r="G22" s="3192">
        <v>8794</v>
      </c>
      <c r="H22" s="3192">
        <v>11552</v>
      </c>
      <c r="I22" s="3192">
        <v>10158.89</v>
      </c>
      <c r="J22" s="3192">
        <v>153.91999999999999</v>
      </c>
      <c r="K22" s="3192">
        <v>133</v>
      </c>
    </row>
    <row r="23" spans="1:11">
      <c r="A23" s="3192" t="s">
        <v>3658</v>
      </c>
      <c r="B23" s="3192" t="s">
        <v>3617</v>
      </c>
      <c r="C23" s="3192" t="s">
        <v>2532</v>
      </c>
      <c r="D23" s="3192" t="s">
        <v>3659</v>
      </c>
      <c r="E23" s="3192" t="s">
        <v>2532</v>
      </c>
      <c r="F23" s="3192">
        <v>66</v>
      </c>
      <c r="G23" s="3192">
        <v>7442</v>
      </c>
      <c r="H23" s="3192">
        <v>5565</v>
      </c>
      <c r="I23" s="3192">
        <v>4141.04</v>
      </c>
      <c r="J23" s="3192">
        <v>62.74</v>
      </c>
      <c r="K23" s="3192">
        <v>113</v>
      </c>
    </row>
    <row r="24" spans="1:11">
      <c r="A24" s="3192" t="s">
        <v>3660</v>
      </c>
      <c r="B24" s="3192" t="s">
        <v>3617</v>
      </c>
      <c r="C24" s="3192" t="s">
        <v>2532</v>
      </c>
      <c r="D24" s="3192" t="s">
        <v>2532</v>
      </c>
      <c r="E24" s="3192" t="s">
        <v>2532</v>
      </c>
      <c r="F24" s="3192">
        <v>56</v>
      </c>
      <c r="G24" s="3192">
        <v>7519</v>
      </c>
      <c r="H24" s="3192">
        <v>6323</v>
      </c>
      <c r="I24" s="3192">
        <v>4754.16</v>
      </c>
      <c r="J24" s="3192">
        <v>84.9</v>
      </c>
      <c r="K24" s="3192">
        <v>134</v>
      </c>
    </row>
    <row r="25" spans="1:11" s="3203" customFormat="1">
      <c r="A25" s="3203" t="s">
        <v>3661</v>
      </c>
      <c r="B25" s="3203" t="s">
        <v>3617</v>
      </c>
      <c r="C25" s="3203" t="s">
        <v>2532</v>
      </c>
      <c r="D25" s="3203" t="s">
        <v>3662</v>
      </c>
      <c r="E25" s="3203" t="s">
        <v>3663</v>
      </c>
      <c r="F25" s="3203">
        <v>55</v>
      </c>
      <c r="G25" s="3203">
        <v>7992</v>
      </c>
      <c r="H25" s="3203">
        <v>8422</v>
      </c>
      <c r="I25" s="3203">
        <v>6730.91</v>
      </c>
      <c r="J25" s="3203">
        <v>122.38</v>
      </c>
      <c r="K25" s="3203">
        <v>145</v>
      </c>
    </row>
    <row r="26" spans="1:11">
      <c r="A26" s="3192" t="s">
        <v>3664</v>
      </c>
      <c r="B26" s="3192" t="s">
        <v>3617</v>
      </c>
      <c r="C26" s="3192" t="s">
        <v>2532</v>
      </c>
      <c r="D26" s="3192" t="s">
        <v>3664</v>
      </c>
      <c r="E26" s="3192" t="s">
        <v>3665</v>
      </c>
      <c r="F26" s="3192">
        <v>51</v>
      </c>
      <c r="G26" s="3192">
        <v>6253</v>
      </c>
      <c r="H26" s="3192">
        <v>6771</v>
      </c>
      <c r="I26" s="3192">
        <v>4233.47</v>
      </c>
      <c r="J26" s="3192">
        <v>83.01</v>
      </c>
      <c r="K26" s="3192">
        <v>123</v>
      </c>
    </row>
    <row r="27" spans="1:11">
      <c r="A27" s="3192" t="s">
        <v>3666</v>
      </c>
      <c r="B27" s="3192" t="s">
        <v>3617</v>
      </c>
      <c r="C27" s="3192" t="s">
        <v>2532</v>
      </c>
      <c r="D27" s="3192" t="s">
        <v>3666</v>
      </c>
      <c r="E27" s="3192" t="s">
        <v>3667</v>
      </c>
      <c r="F27" s="3192">
        <v>50</v>
      </c>
      <c r="G27" s="3192">
        <v>7000</v>
      </c>
      <c r="H27" s="3192">
        <v>13004</v>
      </c>
      <c r="I27" s="3192">
        <v>9102.26</v>
      </c>
      <c r="J27" s="3192">
        <v>182.05</v>
      </c>
      <c r="K27" s="3192">
        <v>140</v>
      </c>
    </row>
    <row r="28" spans="1:11">
      <c r="A28" s="3192" t="s">
        <v>3668</v>
      </c>
      <c r="B28" s="3192" t="s">
        <v>3617</v>
      </c>
      <c r="C28" s="3192" t="s">
        <v>2532</v>
      </c>
      <c r="D28" s="3192" t="s">
        <v>3669</v>
      </c>
      <c r="E28" s="3192" t="s">
        <v>2532</v>
      </c>
      <c r="F28" s="3192">
        <v>47</v>
      </c>
      <c r="G28" s="3192">
        <v>5950</v>
      </c>
      <c r="H28" s="3192">
        <v>8285</v>
      </c>
      <c r="I28" s="3192">
        <v>4929.76</v>
      </c>
      <c r="J28" s="3192">
        <v>104.89</v>
      </c>
      <c r="K28" s="3192">
        <v>127</v>
      </c>
    </row>
    <row r="29" spans="1:11">
      <c r="A29" s="3192" t="s">
        <v>3670</v>
      </c>
      <c r="B29" s="3192" t="s">
        <v>3617</v>
      </c>
      <c r="C29" s="3192" t="s">
        <v>2532</v>
      </c>
      <c r="D29" s="3192" t="s">
        <v>3670</v>
      </c>
      <c r="E29" s="3192" t="s">
        <v>3671</v>
      </c>
      <c r="F29" s="3192">
        <v>33</v>
      </c>
      <c r="G29" s="3192">
        <v>3863</v>
      </c>
      <c r="H29" s="3192">
        <v>6546</v>
      </c>
      <c r="I29" s="3192">
        <v>2528.9699999999998</v>
      </c>
      <c r="J29" s="3192">
        <v>76.64</v>
      </c>
      <c r="K29" s="3192">
        <v>117</v>
      </c>
    </row>
    <row r="30" spans="1:11">
      <c r="A30" s="3192" t="s">
        <v>3672</v>
      </c>
      <c r="B30" s="3192" t="s">
        <v>3617</v>
      </c>
      <c r="C30" s="3192" t="s">
        <v>2532</v>
      </c>
      <c r="D30" s="3192" t="s">
        <v>2532</v>
      </c>
      <c r="E30" s="3192" t="s">
        <v>2532</v>
      </c>
      <c r="F30" s="3192">
        <v>33</v>
      </c>
      <c r="G30" s="3192">
        <v>4089</v>
      </c>
      <c r="H30" s="3192">
        <v>6406</v>
      </c>
      <c r="I30" s="3192">
        <v>2619.54</v>
      </c>
      <c r="J30" s="3192">
        <v>79.38</v>
      </c>
      <c r="K30" s="3192">
        <v>124</v>
      </c>
    </row>
    <row r="31" spans="1:11">
      <c r="A31" s="3192" t="s">
        <v>3673</v>
      </c>
      <c r="B31" s="3192" t="s">
        <v>3617</v>
      </c>
      <c r="C31" s="3192" t="s">
        <v>2532</v>
      </c>
      <c r="D31" s="3192" t="s">
        <v>3674</v>
      </c>
      <c r="E31" s="3192" t="s">
        <v>2532</v>
      </c>
      <c r="F31" s="3192">
        <v>32</v>
      </c>
      <c r="G31" s="3192">
        <v>3701</v>
      </c>
      <c r="H31" s="3192">
        <v>7790</v>
      </c>
      <c r="I31" s="3192">
        <v>2883.24</v>
      </c>
      <c r="J31" s="3192">
        <v>90.1</v>
      </c>
      <c r="K31" s="3192">
        <v>116</v>
      </c>
    </row>
    <row r="32" spans="1:11">
      <c r="A32" s="3192" t="s">
        <v>3675</v>
      </c>
      <c r="B32" s="3192" t="s">
        <v>3617</v>
      </c>
      <c r="C32" s="3192" t="s">
        <v>2532</v>
      </c>
      <c r="D32" s="3192" t="s">
        <v>2532</v>
      </c>
      <c r="E32" s="3192" t="s">
        <v>2532</v>
      </c>
      <c r="F32" s="3192">
        <v>26</v>
      </c>
      <c r="G32" s="3192">
        <v>2235</v>
      </c>
      <c r="H32" s="3192">
        <v>6672</v>
      </c>
      <c r="I32" s="3192">
        <v>1491.39</v>
      </c>
      <c r="J32" s="3192">
        <v>57.36</v>
      </c>
      <c r="K32" s="3192">
        <v>86</v>
      </c>
    </row>
    <row r="33" spans="1:11">
      <c r="A33" s="3192" t="s">
        <v>3676</v>
      </c>
      <c r="B33" s="3192" t="s">
        <v>3617</v>
      </c>
      <c r="C33" s="3192" t="s">
        <v>2532</v>
      </c>
      <c r="D33" s="3192" t="s">
        <v>3677</v>
      </c>
      <c r="E33" s="3192" t="s">
        <v>3678</v>
      </c>
      <c r="F33" s="3192">
        <v>24</v>
      </c>
      <c r="G33" s="3192">
        <v>2085</v>
      </c>
      <c r="H33" s="3192">
        <v>5703</v>
      </c>
      <c r="I33" s="3192">
        <v>1189.28</v>
      </c>
      <c r="J33" s="3192">
        <v>49.55</v>
      </c>
      <c r="K33" s="3192">
        <v>87</v>
      </c>
    </row>
    <row r="34" spans="1:11">
      <c r="A34" s="3192" t="s">
        <v>3679</v>
      </c>
      <c r="B34" s="3192" t="s">
        <v>3617</v>
      </c>
      <c r="C34" s="3192" t="s">
        <v>2532</v>
      </c>
      <c r="D34" s="3192" t="s">
        <v>3679</v>
      </c>
      <c r="E34" s="3192" t="s">
        <v>2532</v>
      </c>
      <c r="F34" s="3192">
        <v>21</v>
      </c>
      <c r="G34" s="3192">
        <v>1002</v>
      </c>
      <c r="H34" s="3192">
        <v>6440</v>
      </c>
      <c r="I34" s="3192">
        <v>645.54</v>
      </c>
      <c r="J34" s="3192">
        <v>30.74</v>
      </c>
      <c r="K34" s="3192">
        <v>48</v>
      </c>
    </row>
    <row r="35" spans="1:11">
      <c r="A35" s="3192" t="s">
        <v>3680</v>
      </c>
      <c r="B35" s="3192" t="s">
        <v>3617</v>
      </c>
      <c r="C35" s="3192" t="s">
        <v>2532</v>
      </c>
      <c r="D35" s="3192" t="s">
        <v>3680</v>
      </c>
      <c r="E35" s="3192" t="s">
        <v>3681</v>
      </c>
      <c r="F35" s="3192">
        <v>17</v>
      </c>
      <c r="G35" s="3192">
        <v>2017</v>
      </c>
      <c r="H35" s="3192">
        <v>5755</v>
      </c>
      <c r="I35" s="3192">
        <v>1160.8</v>
      </c>
      <c r="J35" s="3192">
        <v>68.28</v>
      </c>
      <c r="K35" s="3192">
        <v>119</v>
      </c>
    </row>
    <row r="36" spans="1:11">
      <c r="A36" s="3192" t="s">
        <v>3682</v>
      </c>
      <c r="B36" s="3192" t="s">
        <v>3617</v>
      </c>
      <c r="C36" s="3192" t="s">
        <v>2532</v>
      </c>
      <c r="D36" s="3192" t="s">
        <v>3682</v>
      </c>
      <c r="E36" s="3192" t="s">
        <v>2532</v>
      </c>
      <c r="F36" s="3192">
        <v>15</v>
      </c>
      <c r="G36" s="3192">
        <v>1854</v>
      </c>
      <c r="H36" s="3192">
        <v>9754</v>
      </c>
      <c r="I36" s="3192">
        <v>1808.83</v>
      </c>
      <c r="J36" s="3192">
        <v>120.59</v>
      </c>
      <c r="K36" s="3192">
        <v>124</v>
      </c>
    </row>
    <row r="37" spans="1:11">
      <c r="A37" s="3192" t="s">
        <v>3683</v>
      </c>
      <c r="B37" s="3192" t="s">
        <v>3617</v>
      </c>
      <c r="C37" s="3192" t="s">
        <v>2532</v>
      </c>
      <c r="D37" s="3192" t="s">
        <v>3683</v>
      </c>
      <c r="E37" s="3192" t="s">
        <v>3684</v>
      </c>
      <c r="F37" s="3192">
        <v>15</v>
      </c>
      <c r="G37" s="3192">
        <v>2142</v>
      </c>
      <c r="H37" s="3192">
        <v>11411</v>
      </c>
      <c r="I37" s="3192">
        <v>2444.35</v>
      </c>
      <c r="J37" s="3192">
        <v>162.96</v>
      </c>
      <c r="K37" s="3192">
        <v>143</v>
      </c>
    </row>
    <row r="38" spans="1:11">
      <c r="A38" s="3192" t="s">
        <v>3685</v>
      </c>
      <c r="B38" s="3192" t="s">
        <v>3617</v>
      </c>
      <c r="C38" s="3192" t="s">
        <v>2532</v>
      </c>
      <c r="D38" s="3192" t="s">
        <v>3685</v>
      </c>
      <c r="E38" s="3192" t="s">
        <v>2532</v>
      </c>
      <c r="F38" s="3192">
        <v>15</v>
      </c>
      <c r="G38" s="3192">
        <v>1840</v>
      </c>
      <c r="H38" s="3192">
        <v>9472</v>
      </c>
      <c r="I38" s="3192">
        <v>1742.59</v>
      </c>
      <c r="J38" s="3192">
        <v>116.17</v>
      </c>
      <c r="K38" s="3192">
        <v>123</v>
      </c>
    </row>
    <row r="39" spans="1:11">
      <c r="A39" s="3192" t="s">
        <v>3686</v>
      </c>
      <c r="B39" s="3192" t="s">
        <v>3617</v>
      </c>
      <c r="C39" s="3192" t="s">
        <v>2532</v>
      </c>
      <c r="D39" s="3192" t="s">
        <v>2532</v>
      </c>
      <c r="E39" s="3192" t="s">
        <v>2532</v>
      </c>
      <c r="F39" s="3192">
        <v>14</v>
      </c>
      <c r="G39" s="3192">
        <v>1801</v>
      </c>
      <c r="H39" s="3192">
        <v>9792</v>
      </c>
      <c r="I39" s="3192">
        <v>1764.04</v>
      </c>
      <c r="J39" s="3192">
        <v>126</v>
      </c>
      <c r="K39" s="3192">
        <v>129</v>
      </c>
    </row>
    <row r="40" spans="1:11">
      <c r="A40" s="3192" t="s">
        <v>3687</v>
      </c>
      <c r="B40" s="3192" t="s">
        <v>3617</v>
      </c>
      <c r="C40" s="3192" t="s">
        <v>2532</v>
      </c>
      <c r="D40" s="3192" t="s">
        <v>2532</v>
      </c>
      <c r="E40" s="3192" t="s">
        <v>2532</v>
      </c>
      <c r="F40" s="3192">
        <v>14</v>
      </c>
      <c r="G40" s="3192">
        <v>1963</v>
      </c>
      <c r="H40" s="3192">
        <v>8503</v>
      </c>
      <c r="I40" s="3192">
        <v>1669.3</v>
      </c>
      <c r="J40" s="3192">
        <v>119.24</v>
      </c>
      <c r="K40" s="3192">
        <v>140</v>
      </c>
    </row>
    <row r="41" spans="1:11">
      <c r="A41" s="3192" t="s">
        <v>3688</v>
      </c>
      <c r="B41" s="3192" t="s">
        <v>3617</v>
      </c>
      <c r="C41" s="3192" t="s">
        <v>2532</v>
      </c>
      <c r="D41" s="3192" t="s">
        <v>3688</v>
      </c>
      <c r="E41" s="3192" t="s">
        <v>3689</v>
      </c>
      <c r="F41" s="3192">
        <v>14</v>
      </c>
      <c r="G41" s="3192">
        <v>1493</v>
      </c>
      <c r="H41" s="3192">
        <v>7235</v>
      </c>
      <c r="I41" s="3192">
        <v>1080.1500000000001</v>
      </c>
      <c r="J41" s="3192">
        <v>77.150000000000006</v>
      </c>
      <c r="K41" s="3192">
        <v>107</v>
      </c>
    </row>
    <row r="42" spans="1:11">
      <c r="A42" s="3192" t="s">
        <v>3690</v>
      </c>
      <c r="B42" s="3192" t="s">
        <v>3617</v>
      </c>
      <c r="C42" s="3192" t="s">
        <v>2532</v>
      </c>
      <c r="D42" s="3192" t="s">
        <v>3691</v>
      </c>
      <c r="E42" s="3192" t="s">
        <v>2532</v>
      </c>
      <c r="F42" s="3192">
        <v>12</v>
      </c>
      <c r="G42" s="3192">
        <v>1463</v>
      </c>
      <c r="H42" s="3192">
        <v>10349</v>
      </c>
      <c r="I42" s="3192">
        <v>1514.2</v>
      </c>
      <c r="J42" s="3192">
        <v>126.18</v>
      </c>
      <c r="K42" s="3192">
        <v>122</v>
      </c>
    </row>
    <row r="43" spans="1:11">
      <c r="A43" s="3192" t="s">
        <v>3692</v>
      </c>
      <c r="B43" s="3192" t="s">
        <v>3617</v>
      </c>
      <c r="C43" s="3192" t="s">
        <v>2532</v>
      </c>
      <c r="D43" s="3192" t="s">
        <v>2532</v>
      </c>
      <c r="E43" s="3192" t="s">
        <v>2532</v>
      </c>
      <c r="F43" s="3192">
        <v>11</v>
      </c>
      <c r="G43" s="3192">
        <v>1162</v>
      </c>
      <c r="H43" s="3192">
        <v>7551</v>
      </c>
      <c r="I43" s="3192">
        <v>877.3</v>
      </c>
      <c r="J43" s="3192">
        <v>79.75</v>
      </c>
      <c r="K43" s="3192">
        <v>106</v>
      </c>
    </row>
    <row r="44" spans="1:11">
      <c r="A44" s="3192" t="s">
        <v>3693</v>
      </c>
      <c r="B44" s="3192" t="s">
        <v>3617</v>
      </c>
      <c r="C44" s="3192" t="s">
        <v>2532</v>
      </c>
      <c r="D44" s="3192" t="s">
        <v>3693</v>
      </c>
      <c r="E44" s="3192" t="s">
        <v>3694</v>
      </c>
      <c r="F44" s="3192">
        <v>11</v>
      </c>
      <c r="G44" s="3192">
        <v>1356</v>
      </c>
      <c r="H44" s="3192">
        <v>6864</v>
      </c>
      <c r="I44" s="3192">
        <v>930.85</v>
      </c>
      <c r="J44" s="3192">
        <v>84.62</v>
      </c>
      <c r="K44" s="3192">
        <v>123</v>
      </c>
    </row>
    <row r="45" spans="1:11">
      <c r="A45" s="3192" t="s">
        <v>3695</v>
      </c>
      <c r="B45" s="3192" t="s">
        <v>3617</v>
      </c>
      <c r="C45" s="3192" t="s">
        <v>2532</v>
      </c>
      <c r="D45" s="3192" t="s">
        <v>3696</v>
      </c>
      <c r="E45" s="3192" t="s">
        <v>3697</v>
      </c>
      <c r="F45" s="3192">
        <v>10</v>
      </c>
      <c r="G45" s="3192">
        <v>1567</v>
      </c>
      <c r="H45" s="3192">
        <v>15832</v>
      </c>
      <c r="I45" s="3192">
        <v>2480.5300000000002</v>
      </c>
      <c r="J45" s="3192">
        <v>248.05</v>
      </c>
      <c r="K45" s="3192">
        <v>157</v>
      </c>
    </row>
    <row r="46" spans="1:11">
      <c r="A46" s="3192" t="s">
        <v>3698</v>
      </c>
      <c r="B46" s="3192" t="s">
        <v>3617</v>
      </c>
      <c r="C46" s="3192" t="s">
        <v>2532</v>
      </c>
      <c r="D46" s="3192" t="s">
        <v>3698</v>
      </c>
      <c r="E46" s="3192" t="s">
        <v>2532</v>
      </c>
      <c r="F46" s="3192">
        <v>8</v>
      </c>
      <c r="G46" s="3192">
        <v>1217</v>
      </c>
      <c r="H46" s="3192">
        <v>12280</v>
      </c>
      <c r="I46" s="3192">
        <v>1494.27</v>
      </c>
      <c r="J46" s="3192">
        <v>186.78</v>
      </c>
      <c r="K46" s="3192">
        <v>152</v>
      </c>
    </row>
    <row r="47" spans="1:11">
      <c r="A47" s="3192" t="s">
        <v>3699</v>
      </c>
      <c r="B47" s="3192" t="s">
        <v>3617</v>
      </c>
      <c r="C47" s="3192" t="s">
        <v>2532</v>
      </c>
      <c r="D47" s="3192" t="s">
        <v>3699</v>
      </c>
      <c r="E47" s="3192" t="s">
        <v>2532</v>
      </c>
      <c r="F47" s="3192">
        <v>7</v>
      </c>
      <c r="G47" s="3192">
        <v>974</v>
      </c>
      <c r="H47" s="3192">
        <v>9744</v>
      </c>
      <c r="I47" s="3192">
        <v>949.44</v>
      </c>
      <c r="J47" s="3192">
        <v>135.63</v>
      </c>
      <c r="K47" s="3192">
        <v>139</v>
      </c>
    </row>
    <row r="48" spans="1:11">
      <c r="A48" s="3192" t="s">
        <v>3700</v>
      </c>
      <c r="B48" s="3192" t="s">
        <v>3617</v>
      </c>
      <c r="C48" s="3192" t="s">
        <v>2532</v>
      </c>
      <c r="D48" s="3192" t="s">
        <v>3700</v>
      </c>
      <c r="E48" s="3192" t="s">
        <v>3701</v>
      </c>
      <c r="F48" s="3192">
        <v>7</v>
      </c>
      <c r="G48" s="3192">
        <v>1005</v>
      </c>
      <c r="H48" s="3192">
        <v>7477</v>
      </c>
      <c r="I48" s="3192">
        <v>751.22</v>
      </c>
      <c r="J48" s="3192">
        <v>107.32</v>
      </c>
      <c r="K48" s="3192">
        <v>144</v>
      </c>
    </row>
    <row r="49" spans="1:11">
      <c r="A49" s="3192" t="s">
        <v>3702</v>
      </c>
      <c r="B49" s="3192" t="s">
        <v>3617</v>
      </c>
      <c r="C49" s="3192" t="s">
        <v>2532</v>
      </c>
      <c r="D49" s="3192" t="s">
        <v>3703</v>
      </c>
      <c r="E49" s="3192" t="s">
        <v>2532</v>
      </c>
      <c r="F49" s="3192">
        <v>5</v>
      </c>
      <c r="G49" s="3192">
        <v>429</v>
      </c>
      <c r="H49" s="3192">
        <v>7577</v>
      </c>
      <c r="I49" s="3192">
        <v>324.85000000000002</v>
      </c>
      <c r="J49" s="3192">
        <v>64.97</v>
      </c>
      <c r="K49" s="3192">
        <v>86</v>
      </c>
    </row>
    <row r="50" spans="1:11">
      <c r="A50" s="3192" t="s">
        <v>3704</v>
      </c>
      <c r="B50" s="3192" t="s">
        <v>3617</v>
      </c>
      <c r="C50" s="3192" t="s">
        <v>2532</v>
      </c>
      <c r="D50" s="3192" t="s">
        <v>3705</v>
      </c>
      <c r="E50" s="3192" t="s">
        <v>3706</v>
      </c>
      <c r="F50" s="3192">
        <v>5</v>
      </c>
      <c r="G50" s="3192">
        <v>611</v>
      </c>
      <c r="H50" s="3192">
        <v>7727</v>
      </c>
      <c r="I50" s="3192">
        <v>471.79</v>
      </c>
      <c r="J50" s="3192">
        <v>94.36</v>
      </c>
      <c r="K50" s="3192">
        <v>122</v>
      </c>
    </row>
    <row r="51" spans="1:11">
      <c r="A51" s="3192" t="s">
        <v>3707</v>
      </c>
      <c r="B51" s="3192" t="s">
        <v>3617</v>
      </c>
      <c r="C51" s="3192" t="s">
        <v>2532</v>
      </c>
      <c r="D51" s="3192" t="s">
        <v>2532</v>
      </c>
      <c r="E51" s="3192" t="s">
        <v>2532</v>
      </c>
      <c r="F51" s="3192">
        <v>5</v>
      </c>
      <c r="G51" s="3192">
        <v>598</v>
      </c>
      <c r="H51" s="3192">
        <v>9652</v>
      </c>
      <c r="I51" s="3192">
        <v>577.57000000000005</v>
      </c>
      <c r="J51" s="3192">
        <v>115.51</v>
      </c>
      <c r="K51" s="3192">
        <v>120</v>
      </c>
    </row>
    <row r="52" spans="1:11">
      <c r="A52" s="3192" t="s">
        <v>3708</v>
      </c>
      <c r="B52" s="3192" t="s">
        <v>3617</v>
      </c>
      <c r="C52" s="3192" t="s">
        <v>2532</v>
      </c>
      <c r="D52" s="3192" t="s">
        <v>2532</v>
      </c>
      <c r="E52" s="3192" t="s">
        <v>2532</v>
      </c>
      <c r="F52" s="3192">
        <v>4</v>
      </c>
      <c r="G52" s="3192">
        <v>354</v>
      </c>
      <c r="H52" s="3192">
        <v>9268</v>
      </c>
      <c r="I52" s="3192">
        <v>327.94</v>
      </c>
      <c r="J52" s="3192">
        <v>81.99</v>
      </c>
      <c r="K52" s="3192">
        <v>88</v>
      </c>
    </row>
    <row r="53" spans="1:11">
      <c r="A53" s="3192" t="s">
        <v>3709</v>
      </c>
      <c r="B53" s="3192" t="s">
        <v>3617</v>
      </c>
      <c r="C53" s="3192" t="s">
        <v>2532</v>
      </c>
      <c r="D53" s="3192" t="s">
        <v>3709</v>
      </c>
      <c r="E53" s="3192" t="s">
        <v>3710</v>
      </c>
      <c r="F53" s="3192">
        <v>4</v>
      </c>
      <c r="G53" s="3192">
        <v>535</v>
      </c>
      <c r="H53" s="3192">
        <v>8507</v>
      </c>
      <c r="I53" s="3192">
        <v>454.78</v>
      </c>
      <c r="J53" s="3192">
        <v>113.7</v>
      </c>
      <c r="K53" s="3192">
        <v>134</v>
      </c>
    </row>
    <row r="54" spans="1:11">
      <c r="A54" s="3192" t="s">
        <v>3711</v>
      </c>
      <c r="B54" s="3192" t="s">
        <v>3617</v>
      </c>
      <c r="C54" s="3192" t="s">
        <v>2532</v>
      </c>
      <c r="D54" s="3192" t="s">
        <v>3711</v>
      </c>
      <c r="E54" s="3192" t="s">
        <v>3665</v>
      </c>
      <c r="F54" s="3192">
        <v>3</v>
      </c>
      <c r="G54" s="3192">
        <v>410</v>
      </c>
      <c r="H54" s="3192">
        <v>9182</v>
      </c>
      <c r="I54" s="3192">
        <v>376.79</v>
      </c>
      <c r="J54" s="3192">
        <v>125.6</v>
      </c>
      <c r="K54" s="3192">
        <v>137</v>
      </c>
    </row>
    <row r="55" spans="1:11">
      <c r="A55" s="3192" t="s">
        <v>3712</v>
      </c>
      <c r="B55" s="3192" t="s">
        <v>3617</v>
      </c>
      <c r="C55" s="3192" t="s">
        <v>2532</v>
      </c>
      <c r="D55" s="3192" t="s">
        <v>3713</v>
      </c>
      <c r="E55" s="3192" t="s">
        <v>2532</v>
      </c>
      <c r="F55" s="3192">
        <v>3</v>
      </c>
      <c r="G55" s="3192">
        <v>377</v>
      </c>
      <c r="H55" s="3192">
        <v>11404</v>
      </c>
      <c r="I55" s="3192">
        <v>430.05</v>
      </c>
      <c r="J55" s="3192">
        <v>143.35</v>
      </c>
      <c r="K55" s="3192">
        <v>126</v>
      </c>
    </row>
    <row r="56" spans="1:11">
      <c r="A56" s="3192" t="s">
        <v>3714</v>
      </c>
      <c r="B56" s="3192" t="s">
        <v>3617</v>
      </c>
      <c r="C56" s="3192" t="s">
        <v>2532</v>
      </c>
      <c r="D56" s="3192" t="s">
        <v>3715</v>
      </c>
      <c r="E56" s="3192" t="s">
        <v>2532</v>
      </c>
      <c r="F56" s="3192">
        <v>2</v>
      </c>
      <c r="G56" s="3192">
        <v>303</v>
      </c>
      <c r="H56" s="3192">
        <v>9933</v>
      </c>
      <c r="I56" s="3192">
        <v>300.83999999999997</v>
      </c>
      <c r="J56" s="3192">
        <v>150.41999999999999</v>
      </c>
      <c r="K56" s="3192">
        <v>151</v>
      </c>
    </row>
    <row r="57" spans="1:11">
      <c r="A57" s="3192" t="s">
        <v>3716</v>
      </c>
      <c r="B57" s="3192" t="s">
        <v>3617</v>
      </c>
      <c r="C57" s="3192" t="s">
        <v>2532</v>
      </c>
      <c r="D57" s="3192" t="s">
        <v>3717</v>
      </c>
      <c r="E57" s="3192" t="s">
        <v>2532</v>
      </c>
      <c r="F57" s="3192">
        <v>2</v>
      </c>
      <c r="G57" s="3192">
        <v>239</v>
      </c>
      <c r="H57" s="3192">
        <v>7950</v>
      </c>
      <c r="I57" s="3192">
        <v>190.14</v>
      </c>
      <c r="J57" s="3192">
        <v>95.07</v>
      </c>
      <c r="K57" s="3192">
        <v>120</v>
      </c>
    </row>
    <row r="58" spans="1:11">
      <c r="A58" s="3192" t="s">
        <v>3718</v>
      </c>
      <c r="B58" s="3192" t="s">
        <v>3617</v>
      </c>
      <c r="C58" s="3192" t="s">
        <v>2532</v>
      </c>
      <c r="D58" s="3192" t="s">
        <v>3718</v>
      </c>
      <c r="E58" s="3192" t="s">
        <v>3719</v>
      </c>
      <c r="F58" s="3192">
        <v>2</v>
      </c>
      <c r="G58" s="3192">
        <v>262</v>
      </c>
      <c r="H58" s="3192">
        <v>8535</v>
      </c>
      <c r="I58" s="3192">
        <v>223.34</v>
      </c>
      <c r="J58" s="3192">
        <v>111.67</v>
      </c>
      <c r="K58" s="3192">
        <v>131</v>
      </c>
    </row>
    <row r="59" spans="1:11">
      <c r="A59" s="3192" t="s">
        <v>3720</v>
      </c>
      <c r="B59" s="3192" t="s">
        <v>3617</v>
      </c>
      <c r="C59" s="3192" t="s">
        <v>2532</v>
      </c>
      <c r="D59" s="3192" t="s">
        <v>3721</v>
      </c>
      <c r="E59" s="3192" t="s">
        <v>2532</v>
      </c>
      <c r="F59" s="3192">
        <v>1</v>
      </c>
      <c r="G59" s="3192">
        <v>349</v>
      </c>
      <c r="H59" s="3192">
        <v>13335</v>
      </c>
      <c r="I59" s="3192">
        <v>466</v>
      </c>
      <c r="J59" s="3192">
        <v>466</v>
      </c>
      <c r="K59" s="3192">
        <v>349</v>
      </c>
    </row>
    <row r="60" spans="1:11">
      <c r="A60" s="3192" t="s">
        <v>3722</v>
      </c>
      <c r="B60" s="3192" t="s">
        <v>3617</v>
      </c>
      <c r="C60" s="3192" t="s">
        <v>2532</v>
      </c>
      <c r="D60" s="3192" t="s">
        <v>2532</v>
      </c>
      <c r="E60" s="3192" t="s">
        <v>2532</v>
      </c>
      <c r="F60" s="3192">
        <v>1</v>
      </c>
      <c r="G60" s="3192">
        <v>136</v>
      </c>
      <c r="H60" s="3192">
        <v>7566</v>
      </c>
      <c r="I60" s="3192">
        <v>102.94</v>
      </c>
      <c r="J60" s="3192">
        <v>102.94</v>
      </c>
      <c r="K60" s="3192">
        <v>136</v>
      </c>
    </row>
    <row r="61" spans="1:11">
      <c r="A61" s="3192" t="s">
        <v>3723</v>
      </c>
      <c r="B61" s="3192" t="s">
        <v>3617</v>
      </c>
      <c r="C61" s="3192" t="s">
        <v>2532</v>
      </c>
      <c r="D61" s="3192" t="s">
        <v>3723</v>
      </c>
      <c r="E61" s="3192" t="s">
        <v>3724</v>
      </c>
      <c r="F61" s="3192">
        <v>1</v>
      </c>
      <c r="G61" s="3192">
        <v>110</v>
      </c>
      <c r="H61" s="3192">
        <v>7862</v>
      </c>
      <c r="I61" s="3192">
        <v>86.47</v>
      </c>
      <c r="J61" s="3192">
        <v>86.47</v>
      </c>
      <c r="K61" s="3192">
        <v>110</v>
      </c>
    </row>
    <row r="62" spans="1:11">
      <c r="A62" s="3192" t="s">
        <v>3725</v>
      </c>
      <c r="B62" s="3192" t="s">
        <v>3617</v>
      </c>
      <c r="C62" s="3192" t="s">
        <v>2532</v>
      </c>
      <c r="D62" s="3192" t="s">
        <v>3726</v>
      </c>
      <c r="E62" s="3192" t="s">
        <v>2532</v>
      </c>
      <c r="F62" s="3192">
        <v>1</v>
      </c>
      <c r="G62" s="3192">
        <v>147</v>
      </c>
      <c r="H62" s="3192">
        <v>6437</v>
      </c>
      <c r="I62" s="3192">
        <v>94.64</v>
      </c>
      <c r="J62" s="3192">
        <v>94.64</v>
      </c>
      <c r="K62" s="3192">
        <v>147</v>
      </c>
    </row>
    <row r="63" spans="1:11">
      <c r="A63" s="3192" t="s">
        <v>3727</v>
      </c>
      <c r="B63" s="3192" t="s">
        <v>3617</v>
      </c>
      <c r="C63" s="3192" t="s">
        <v>2532</v>
      </c>
      <c r="D63" s="3192" t="s">
        <v>3728</v>
      </c>
      <c r="E63" s="3192" t="s">
        <v>2532</v>
      </c>
      <c r="F63" s="3192">
        <v>1</v>
      </c>
      <c r="G63" s="3192">
        <v>132</v>
      </c>
      <c r="H63" s="3192">
        <v>7170</v>
      </c>
      <c r="I63" s="3192">
        <v>94.5</v>
      </c>
      <c r="J63" s="3192">
        <v>94.5</v>
      </c>
      <c r="K63" s="3192">
        <v>132</v>
      </c>
    </row>
    <row r="64" spans="1:11">
      <c r="A64" s="3192" t="s">
        <v>3729</v>
      </c>
      <c r="B64" s="3192" t="s">
        <v>3617</v>
      </c>
      <c r="C64" s="3192" t="s">
        <v>2532</v>
      </c>
      <c r="D64" s="3192" t="s">
        <v>3730</v>
      </c>
      <c r="E64" s="3192" t="s">
        <v>2532</v>
      </c>
      <c r="F64" s="3192">
        <v>1</v>
      </c>
      <c r="G64" s="3192">
        <v>82</v>
      </c>
      <c r="H64" s="3192">
        <v>7887</v>
      </c>
      <c r="I64" s="3192">
        <v>64.540000000000006</v>
      </c>
      <c r="J64" s="3192">
        <v>64.540000000000006</v>
      </c>
      <c r="K64" s="3192">
        <v>82</v>
      </c>
    </row>
    <row r="69" spans="1:1">
      <c r="A69" s="3192" t="s">
        <v>3760</v>
      </c>
    </row>
    <row r="70" spans="1:1">
      <c r="A70" s="3192" t="s">
        <v>3761</v>
      </c>
    </row>
    <row r="71" spans="1:1">
      <c r="A71" s="3192" t="s">
        <v>3762</v>
      </c>
    </row>
    <row r="72" spans="1:1">
      <c r="A72" s="3192" t="s">
        <v>3766</v>
      </c>
    </row>
  </sheetData>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2" workbookViewId="0">
      <selection activeCell="M125" sqref="M125"/>
    </sheetView>
  </sheetViews>
  <sheetFormatPr defaultColWidth="8.875" defaultRowHeight="13.5"/>
  <sheetData/>
  <phoneticPr fontId="22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workbookViewId="0">
      <selection activeCell="A124" sqref="A124"/>
    </sheetView>
  </sheetViews>
  <sheetFormatPr defaultColWidth="8.875" defaultRowHeight="13.5"/>
  <sheetData/>
  <phoneticPr fontId="2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2984" customWidth="1"/>
    <col min="2" max="2" width="8.875" style="2984"/>
    <col min="3" max="5" width="12.875" style="2984" customWidth="1"/>
    <col min="6" max="6" width="47.5" style="2984" customWidth="1"/>
    <col min="7" max="7" width="13" style="2978" customWidth="1"/>
    <col min="8" max="8" width="8.875" style="2978"/>
    <col min="9" max="9" width="8.875" style="2979"/>
    <col min="10" max="10" width="5.625" style="3139" customWidth="1"/>
    <col min="11" max="11" width="11.625" style="3139" customWidth="1"/>
    <col min="12" max="13" width="10.62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79"/>
    <col min="23" max="256" width="8.875" style="2984"/>
    <col min="257" max="257" width="9.5" style="2984" customWidth="1"/>
    <col min="258" max="258" width="8.875" style="2984"/>
    <col min="259" max="261" width="12.875" style="2984" customWidth="1"/>
    <col min="262" max="262" width="47.5" style="2984" customWidth="1"/>
    <col min="263" max="263" width="13" style="2984" customWidth="1"/>
    <col min="264" max="265" width="8.875" style="2984"/>
    <col min="266" max="266" width="5.625" style="2984" customWidth="1"/>
    <col min="267" max="267" width="11.625" style="2984" customWidth="1"/>
    <col min="268" max="269" width="10.625" style="2984" customWidth="1"/>
    <col min="270" max="270" width="10" style="2984" customWidth="1"/>
    <col min="271" max="272" width="10.5" style="2984" bestFit="1" customWidth="1"/>
    <col min="273" max="273" width="10" style="2984" customWidth="1"/>
    <col min="274" max="274" width="10.125" style="2984" customWidth="1"/>
    <col min="275" max="275" width="10" style="2984" customWidth="1"/>
    <col min="276" max="276" width="26.125" style="2984" customWidth="1"/>
    <col min="277" max="512" width="8.875" style="2984"/>
    <col min="513" max="513" width="9.5" style="2984" customWidth="1"/>
    <col min="514" max="514" width="8.875" style="2984"/>
    <col min="515" max="517" width="12.875" style="2984" customWidth="1"/>
    <col min="518" max="518" width="47.5" style="2984" customWidth="1"/>
    <col min="519" max="519" width="13" style="2984" customWidth="1"/>
    <col min="520" max="521" width="8.875" style="2984"/>
    <col min="522" max="522" width="5.625" style="2984" customWidth="1"/>
    <col min="523" max="523" width="11.625" style="2984" customWidth="1"/>
    <col min="524" max="525" width="10.625" style="2984" customWidth="1"/>
    <col min="526" max="526" width="10" style="2984" customWidth="1"/>
    <col min="527" max="528" width="10.5" style="2984" bestFit="1" customWidth="1"/>
    <col min="529" max="529" width="10" style="2984" customWidth="1"/>
    <col min="530" max="530" width="10.125" style="2984" customWidth="1"/>
    <col min="531" max="531" width="10" style="2984" customWidth="1"/>
    <col min="532" max="532" width="26.125" style="2984" customWidth="1"/>
    <col min="533" max="768" width="8.875" style="2984"/>
    <col min="769" max="769" width="9.5" style="2984" customWidth="1"/>
    <col min="770" max="770" width="8.875" style="2984"/>
    <col min="771" max="773" width="12.875" style="2984" customWidth="1"/>
    <col min="774" max="774" width="47.5" style="2984" customWidth="1"/>
    <col min="775" max="775" width="13" style="2984" customWidth="1"/>
    <col min="776" max="777" width="8.875" style="2984"/>
    <col min="778" max="778" width="5.625" style="2984" customWidth="1"/>
    <col min="779" max="779" width="11.625" style="2984" customWidth="1"/>
    <col min="780" max="781" width="10.625" style="2984" customWidth="1"/>
    <col min="782" max="782" width="10" style="2984" customWidth="1"/>
    <col min="783" max="784" width="10.5" style="2984" bestFit="1" customWidth="1"/>
    <col min="785" max="785" width="10" style="2984" customWidth="1"/>
    <col min="786" max="786" width="10.125" style="2984" customWidth="1"/>
    <col min="787" max="787" width="10" style="2984" customWidth="1"/>
    <col min="788" max="788" width="26.125" style="2984" customWidth="1"/>
    <col min="789" max="1024" width="8.875" style="2984"/>
    <col min="1025" max="1025" width="9.5" style="2984" customWidth="1"/>
    <col min="1026" max="1026" width="8.875" style="2984"/>
    <col min="1027" max="1029" width="12.875" style="2984" customWidth="1"/>
    <col min="1030" max="1030" width="47.5" style="2984" customWidth="1"/>
    <col min="1031" max="1031" width="13" style="2984" customWidth="1"/>
    <col min="1032" max="1033" width="8.875" style="2984"/>
    <col min="1034" max="1034" width="5.625" style="2984" customWidth="1"/>
    <col min="1035" max="1035" width="11.625" style="2984" customWidth="1"/>
    <col min="1036" max="1037" width="10.625" style="2984" customWidth="1"/>
    <col min="1038" max="1038" width="10" style="2984" customWidth="1"/>
    <col min="1039" max="1040" width="10.5" style="2984" bestFit="1" customWidth="1"/>
    <col min="1041" max="1041" width="10" style="2984" customWidth="1"/>
    <col min="1042" max="1042" width="10.125" style="2984" customWidth="1"/>
    <col min="1043" max="1043" width="10" style="2984" customWidth="1"/>
    <col min="1044" max="1044" width="26.125" style="2984" customWidth="1"/>
    <col min="1045" max="1280" width="8.875" style="2984"/>
    <col min="1281" max="1281" width="9.5" style="2984" customWidth="1"/>
    <col min="1282" max="1282" width="8.875" style="2984"/>
    <col min="1283" max="1285" width="12.875" style="2984" customWidth="1"/>
    <col min="1286" max="1286" width="47.5" style="2984" customWidth="1"/>
    <col min="1287" max="1287" width="13" style="2984" customWidth="1"/>
    <col min="1288" max="1289" width="8.875" style="2984"/>
    <col min="1290" max="1290" width="5.625" style="2984" customWidth="1"/>
    <col min="1291" max="1291" width="11.625" style="2984" customWidth="1"/>
    <col min="1292" max="1293" width="10.625" style="2984" customWidth="1"/>
    <col min="1294" max="1294" width="10" style="2984" customWidth="1"/>
    <col min="1295" max="1296" width="10.5" style="2984" bestFit="1" customWidth="1"/>
    <col min="1297" max="1297" width="10" style="2984" customWidth="1"/>
    <col min="1298" max="1298" width="10.125" style="2984" customWidth="1"/>
    <col min="1299" max="1299" width="10" style="2984" customWidth="1"/>
    <col min="1300" max="1300" width="26.125" style="2984" customWidth="1"/>
    <col min="1301" max="1536" width="8.875" style="2984"/>
    <col min="1537" max="1537" width="9.5" style="2984" customWidth="1"/>
    <col min="1538" max="1538" width="8.875" style="2984"/>
    <col min="1539" max="1541" width="12.875" style="2984" customWidth="1"/>
    <col min="1542" max="1542" width="47.5" style="2984" customWidth="1"/>
    <col min="1543" max="1543" width="13" style="2984" customWidth="1"/>
    <col min="1544" max="1545" width="8.875" style="2984"/>
    <col min="1546" max="1546" width="5.625" style="2984" customWidth="1"/>
    <col min="1547" max="1547" width="11.625" style="2984" customWidth="1"/>
    <col min="1548" max="1549" width="10.625" style="2984" customWidth="1"/>
    <col min="1550" max="1550" width="10" style="2984" customWidth="1"/>
    <col min="1551" max="1552" width="10.5" style="2984" bestFit="1" customWidth="1"/>
    <col min="1553" max="1553" width="10" style="2984" customWidth="1"/>
    <col min="1554" max="1554" width="10.125" style="2984" customWidth="1"/>
    <col min="1555" max="1555" width="10" style="2984" customWidth="1"/>
    <col min="1556" max="1556" width="26.125" style="2984" customWidth="1"/>
    <col min="1557" max="1792" width="8.875" style="2984"/>
    <col min="1793" max="1793" width="9.5" style="2984" customWidth="1"/>
    <col min="1794" max="1794" width="8.875" style="2984"/>
    <col min="1795" max="1797" width="12.875" style="2984" customWidth="1"/>
    <col min="1798" max="1798" width="47.5" style="2984" customWidth="1"/>
    <col min="1799" max="1799" width="13" style="2984" customWidth="1"/>
    <col min="1800" max="1801" width="8.875" style="2984"/>
    <col min="1802" max="1802" width="5.625" style="2984" customWidth="1"/>
    <col min="1803" max="1803" width="11.625" style="2984" customWidth="1"/>
    <col min="1804" max="1805" width="10.625" style="2984" customWidth="1"/>
    <col min="1806" max="1806" width="10" style="2984" customWidth="1"/>
    <col min="1807" max="1808" width="10.5" style="2984" bestFit="1" customWidth="1"/>
    <col min="1809" max="1809" width="10" style="2984" customWidth="1"/>
    <col min="1810" max="1810" width="10.125" style="2984" customWidth="1"/>
    <col min="1811" max="1811" width="10" style="2984" customWidth="1"/>
    <col min="1812" max="1812" width="26.125" style="2984" customWidth="1"/>
    <col min="1813" max="2048" width="8.875" style="2984"/>
    <col min="2049" max="2049" width="9.5" style="2984" customWidth="1"/>
    <col min="2050" max="2050" width="8.875" style="2984"/>
    <col min="2051" max="2053" width="12.875" style="2984" customWidth="1"/>
    <col min="2054" max="2054" width="47.5" style="2984" customWidth="1"/>
    <col min="2055" max="2055" width="13" style="2984" customWidth="1"/>
    <col min="2056" max="2057" width="8.875" style="2984"/>
    <col min="2058" max="2058" width="5.625" style="2984" customWidth="1"/>
    <col min="2059" max="2059" width="11.625" style="2984" customWidth="1"/>
    <col min="2060" max="2061" width="10.625" style="2984" customWidth="1"/>
    <col min="2062" max="2062" width="10" style="2984" customWidth="1"/>
    <col min="2063" max="2064" width="10.5" style="2984" bestFit="1" customWidth="1"/>
    <col min="2065" max="2065" width="10" style="2984" customWidth="1"/>
    <col min="2066" max="2066" width="10.125" style="2984" customWidth="1"/>
    <col min="2067" max="2067" width="10" style="2984" customWidth="1"/>
    <col min="2068" max="2068" width="26.125" style="2984" customWidth="1"/>
    <col min="2069" max="2304" width="8.875" style="2984"/>
    <col min="2305" max="2305" width="9.5" style="2984" customWidth="1"/>
    <col min="2306" max="2306" width="8.875" style="2984"/>
    <col min="2307" max="2309" width="12.875" style="2984" customWidth="1"/>
    <col min="2310" max="2310" width="47.5" style="2984" customWidth="1"/>
    <col min="2311" max="2311" width="13" style="2984" customWidth="1"/>
    <col min="2312" max="2313" width="8.875" style="2984"/>
    <col min="2314" max="2314" width="5.625" style="2984" customWidth="1"/>
    <col min="2315" max="2315" width="11.625" style="2984" customWidth="1"/>
    <col min="2316" max="2317" width="10.625" style="2984" customWidth="1"/>
    <col min="2318" max="2318" width="10" style="2984" customWidth="1"/>
    <col min="2319" max="2320" width="10.5" style="2984" bestFit="1" customWidth="1"/>
    <col min="2321" max="2321" width="10" style="2984" customWidth="1"/>
    <col min="2322" max="2322" width="10.125" style="2984" customWidth="1"/>
    <col min="2323" max="2323" width="10" style="2984" customWidth="1"/>
    <col min="2324" max="2324" width="26.125" style="2984" customWidth="1"/>
    <col min="2325" max="2560" width="8.875" style="2984"/>
    <col min="2561" max="2561" width="9.5" style="2984" customWidth="1"/>
    <col min="2562" max="2562" width="8.875" style="2984"/>
    <col min="2563" max="2565" width="12.875" style="2984" customWidth="1"/>
    <col min="2566" max="2566" width="47.5" style="2984" customWidth="1"/>
    <col min="2567" max="2567" width="13" style="2984" customWidth="1"/>
    <col min="2568" max="2569" width="8.875" style="2984"/>
    <col min="2570" max="2570" width="5.625" style="2984" customWidth="1"/>
    <col min="2571" max="2571" width="11.625" style="2984" customWidth="1"/>
    <col min="2572" max="2573" width="10.625" style="2984" customWidth="1"/>
    <col min="2574" max="2574" width="10" style="2984" customWidth="1"/>
    <col min="2575" max="2576" width="10.5" style="2984" bestFit="1" customWidth="1"/>
    <col min="2577" max="2577" width="10" style="2984" customWidth="1"/>
    <col min="2578" max="2578" width="10.125" style="2984" customWidth="1"/>
    <col min="2579" max="2579" width="10" style="2984" customWidth="1"/>
    <col min="2580" max="2580" width="26.125" style="2984" customWidth="1"/>
    <col min="2581" max="2816" width="8.875" style="2984"/>
    <col min="2817" max="2817" width="9.5" style="2984" customWidth="1"/>
    <col min="2818" max="2818" width="8.875" style="2984"/>
    <col min="2819" max="2821" width="12.875" style="2984" customWidth="1"/>
    <col min="2822" max="2822" width="47.5" style="2984" customWidth="1"/>
    <col min="2823" max="2823" width="13" style="2984" customWidth="1"/>
    <col min="2824" max="2825" width="8.875" style="2984"/>
    <col min="2826" max="2826" width="5.625" style="2984" customWidth="1"/>
    <col min="2827" max="2827" width="11.625" style="2984" customWidth="1"/>
    <col min="2828" max="2829" width="10.625" style="2984" customWidth="1"/>
    <col min="2830" max="2830" width="10" style="2984" customWidth="1"/>
    <col min="2831" max="2832" width="10.5" style="2984" bestFit="1" customWidth="1"/>
    <col min="2833" max="2833" width="10" style="2984" customWidth="1"/>
    <col min="2834" max="2834" width="10.125" style="2984" customWidth="1"/>
    <col min="2835" max="2835" width="10" style="2984" customWidth="1"/>
    <col min="2836" max="2836" width="26.125" style="2984" customWidth="1"/>
    <col min="2837" max="3072" width="8.875" style="2984"/>
    <col min="3073" max="3073" width="9.5" style="2984" customWidth="1"/>
    <col min="3074" max="3074" width="8.875" style="2984"/>
    <col min="3075" max="3077" width="12.875" style="2984" customWidth="1"/>
    <col min="3078" max="3078" width="47.5" style="2984" customWidth="1"/>
    <col min="3079" max="3079" width="13" style="2984" customWidth="1"/>
    <col min="3080" max="3081" width="8.875" style="2984"/>
    <col min="3082" max="3082" width="5.625" style="2984" customWidth="1"/>
    <col min="3083" max="3083" width="11.625" style="2984" customWidth="1"/>
    <col min="3084" max="3085" width="10.625" style="2984" customWidth="1"/>
    <col min="3086" max="3086" width="10" style="2984" customWidth="1"/>
    <col min="3087" max="3088" width="10.5" style="2984" bestFit="1" customWidth="1"/>
    <col min="3089" max="3089" width="10" style="2984" customWidth="1"/>
    <col min="3090" max="3090" width="10.125" style="2984" customWidth="1"/>
    <col min="3091" max="3091" width="10" style="2984" customWidth="1"/>
    <col min="3092" max="3092" width="26.125" style="2984" customWidth="1"/>
    <col min="3093" max="3328" width="8.875" style="2984"/>
    <col min="3329" max="3329" width="9.5" style="2984" customWidth="1"/>
    <col min="3330" max="3330" width="8.875" style="2984"/>
    <col min="3331" max="3333" width="12.875" style="2984" customWidth="1"/>
    <col min="3334" max="3334" width="47.5" style="2984" customWidth="1"/>
    <col min="3335" max="3335" width="13" style="2984" customWidth="1"/>
    <col min="3336" max="3337" width="8.875" style="2984"/>
    <col min="3338" max="3338" width="5.625" style="2984" customWidth="1"/>
    <col min="3339" max="3339" width="11.625" style="2984" customWidth="1"/>
    <col min="3340" max="3341" width="10.625" style="2984" customWidth="1"/>
    <col min="3342" max="3342" width="10" style="2984" customWidth="1"/>
    <col min="3343" max="3344" width="10.5" style="2984" bestFit="1" customWidth="1"/>
    <col min="3345" max="3345" width="10" style="2984" customWidth="1"/>
    <col min="3346" max="3346" width="10.125" style="2984" customWidth="1"/>
    <col min="3347" max="3347" width="10" style="2984" customWidth="1"/>
    <col min="3348" max="3348" width="26.125" style="2984" customWidth="1"/>
    <col min="3349" max="3584" width="8.875" style="2984"/>
    <col min="3585" max="3585" width="9.5" style="2984" customWidth="1"/>
    <col min="3586" max="3586" width="8.875" style="2984"/>
    <col min="3587" max="3589" width="12.875" style="2984" customWidth="1"/>
    <col min="3590" max="3590" width="47.5" style="2984" customWidth="1"/>
    <col min="3591" max="3591" width="13" style="2984" customWidth="1"/>
    <col min="3592" max="3593" width="8.875" style="2984"/>
    <col min="3594" max="3594" width="5.625" style="2984" customWidth="1"/>
    <col min="3595" max="3595" width="11.625" style="2984" customWidth="1"/>
    <col min="3596" max="3597" width="10.625" style="2984" customWidth="1"/>
    <col min="3598" max="3598" width="10" style="2984" customWidth="1"/>
    <col min="3599" max="3600" width="10.5" style="2984" bestFit="1" customWidth="1"/>
    <col min="3601" max="3601" width="10" style="2984" customWidth="1"/>
    <col min="3602" max="3602" width="10.125" style="2984" customWidth="1"/>
    <col min="3603" max="3603" width="10" style="2984" customWidth="1"/>
    <col min="3604" max="3604" width="26.125" style="2984" customWidth="1"/>
    <col min="3605" max="3840" width="8.875" style="2984"/>
    <col min="3841" max="3841" width="9.5" style="2984" customWidth="1"/>
    <col min="3842" max="3842" width="8.875" style="2984"/>
    <col min="3843" max="3845" width="12.875" style="2984" customWidth="1"/>
    <col min="3846" max="3846" width="47.5" style="2984" customWidth="1"/>
    <col min="3847" max="3847" width="13" style="2984" customWidth="1"/>
    <col min="3848" max="3849" width="8.875" style="2984"/>
    <col min="3850" max="3850" width="5.625" style="2984" customWidth="1"/>
    <col min="3851" max="3851" width="11.625" style="2984" customWidth="1"/>
    <col min="3852" max="3853" width="10.625" style="2984" customWidth="1"/>
    <col min="3854" max="3854" width="10" style="2984" customWidth="1"/>
    <col min="3855" max="3856" width="10.5" style="2984" bestFit="1" customWidth="1"/>
    <col min="3857" max="3857" width="10" style="2984" customWidth="1"/>
    <col min="3858" max="3858" width="10.125" style="2984" customWidth="1"/>
    <col min="3859" max="3859" width="10" style="2984" customWidth="1"/>
    <col min="3860" max="3860" width="26.125" style="2984" customWidth="1"/>
    <col min="3861" max="4096" width="8.875" style="2984"/>
    <col min="4097" max="4097" width="9.5" style="2984" customWidth="1"/>
    <col min="4098" max="4098" width="8.875" style="2984"/>
    <col min="4099" max="4101" width="12.875" style="2984" customWidth="1"/>
    <col min="4102" max="4102" width="47.5" style="2984" customWidth="1"/>
    <col min="4103" max="4103" width="13" style="2984" customWidth="1"/>
    <col min="4104" max="4105" width="8.875" style="2984"/>
    <col min="4106" max="4106" width="5.625" style="2984" customWidth="1"/>
    <col min="4107" max="4107" width="11.625" style="2984" customWidth="1"/>
    <col min="4108" max="4109" width="10.625" style="2984" customWidth="1"/>
    <col min="4110" max="4110" width="10" style="2984" customWidth="1"/>
    <col min="4111" max="4112" width="10.5" style="2984" bestFit="1" customWidth="1"/>
    <col min="4113" max="4113" width="10" style="2984" customWidth="1"/>
    <col min="4114" max="4114" width="10.125" style="2984" customWidth="1"/>
    <col min="4115" max="4115" width="10" style="2984" customWidth="1"/>
    <col min="4116" max="4116" width="26.125" style="2984" customWidth="1"/>
    <col min="4117" max="4352" width="8.875" style="2984"/>
    <col min="4353" max="4353" width="9.5" style="2984" customWidth="1"/>
    <col min="4354" max="4354" width="8.875" style="2984"/>
    <col min="4355" max="4357" width="12.875" style="2984" customWidth="1"/>
    <col min="4358" max="4358" width="47.5" style="2984" customWidth="1"/>
    <col min="4359" max="4359" width="13" style="2984" customWidth="1"/>
    <col min="4360" max="4361" width="8.875" style="2984"/>
    <col min="4362" max="4362" width="5.625" style="2984" customWidth="1"/>
    <col min="4363" max="4363" width="11.625" style="2984" customWidth="1"/>
    <col min="4364" max="4365" width="10.625" style="2984" customWidth="1"/>
    <col min="4366" max="4366" width="10" style="2984" customWidth="1"/>
    <col min="4367" max="4368" width="10.5" style="2984" bestFit="1" customWidth="1"/>
    <col min="4369" max="4369" width="10" style="2984" customWidth="1"/>
    <col min="4370" max="4370" width="10.125" style="2984" customWidth="1"/>
    <col min="4371" max="4371" width="10" style="2984" customWidth="1"/>
    <col min="4372" max="4372" width="26.125" style="2984" customWidth="1"/>
    <col min="4373" max="4608" width="8.875" style="2984"/>
    <col min="4609" max="4609" width="9.5" style="2984" customWidth="1"/>
    <col min="4610" max="4610" width="8.875" style="2984"/>
    <col min="4611" max="4613" width="12.875" style="2984" customWidth="1"/>
    <col min="4614" max="4614" width="47.5" style="2984" customWidth="1"/>
    <col min="4615" max="4615" width="13" style="2984" customWidth="1"/>
    <col min="4616" max="4617" width="8.875" style="2984"/>
    <col min="4618" max="4618" width="5.625" style="2984" customWidth="1"/>
    <col min="4619" max="4619" width="11.625" style="2984" customWidth="1"/>
    <col min="4620" max="4621" width="10.625" style="2984" customWidth="1"/>
    <col min="4622" max="4622" width="10" style="2984" customWidth="1"/>
    <col min="4623" max="4624" width="10.5" style="2984" bestFit="1" customWidth="1"/>
    <col min="4625" max="4625" width="10" style="2984" customWidth="1"/>
    <col min="4626" max="4626" width="10.125" style="2984" customWidth="1"/>
    <col min="4627" max="4627" width="10" style="2984" customWidth="1"/>
    <col min="4628" max="4628" width="26.125" style="2984" customWidth="1"/>
    <col min="4629" max="4864" width="8.875" style="2984"/>
    <col min="4865" max="4865" width="9.5" style="2984" customWidth="1"/>
    <col min="4866" max="4866" width="8.875" style="2984"/>
    <col min="4867" max="4869" width="12.875" style="2984" customWidth="1"/>
    <col min="4870" max="4870" width="47.5" style="2984" customWidth="1"/>
    <col min="4871" max="4871" width="13" style="2984" customWidth="1"/>
    <col min="4872" max="4873" width="8.875" style="2984"/>
    <col min="4874" max="4874" width="5.625" style="2984" customWidth="1"/>
    <col min="4875" max="4875" width="11.625" style="2984" customWidth="1"/>
    <col min="4876" max="4877" width="10.625" style="2984" customWidth="1"/>
    <col min="4878" max="4878" width="10" style="2984" customWidth="1"/>
    <col min="4879" max="4880" width="10.5" style="2984" bestFit="1" customWidth="1"/>
    <col min="4881" max="4881" width="10" style="2984" customWidth="1"/>
    <col min="4882" max="4882" width="10.125" style="2984" customWidth="1"/>
    <col min="4883" max="4883" width="10" style="2984" customWidth="1"/>
    <col min="4884" max="4884" width="26.125" style="2984" customWidth="1"/>
    <col min="4885" max="5120" width="8.875" style="2984"/>
    <col min="5121" max="5121" width="9.5" style="2984" customWidth="1"/>
    <col min="5122" max="5122" width="8.875" style="2984"/>
    <col min="5123" max="5125" width="12.875" style="2984" customWidth="1"/>
    <col min="5126" max="5126" width="47.5" style="2984" customWidth="1"/>
    <col min="5127" max="5127" width="13" style="2984" customWidth="1"/>
    <col min="5128" max="5129" width="8.875" style="2984"/>
    <col min="5130" max="5130" width="5.625" style="2984" customWidth="1"/>
    <col min="5131" max="5131" width="11.625" style="2984" customWidth="1"/>
    <col min="5132" max="5133" width="10.625" style="2984" customWidth="1"/>
    <col min="5134" max="5134" width="10" style="2984" customWidth="1"/>
    <col min="5135" max="5136" width="10.5" style="2984" bestFit="1" customWidth="1"/>
    <col min="5137" max="5137" width="10" style="2984" customWidth="1"/>
    <col min="5138" max="5138" width="10.125" style="2984" customWidth="1"/>
    <col min="5139" max="5139" width="10" style="2984" customWidth="1"/>
    <col min="5140" max="5140" width="26.125" style="2984" customWidth="1"/>
    <col min="5141" max="5376" width="8.875" style="2984"/>
    <col min="5377" max="5377" width="9.5" style="2984" customWidth="1"/>
    <col min="5378" max="5378" width="8.875" style="2984"/>
    <col min="5379" max="5381" width="12.875" style="2984" customWidth="1"/>
    <col min="5382" max="5382" width="47.5" style="2984" customWidth="1"/>
    <col min="5383" max="5383" width="13" style="2984" customWidth="1"/>
    <col min="5384" max="5385" width="8.875" style="2984"/>
    <col min="5386" max="5386" width="5.625" style="2984" customWidth="1"/>
    <col min="5387" max="5387" width="11.625" style="2984" customWidth="1"/>
    <col min="5388" max="5389" width="10.625" style="2984" customWidth="1"/>
    <col min="5390" max="5390" width="10" style="2984" customWidth="1"/>
    <col min="5391" max="5392" width="10.5" style="2984" bestFit="1" customWidth="1"/>
    <col min="5393" max="5393" width="10" style="2984" customWidth="1"/>
    <col min="5394" max="5394" width="10.125" style="2984" customWidth="1"/>
    <col min="5395" max="5395" width="10" style="2984" customWidth="1"/>
    <col min="5396" max="5396" width="26.125" style="2984" customWidth="1"/>
    <col min="5397" max="5632" width="8.875" style="2984"/>
    <col min="5633" max="5633" width="9.5" style="2984" customWidth="1"/>
    <col min="5634" max="5634" width="8.875" style="2984"/>
    <col min="5635" max="5637" width="12.875" style="2984" customWidth="1"/>
    <col min="5638" max="5638" width="47.5" style="2984" customWidth="1"/>
    <col min="5639" max="5639" width="13" style="2984" customWidth="1"/>
    <col min="5640" max="5641" width="8.875" style="2984"/>
    <col min="5642" max="5642" width="5.625" style="2984" customWidth="1"/>
    <col min="5643" max="5643" width="11.625" style="2984" customWidth="1"/>
    <col min="5644" max="5645" width="10.625" style="2984" customWidth="1"/>
    <col min="5646" max="5646" width="10" style="2984" customWidth="1"/>
    <col min="5647" max="5648" width="10.5" style="2984" bestFit="1" customWidth="1"/>
    <col min="5649" max="5649" width="10" style="2984" customWidth="1"/>
    <col min="5650" max="5650" width="10.125" style="2984" customWidth="1"/>
    <col min="5651" max="5651" width="10" style="2984" customWidth="1"/>
    <col min="5652" max="5652" width="26.125" style="2984" customWidth="1"/>
    <col min="5653" max="5888" width="8.875" style="2984"/>
    <col min="5889" max="5889" width="9.5" style="2984" customWidth="1"/>
    <col min="5890" max="5890" width="8.875" style="2984"/>
    <col min="5891" max="5893" width="12.875" style="2984" customWidth="1"/>
    <col min="5894" max="5894" width="47.5" style="2984" customWidth="1"/>
    <col min="5895" max="5895" width="13" style="2984" customWidth="1"/>
    <col min="5896" max="5897" width="8.875" style="2984"/>
    <col min="5898" max="5898" width="5.625" style="2984" customWidth="1"/>
    <col min="5899" max="5899" width="11.625" style="2984" customWidth="1"/>
    <col min="5900" max="5901" width="10.625" style="2984" customWidth="1"/>
    <col min="5902" max="5902" width="10" style="2984" customWidth="1"/>
    <col min="5903" max="5904" width="10.5" style="2984" bestFit="1" customWidth="1"/>
    <col min="5905" max="5905" width="10" style="2984" customWidth="1"/>
    <col min="5906" max="5906" width="10.125" style="2984" customWidth="1"/>
    <col min="5907" max="5907" width="10" style="2984" customWidth="1"/>
    <col min="5908" max="5908" width="26.125" style="2984" customWidth="1"/>
    <col min="5909" max="6144" width="8.875" style="2984"/>
    <col min="6145" max="6145" width="9.5" style="2984" customWidth="1"/>
    <col min="6146" max="6146" width="8.875" style="2984"/>
    <col min="6147" max="6149" width="12.875" style="2984" customWidth="1"/>
    <col min="6150" max="6150" width="47.5" style="2984" customWidth="1"/>
    <col min="6151" max="6151" width="13" style="2984" customWidth="1"/>
    <col min="6152" max="6153" width="8.875" style="2984"/>
    <col min="6154" max="6154" width="5.625" style="2984" customWidth="1"/>
    <col min="6155" max="6155" width="11.625" style="2984" customWidth="1"/>
    <col min="6156" max="6157" width="10.625" style="2984" customWidth="1"/>
    <col min="6158" max="6158" width="10" style="2984" customWidth="1"/>
    <col min="6159" max="6160" width="10.5" style="2984" bestFit="1" customWidth="1"/>
    <col min="6161" max="6161" width="10" style="2984" customWidth="1"/>
    <col min="6162" max="6162" width="10.125" style="2984" customWidth="1"/>
    <col min="6163" max="6163" width="10" style="2984" customWidth="1"/>
    <col min="6164" max="6164" width="26.125" style="2984" customWidth="1"/>
    <col min="6165" max="6400" width="8.875" style="2984"/>
    <col min="6401" max="6401" width="9.5" style="2984" customWidth="1"/>
    <col min="6402" max="6402" width="8.875" style="2984"/>
    <col min="6403" max="6405" width="12.875" style="2984" customWidth="1"/>
    <col min="6406" max="6406" width="47.5" style="2984" customWidth="1"/>
    <col min="6407" max="6407" width="13" style="2984" customWidth="1"/>
    <col min="6408" max="6409" width="8.875" style="2984"/>
    <col min="6410" max="6410" width="5.625" style="2984" customWidth="1"/>
    <col min="6411" max="6411" width="11.625" style="2984" customWidth="1"/>
    <col min="6412" max="6413" width="10.625" style="2984" customWidth="1"/>
    <col min="6414" max="6414" width="10" style="2984" customWidth="1"/>
    <col min="6415" max="6416" width="10.5" style="2984" bestFit="1" customWidth="1"/>
    <col min="6417" max="6417" width="10" style="2984" customWidth="1"/>
    <col min="6418" max="6418" width="10.125" style="2984" customWidth="1"/>
    <col min="6419" max="6419" width="10" style="2984" customWidth="1"/>
    <col min="6420" max="6420" width="26.125" style="2984" customWidth="1"/>
    <col min="6421" max="6656" width="8.875" style="2984"/>
    <col min="6657" max="6657" width="9.5" style="2984" customWidth="1"/>
    <col min="6658" max="6658" width="8.875" style="2984"/>
    <col min="6659" max="6661" width="12.875" style="2984" customWidth="1"/>
    <col min="6662" max="6662" width="47.5" style="2984" customWidth="1"/>
    <col min="6663" max="6663" width="13" style="2984" customWidth="1"/>
    <col min="6664" max="6665" width="8.875" style="2984"/>
    <col min="6666" max="6666" width="5.625" style="2984" customWidth="1"/>
    <col min="6667" max="6667" width="11.625" style="2984" customWidth="1"/>
    <col min="6668" max="6669" width="10.625" style="2984" customWidth="1"/>
    <col min="6670" max="6670" width="10" style="2984" customWidth="1"/>
    <col min="6671" max="6672" width="10.5" style="2984" bestFit="1" customWidth="1"/>
    <col min="6673" max="6673" width="10" style="2984" customWidth="1"/>
    <col min="6674" max="6674" width="10.125" style="2984" customWidth="1"/>
    <col min="6675" max="6675" width="10" style="2984" customWidth="1"/>
    <col min="6676" max="6676" width="26.125" style="2984" customWidth="1"/>
    <col min="6677" max="6912" width="8.875" style="2984"/>
    <col min="6913" max="6913" width="9.5" style="2984" customWidth="1"/>
    <col min="6914" max="6914" width="8.875" style="2984"/>
    <col min="6915" max="6917" width="12.875" style="2984" customWidth="1"/>
    <col min="6918" max="6918" width="47.5" style="2984" customWidth="1"/>
    <col min="6919" max="6919" width="13" style="2984" customWidth="1"/>
    <col min="6920" max="6921" width="8.875" style="2984"/>
    <col min="6922" max="6922" width="5.625" style="2984" customWidth="1"/>
    <col min="6923" max="6923" width="11.625" style="2984" customWidth="1"/>
    <col min="6924" max="6925" width="10.625" style="2984" customWidth="1"/>
    <col min="6926" max="6926" width="10" style="2984" customWidth="1"/>
    <col min="6927" max="6928" width="10.5" style="2984" bestFit="1" customWidth="1"/>
    <col min="6929" max="6929" width="10" style="2984" customWidth="1"/>
    <col min="6930" max="6930" width="10.125" style="2984" customWidth="1"/>
    <col min="6931" max="6931" width="10" style="2984" customWidth="1"/>
    <col min="6932" max="6932" width="26.125" style="2984" customWidth="1"/>
    <col min="6933" max="7168" width="8.875" style="2984"/>
    <col min="7169" max="7169" width="9.5" style="2984" customWidth="1"/>
    <col min="7170" max="7170" width="8.875" style="2984"/>
    <col min="7171" max="7173" width="12.875" style="2984" customWidth="1"/>
    <col min="7174" max="7174" width="47.5" style="2984" customWidth="1"/>
    <col min="7175" max="7175" width="13" style="2984" customWidth="1"/>
    <col min="7176" max="7177" width="8.875" style="2984"/>
    <col min="7178" max="7178" width="5.625" style="2984" customWidth="1"/>
    <col min="7179" max="7179" width="11.625" style="2984" customWidth="1"/>
    <col min="7180" max="7181" width="10.625" style="2984" customWidth="1"/>
    <col min="7182" max="7182" width="10" style="2984" customWidth="1"/>
    <col min="7183" max="7184" width="10.5" style="2984" bestFit="1" customWidth="1"/>
    <col min="7185" max="7185" width="10" style="2984" customWidth="1"/>
    <col min="7186" max="7186" width="10.125" style="2984" customWidth="1"/>
    <col min="7187" max="7187" width="10" style="2984" customWidth="1"/>
    <col min="7188" max="7188" width="26.125" style="2984" customWidth="1"/>
    <col min="7189" max="7424" width="8.875" style="2984"/>
    <col min="7425" max="7425" width="9.5" style="2984" customWidth="1"/>
    <col min="7426" max="7426" width="8.875" style="2984"/>
    <col min="7427" max="7429" width="12.875" style="2984" customWidth="1"/>
    <col min="7430" max="7430" width="47.5" style="2984" customWidth="1"/>
    <col min="7431" max="7431" width="13" style="2984" customWidth="1"/>
    <col min="7432" max="7433" width="8.875" style="2984"/>
    <col min="7434" max="7434" width="5.625" style="2984" customWidth="1"/>
    <col min="7435" max="7435" width="11.625" style="2984" customWidth="1"/>
    <col min="7436" max="7437" width="10.625" style="2984" customWidth="1"/>
    <col min="7438" max="7438" width="10" style="2984" customWidth="1"/>
    <col min="7439" max="7440" width="10.5" style="2984" bestFit="1" customWidth="1"/>
    <col min="7441" max="7441" width="10" style="2984" customWidth="1"/>
    <col min="7442" max="7442" width="10.125" style="2984" customWidth="1"/>
    <col min="7443" max="7443" width="10" style="2984" customWidth="1"/>
    <col min="7444" max="7444" width="26.125" style="2984" customWidth="1"/>
    <col min="7445" max="7680" width="8.875" style="2984"/>
    <col min="7681" max="7681" width="9.5" style="2984" customWidth="1"/>
    <col min="7682" max="7682" width="8.875" style="2984"/>
    <col min="7683" max="7685" width="12.875" style="2984" customWidth="1"/>
    <col min="7686" max="7686" width="47.5" style="2984" customWidth="1"/>
    <col min="7687" max="7687" width="13" style="2984" customWidth="1"/>
    <col min="7688" max="7689" width="8.875" style="2984"/>
    <col min="7690" max="7690" width="5.625" style="2984" customWidth="1"/>
    <col min="7691" max="7691" width="11.625" style="2984" customWidth="1"/>
    <col min="7692" max="7693" width="10.625" style="2984" customWidth="1"/>
    <col min="7694" max="7694" width="10" style="2984" customWidth="1"/>
    <col min="7695" max="7696" width="10.5" style="2984" bestFit="1" customWidth="1"/>
    <col min="7697" max="7697" width="10" style="2984" customWidth="1"/>
    <col min="7698" max="7698" width="10.125" style="2984" customWidth="1"/>
    <col min="7699" max="7699" width="10" style="2984" customWidth="1"/>
    <col min="7700" max="7700" width="26.125" style="2984" customWidth="1"/>
    <col min="7701" max="7936" width="8.875" style="2984"/>
    <col min="7937" max="7937" width="9.5" style="2984" customWidth="1"/>
    <col min="7938" max="7938" width="8.875" style="2984"/>
    <col min="7939" max="7941" width="12.875" style="2984" customWidth="1"/>
    <col min="7942" max="7942" width="47.5" style="2984" customWidth="1"/>
    <col min="7943" max="7943" width="13" style="2984" customWidth="1"/>
    <col min="7944" max="7945" width="8.875" style="2984"/>
    <col min="7946" max="7946" width="5.625" style="2984" customWidth="1"/>
    <col min="7947" max="7947" width="11.625" style="2984" customWidth="1"/>
    <col min="7948" max="7949" width="10.625" style="2984" customWidth="1"/>
    <col min="7950" max="7950" width="10" style="2984" customWidth="1"/>
    <col min="7951" max="7952" width="10.5" style="2984" bestFit="1" customWidth="1"/>
    <col min="7953" max="7953" width="10" style="2984" customWidth="1"/>
    <col min="7954" max="7954" width="10.125" style="2984" customWidth="1"/>
    <col min="7955" max="7955" width="10" style="2984" customWidth="1"/>
    <col min="7956" max="7956" width="26.125" style="2984" customWidth="1"/>
    <col min="7957" max="8192" width="8.875" style="2984"/>
    <col min="8193" max="8193" width="9.5" style="2984" customWidth="1"/>
    <col min="8194" max="8194" width="8.875" style="2984"/>
    <col min="8195" max="8197" width="12.875" style="2984" customWidth="1"/>
    <col min="8198" max="8198" width="47.5" style="2984" customWidth="1"/>
    <col min="8199" max="8199" width="13" style="2984" customWidth="1"/>
    <col min="8200" max="8201" width="8.875" style="2984"/>
    <col min="8202" max="8202" width="5.625" style="2984" customWidth="1"/>
    <col min="8203" max="8203" width="11.625" style="2984" customWidth="1"/>
    <col min="8204" max="8205" width="10.625" style="2984" customWidth="1"/>
    <col min="8206" max="8206" width="10" style="2984" customWidth="1"/>
    <col min="8207" max="8208" width="10.5" style="2984" bestFit="1" customWidth="1"/>
    <col min="8209" max="8209" width="10" style="2984" customWidth="1"/>
    <col min="8210" max="8210" width="10.125" style="2984" customWidth="1"/>
    <col min="8211" max="8211" width="10" style="2984" customWidth="1"/>
    <col min="8212" max="8212" width="26.125" style="2984" customWidth="1"/>
    <col min="8213" max="8448" width="8.875" style="2984"/>
    <col min="8449" max="8449" width="9.5" style="2984" customWidth="1"/>
    <col min="8450" max="8450" width="8.875" style="2984"/>
    <col min="8451" max="8453" width="12.875" style="2984" customWidth="1"/>
    <col min="8454" max="8454" width="47.5" style="2984" customWidth="1"/>
    <col min="8455" max="8455" width="13" style="2984" customWidth="1"/>
    <col min="8456" max="8457" width="8.875" style="2984"/>
    <col min="8458" max="8458" width="5.625" style="2984" customWidth="1"/>
    <col min="8459" max="8459" width="11.625" style="2984" customWidth="1"/>
    <col min="8460" max="8461" width="10.625" style="2984" customWidth="1"/>
    <col min="8462" max="8462" width="10" style="2984" customWidth="1"/>
    <col min="8463" max="8464" width="10.5" style="2984" bestFit="1" customWidth="1"/>
    <col min="8465" max="8465" width="10" style="2984" customWidth="1"/>
    <col min="8466" max="8466" width="10.125" style="2984" customWidth="1"/>
    <col min="8467" max="8467" width="10" style="2984" customWidth="1"/>
    <col min="8468" max="8468" width="26.125" style="2984" customWidth="1"/>
    <col min="8469" max="8704" width="8.875" style="2984"/>
    <col min="8705" max="8705" width="9.5" style="2984" customWidth="1"/>
    <col min="8706" max="8706" width="8.875" style="2984"/>
    <col min="8707" max="8709" width="12.875" style="2984" customWidth="1"/>
    <col min="8710" max="8710" width="47.5" style="2984" customWidth="1"/>
    <col min="8711" max="8711" width="13" style="2984" customWidth="1"/>
    <col min="8712" max="8713" width="8.875" style="2984"/>
    <col min="8714" max="8714" width="5.625" style="2984" customWidth="1"/>
    <col min="8715" max="8715" width="11.625" style="2984" customWidth="1"/>
    <col min="8716" max="8717" width="10.625" style="2984" customWidth="1"/>
    <col min="8718" max="8718" width="10" style="2984" customWidth="1"/>
    <col min="8719" max="8720" width="10.5" style="2984" bestFit="1" customWidth="1"/>
    <col min="8721" max="8721" width="10" style="2984" customWidth="1"/>
    <col min="8722" max="8722" width="10.125" style="2984" customWidth="1"/>
    <col min="8723" max="8723" width="10" style="2984" customWidth="1"/>
    <col min="8724" max="8724" width="26.125" style="2984" customWidth="1"/>
    <col min="8725" max="8960" width="8.875" style="2984"/>
    <col min="8961" max="8961" width="9.5" style="2984" customWidth="1"/>
    <col min="8962" max="8962" width="8.875" style="2984"/>
    <col min="8963" max="8965" width="12.875" style="2984" customWidth="1"/>
    <col min="8966" max="8966" width="47.5" style="2984" customWidth="1"/>
    <col min="8967" max="8967" width="13" style="2984" customWidth="1"/>
    <col min="8968" max="8969" width="8.875" style="2984"/>
    <col min="8970" max="8970" width="5.625" style="2984" customWidth="1"/>
    <col min="8971" max="8971" width="11.625" style="2984" customWidth="1"/>
    <col min="8972" max="8973" width="10.625" style="2984" customWidth="1"/>
    <col min="8974" max="8974" width="10" style="2984" customWidth="1"/>
    <col min="8975" max="8976" width="10.5" style="2984" bestFit="1" customWidth="1"/>
    <col min="8977" max="8977" width="10" style="2984" customWidth="1"/>
    <col min="8978" max="8978" width="10.125" style="2984" customWidth="1"/>
    <col min="8979" max="8979" width="10" style="2984" customWidth="1"/>
    <col min="8980" max="8980" width="26.125" style="2984" customWidth="1"/>
    <col min="8981" max="9216" width="8.875" style="2984"/>
    <col min="9217" max="9217" width="9.5" style="2984" customWidth="1"/>
    <col min="9218" max="9218" width="8.875" style="2984"/>
    <col min="9219" max="9221" width="12.875" style="2984" customWidth="1"/>
    <col min="9222" max="9222" width="47.5" style="2984" customWidth="1"/>
    <col min="9223" max="9223" width="13" style="2984" customWidth="1"/>
    <col min="9224" max="9225" width="8.875" style="2984"/>
    <col min="9226" max="9226" width="5.625" style="2984" customWidth="1"/>
    <col min="9227" max="9227" width="11.625" style="2984" customWidth="1"/>
    <col min="9228" max="9229" width="10.625" style="2984" customWidth="1"/>
    <col min="9230" max="9230" width="10" style="2984" customWidth="1"/>
    <col min="9231" max="9232" width="10.5" style="2984" bestFit="1" customWidth="1"/>
    <col min="9233" max="9233" width="10" style="2984" customWidth="1"/>
    <col min="9234" max="9234" width="10.125" style="2984" customWidth="1"/>
    <col min="9235" max="9235" width="10" style="2984" customWidth="1"/>
    <col min="9236" max="9236" width="26.125" style="2984" customWidth="1"/>
    <col min="9237" max="9472" width="8.875" style="2984"/>
    <col min="9473" max="9473" width="9.5" style="2984" customWidth="1"/>
    <col min="9474" max="9474" width="8.875" style="2984"/>
    <col min="9475" max="9477" width="12.875" style="2984" customWidth="1"/>
    <col min="9478" max="9478" width="47.5" style="2984" customWidth="1"/>
    <col min="9479" max="9479" width="13" style="2984" customWidth="1"/>
    <col min="9480" max="9481" width="8.875" style="2984"/>
    <col min="9482" max="9482" width="5.625" style="2984" customWidth="1"/>
    <col min="9483" max="9483" width="11.625" style="2984" customWidth="1"/>
    <col min="9484" max="9485" width="10.625" style="2984" customWidth="1"/>
    <col min="9486" max="9486" width="10" style="2984" customWidth="1"/>
    <col min="9487" max="9488" width="10.5" style="2984" bestFit="1" customWidth="1"/>
    <col min="9489" max="9489" width="10" style="2984" customWidth="1"/>
    <col min="9490" max="9490" width="10.125" style="2984" customWidth="1"/>
    <col min="9491" max="9491" width="10" style="2984" customWidth="1"/>
    <col min="9492" max="9492" width="26.125" style="2984" customWidth="1"/>
    <col min="9493" max="9728" width="8.875" style="2984"/>
    <col min="9729" max="9729" width="9.5" style="2984" customWidth="1"/>
    <col min="9730" max="9730" width="8.875" style="2984"/>
    <col min="9731" max="9733" width="12.875" style="2984" customWidth="1"/>
    <col min="9734" max="9734" width="47.5" style="2984" customWidth="1"/>
    <col min="9735" max="9735" width="13" style="2984" customWidth="1"/>
    <col min="9736" max="9737" width="8.875" style="2984"/>
    <col min="9738" max="9738" width="5.625" style="2984" customWidth="1"/>
    <col min="9739" max="9739" width="11.625" style="2984" customWidth="1"/>
    <col min="9740" max="9741" width="10.625" style="2984" customWidth="1"/>
    <col min="9742" max="9742" width="10" style="2984" customWidth="1"/>
    <col min="9743" max="9744" width="10.5" style="2984" bestFit="1" customWidth="1"/>
    <col min="9745" max="9745" width="10" style="2984" customWidth="1"/>
    <col min="9746" max="9746" width="10.125" style="2984" customWidth="1"/>
    <col min="9747" max="9747" width="10" style="2984" customWidth="1"/>
    <col min="9748" max="9748" width="26.125" style="2984" customWidth="1"/>
    <col min="9749" max="9984" width="8.875" style="2984"/>
    <col min="9985" max="9985" width="9.5" style="2984" customWidth="1"/>
    <col min="9986" max="9986" width="8.875" style="2984"/>
    <col min="9987" max="9989" width="12.875" style="2984" customWidth="1"/>
    <col min="9990" max="9990" width="47.5" style="2984" customWidth="1"/>
    <col min="9991" max="9991" width="13" style="2984" customWidth="1"/>
    <col min="9992" max="9993" width="8.875" style="2984"/>
    <col min="9994" max="9994" width="5.625" style="2984" customWidth="1"/>
    <col min="9995" max="9995" width="11.625" style="2984" customWidth="1"/>
    <col min="9996" max="9997" width="10.625" style="2984" customWidth="1"/>
    <col min="9998" max="9998" width="10" style="2984" customWidth="1"/>
    <col min="9999" max="10000" width="10.5" style="2984" bestFit="1" customWidth="1"/>
    <col min="10001" max="10001" width="10" style="2984" customWidth="1"/>
    <col min="10002" max="10002" width="10.125" style="2984" customWidth="1"/>
    <col min="10003" max="10003" width="10" style="2984" customWidth="1"/>
    <col min="10004" max="10004" width="26.125" style="2984" customWidth="1"/>
    <col min="10005" max="10240" width="8.875" style="2984"/>
    <col min="10241" max="10241" width="9.5" style="2984" customWidth="1"/>
    <col min="10242" max="10242" width="8.875" style="2984"/>
    <col min="10243" max="10245" width="12.875" style="2984" customWidth="1"/>
    <col min="10246" max="10246" width="47.5" style="2984" customWidth="1"/>
    <col min="10247" max="10247" width="13" style="2984" customWidth="1"/>
    <col min="10248" max="10249" width="8.875" style="2984"/>
    <col min="10250" max="10250" width="5.625" style="2984" customWidth="1"/>
    <col min="10251" max="10251" width="11.625" style="2984" customWidth="1"/>
    <col min="10252" max="10253" width="10.625" style="2984" customWidth="1"/>
    <col min="10254" max="10254" width="10" style="2984" customWidth="1"/>
    <col min="10255" max="10256" width="10.5" style="2984" bestFit="1" customWidth="1"/>
    <col min="10257" max="10257" width="10" style="2984" customWidth="1"/>
    <col min="10258" max="10258" width="10.125" style="2984" customWidth="1"/>
    <col min="10259" max="10259" width="10" style="2984" customWidth="1"/>
    <col min="10260" max="10260" width="26.125" style="2984" customWidth="1"/>
    <col min="10261" max="10496" width="8.875" style="2984"/>
    <col min="10497" max="10497" width="9.5" style="2984" customWidth="1"/>
    <col min="10498" max="10498" width="8.875" style="2984"/>
    <col min="10499" max="10501" width="12.875" style="2984" customWidth="1"/>
    <col min="10502" max="10502" width="47.5" style="2984" customWidth="1"/>
    <col min="10503" max="10503" width="13" style="2984" customWidth="1"/>
    <col min="10504" max="10505" width="8.875" style="2984"/>
    <col min="10506" max="10506" width="5.625" style="2984" customWidth="1"/>
    <col min="10507" max="10507" width="11.625" style="2984" customWidth="1"/>
    <col min="10508" max="10509" width="10.625" style="2984" customWidth="1"/>
    <col min="10510" max="10510" width="10" style="2984" customWidth="1"/>
    <col min="10511" max="10512" width="10.5" style="2984" bestFit="1" customWidth="1"/>
    <col min="10513" max="10513" width="10" style="2984" customWidth="1"/>
    <col min="10514" max="10514" width="10.125" style="2984" customWidth="1"/>
    <col min="10515" max="10515" width="10" style="2984" customWidth="1"/>
    <col min="10516" max="10516" width="26.125" style="2984" customWidth="1"/>
    <col min="10517" max="10752" width="8.875" style="2984"/>
    <col min="10753" max="10753" width="9.5" style="2984" customWidth="1"/>
    <col min="10754" max="10754" width="8.875" style="2984"/>
    <col min="10755" max="10757" width="12.875" style="2984" customWidth="1"/>
    <col min="10758" max="10758" width="47.5" style="2984" customWidth="1"/>
    <col min="10759" max="10759" width="13" style="2984" customWidth="1"/>
    <col min="10760" max="10761" width="8.875" style="2984"/>
    <col min="10762" max="10762" width="5.625" style="2984" customWidth="1"/>
    <col min="10763" max="10763" width="11.625" style="2984" customWidth="1"/>
    <col min="10764" max="10765" width="10.625" style="2984" customWidth="1"/>
    <col min="10766" max="10766" width="10" style="2984" customWidth="1"/>
    <col min="10767" max="10768" width="10.5" style="2984" bestFit="1" customWidth="1"/>
    <col min="10769" max="10769" width="10" style="2984" customWidth="1"/>
    <col min="10770" max="10770" width="10.125" style="2984" customWidth="1"/>
    <col min="10771" max="10771" width="10" style="2984" customWidth="1"/>
    <col min="10772" max="10772" width="26.125" style="2984" customWidth="1"/>
    <col min="10773" max="11008" width="8.875" style="2984"/>
    <col min="11009" max="11009" width="9.5" style="2984" customWidth="1"/>
    <col min="11010" max="11010" width="8.875" style="2984"/>
    <col min="11011" max="11013" width="12.875" style="2984" customWidth="1"/>
    <col min="11014" max="11014" width="47.5" style="2984" customWidth="1"/>
    <col min="11015" max="11015" width="13" style="2984" customWidth="1"/>
    <col min="11016" max="11017" width="8.875" style="2984"/>
    <col min="11018" max="11018" width="5.625" style="2984" customWidth="1"/>
    <col min="11019" max="11019" width="11.625" style="2984" customWidth="1"/>
    <col min="11020" max="11021" width="10.625" style="2984" customWidth="1"/>
    <col min="11022" max="11022" width="10" style="2984" customWidth="1"/>
    <col min="11023" max="11024" width="10.5" style="2984" bestFit="1" customWidth="1"/>
    <col min="11025" max="11025" width="10" style="2984" customWidth="1"/>
    <col min="11026" max="11026" width="10.125" style="2984" customWidth="1"/>
    <col min="11027" max="11027" width="10" style="2984" customWidth="1"/>
    <col min="11028" max="11028" width="26.125" style="2984" customWidth="1"/>
    <col min="11029" max="11264" width="8.875" style="2984"/>
    <col min="11265" max="11265" width="9.5" style="2984" customWidth="1"/>
    <col min="11266" max="11266" width="8.875" style="2984"/>
    <col min="11267" max="11269" width="12.875" style="2984" customWidth="1"/>
    <col min="11270" max="11270" width="47.5" style="2984" customWidth="1"/>
    <col min="11271" max="11271" width="13" style="2984" customWidth="1"/>
    <col min="11272" max="11273" width="8.875" style="2984"/>
    <col min="11274" max="11274" width="5.625" style="2984" customWidth="1"/>
    <col min="11275" max="11275" width="11.625" style="2984" customWidth="1"/>
    <col min="11276" max="11277" width="10.625" style="2984" customWidth="1"/>
    <col min="11278" max="11278" width="10" style="2984" customWidth="1"/>
    <col min="11279" max="11280" width="10.5" style="2984" bestFit="1" customWidth="1"/>
    <col min="11281" max="11281" width="10" style="2984" customWidth="1"/>
    <col min="11282" max="11282" width="10.125" style="2984" customWidth="1"/>
    <col min="11283" max="11283" width="10" style="2984" customWidth="1"/>
    <col min="11284" max="11284" width="26.125" style="2984" customWidth="1"/>
    <col min="11285" max="11520" width="8.875" style="2984"/>
    <col min="11521" max="11521" width="9.5" style="2984" customWidth="1"/>
    <col min="11522" max="11522" width="8.875" style="2984"/>
    <col min="11523" max="11525" width="12.875" style="2984" customWidth="1"/>
    <col min="11526" max="11526" width="47.5" style="2984" customWidth="1"/>
    <col min="11527" max="11527" width="13" style="2984" customWidth="1"/>
    <col min="11528" max="11529" width="8.875" style="2984"/>
    <col min="11530" max="11530" width="5.625" style="2984" customWidth="1"/>
    <col min="11531" max="11531" width="11.625" style="2984" customWidth="1"/>
    <col min="11532" max="11533" width="10.625" style="2984" customWidth="1"/>
    <col min="11534" max="11534" width="10" style="2984" customWidth="1"/>
    <col min="11535" max="11536" width="10.5" style="2984" bestFit="1" customWidth="1"/>
    <col min="11537" max="11537" width="10" style="2984" customWidth="1"/>
    <col min="11538" max="11538" width="10.125" style="2984" customWidth="1"/>
    <col min="11539" max="11539" width="10" style="2984" customWidth="1"/>
    <col min="11540" max="11540" width="26.125" style="2984" customWidth="1"/>
    <col min="11541" max="11776" width="8.875" style="2984"/>
    <col min="11777" max="11777" width="9.5" style="2984" customWidth="1"/>
    <col min="11778" max="11778" width="8.875" style="2984"/>
    <col min="11779" max="11781" width="12.875" style="2984" customWidth="1"/>
    <col min="11782" max="11782" width="47.5" style="2984" customWidth="1"/>
    <col min="11783" max="11783" width="13" style="2984" customWidth="1"/>
    <col min="11784" max="11785" width="8.875" style="2984"/>
    <col min="11786" max="11786" width="5.625" style="2984" customWidth="1"/>
    <col min="11787" max="11787" width="11.625" style="2984" customWidth="1"/>
    <col min="11788" max="11789" width="10.625" style="2984" customWidth="1"/>
    <col min="11790" max="11790" width="10" style="2984" customWidth="1"/>
    <col min="11791" max="11792" width="10.5" style="2984" bestFit="1" customWidth="1"/>
    <col min="11793" max="11793" width="10" style="2984" customWidth="1"/>
    <col min="11794" max="11794" width="10.125" style="2984" customWidth="1"/>
    <col min="11795" max="11795" width="10" style="2984" customWidth="1"/>
    <col min="11796" max="11796" width="26.125" style="2984" customWidth="1"/>
    <col min="11797" max="12032" width="8.875" style="2984"/>
    <col min="12033" max="12033" width="9.5" style="2984" customWidth="1"/>
    <col min="12034" max="12034" width="8.875" style="2984"/>
    <col min="12035" max="12037" width="12.875" style="2984" customWidth="1"/>
    <col min="12038" max="12038" width="47.5" style="2984" customWidth="1"/>
    <col min="12039" max="12039" width="13" style="2984" customWidth="1"/>
    <col min="12040" max="12041" width="8.875" style="2984"/>
    <col min="12042" max="12042" width="5.625" style="2984" customWidth="1"/>
    <col min="12043" max="12043" width="11.625" style="2984" customWidth="1"/>
    <col min="12044" max="12045" width="10.625" style="2984" customWidth="1"/>
    <col min="12046" max="12046" width="10" style="2984" customWidth="1"/>
    <col min="12047" max="12048" width="10.5" style="2984" bestFit="1" customWidth="1"/>
    <col min="12049" max="12049" width="10" style="2984" customWidth="1"/>
    <col min="12050" max="12050" width="10.125" style="2984" customWidth="1"/>
    <col min="12051" max="12051" width="10" style="2984" customWidth="1"/>
    <col min="12052" max="12052" width="26.125" style="2984" customWidth="1"/>
    <col min="12053" max="12288" width="8.875" style="2984"/>
    <col min="12289" max="12289" width="9.5" style="2984" customWidth="1"/>
    <col min="12290" max="12290" width="8.875" style="2984"/>
    <col min="12291" max="12293" width="12.875" style="2984" customWidth="1"/>
    <col min="12294" max="12294" width="47.5" style="2984" customWidth="1"/>
    <col min="12295" max="12295" width="13" style="2984" customWidth="1"/>
    <col min="12296" max="12297" width="8.875" style="2984"/>
    <col min="12298" max="12298" width="5.625" style="2984" customWidth="1"/>
    <col min="12299" max="12299" width="11.625" style="2984" customWidth="1"/>
    <col min="12300" max="12301" width="10.625" style="2984" customWidth="1"/>
    <col min="12302" max="12302" width="10" style="2984" customWidth="1"/>
    <col min="12303" max="12304" width="10.5" style="2984" bestFit="1" customWidth="1"/>
    <col min="12305" max="12305" width="10" style="2984" customWidth="1"/>
    <col min="12306" max="12306" width="10.125" style="2984" customWidth="1"/>
    <col min="12307" max="12307" width="10" style="2984" customWidth="1"/>
    <col min="12308" max="12308" width="26.125" style="2984" customWidth="1"/>
    <col min="12309" max="12544" width="8.875" style="2984"/>
    <col min="12545" max="12545" width="9.5" style="2984" customWidth="1"/>
    <col min="12546" max="12546" width="8.875" style="2984"/>
    <col min="12547" max="12549" width="12.875" style="2984" customWidth="1"/>
    <col min="12550" max="12550" width="47.5" style="2984" customWidth="1"/>
    <col min="12551" max="12551" width="13" style="2984" customWidth="1"/>
    <col min="12552" max="12553" width="8.875" style="2984"/>
    <col min="12554" max="12554" width="5.625" style="2984" customWidth="1"/>
    <col min="12555" max="12555" width="11.625" style="2984" customWidth="1"/>
    <col min="12556" max="12557" width="10.625" style="2984" customWidth="1"/>
    <col min="12558" max="12558" width="10" style="2984" customWidth="1"/>
    <col min="12559" max="12560" width="10.5" style="2984" bestFit="1" customWidth="1"/>
    <col min="12561" max="12561" width="10" style="2984" customWidth="1"/>
    <col min="12562" max="12562" width="10.125" style="2984" customWidth="1"/>
    <col min="12563" max="12563" width="10" style="2984" customWidth="1"/>
    <col min="12564" max="12564" width="26.125" style="2984" customWidth="1"/>
    <col min="12565" max="12800" width="8.875" style="2984"/>
    <col min="12801" max="12801" width="9.5" style="2984" customWidth="1"/>
    <col min="12802" max="12802" width="8.875" style="2984"/>
    <col min="12803" max="12805" width="12.875" style="2984" customWidth="1"/>
    <col min="12806" max="12806" width="47.5" style="2984" customWidth="1"/>
    <col min="12807" max="12807" width="13" style="2984" customWidth="1"/>
    <col min="12808" max="12809" width="8.875" style="2984"/>
    <col min="12810" max="12810" width="5.625" style="2984" customWidth="1"/>
    <col min="12811" max="12811" width="11.625" style="2984" customWidth="1"/>
    <col min="12812" max="12813" width="10.625" style="2984" customWidth="1"/>
    <col min="12814" max="12814" width="10" style="2984" customWidth="1"/>
    <col min="12815" max="12816" width="10.5" style="2984" bestFit="1" customWidth="1"/>
    <col min="12817" max="12817" width="10" style="2984" customWidth="1"/>
    <col min="12818" max="12818" width="10.125" style="2984" customWidth="1"/>
    <col min="12819" max="12819" width="10" style="2984" customWidth="1"/>
    <col min="12820" max="12820" width="26.125" style="2984" customWidth="1"/>
    <col min="12821" max="13056" width="8.875" style="2984"/>
    <col min="13057" max="13057" width="9.5" style="2984" customWidth="1"/>
    <col min="13058" max="13058" width="8.875" style="2984"/>
    <col min="13059" max="13061" width="12.875" style="2984" customWidth="1"/>
    <col min="13062" max="13062" width="47.5" style="2984" customWidth="1"/>
    <col min="13063" max="13063" width="13" style="2984" customWidth="1"/>
    <col min="13064" max="13065" width="8.875" style="2984"/>
    <col min="13066" max="13066" width="5.625" style="2984" customWidth="1"/>
    <col min="13067" max="13067" width="11.625" style="2984" customWidth="1"/>
    <col min="13068" max="13069" width="10.625" style="2984" customWidth="1"/>
    <col min="13070" max="13070" width="10" style="2984" customWidth="1"/>
    <col min="13071" max="13072" width="10.5" style="2984" bestFit="1" customWidth="1"/>
    <col min="13073" max="13073" width="10" style="2984" customWidth="1"/>
    <col min="13074" max="13074" width="10.125" style="2984" customWidth="1"/>
    <col min="13075" max="13075" width="10" style="2984" customWidth="1"/>
    <col min="13076" max="13076" width="26.125" style="2984" customWidth="1"/>
    <col min="13077" max="13312" width="8.875" style="2984"/>
    <col min="13313" max="13313" width="9.5" style="2984" customWidth="1"/>
    <col min="13314" max="13314" width="8.875" style="2984"/>
    <col min="13315" max="13317" width="12.875" style="2984" customWidth="1"/>
    <col min="13318" max="13318" width="47.5" style="2984" customWidth="1"/>
    <col min="13319" max="13319" width="13" style="2984" customWidth="1"/>
    <col min="13320" max="13321" width="8.875" style="2984"/>
    <col min="13322" max="13322" width="5.625" style="2984" customWidth="1"/>
    <col min="13323" max="13323" width="11.625" style="2984" customWidth="1"/>
    <col min="13324" max="13325" width="10.625" style="2984" customWidth="1"/>
    <col min="13326" max="13326" width="10" style="2984" customWidth="1"/>
    <col min="13327" max="13328" width="10.5" style="2984" bestFit="1" customWidth="1"/>
    <col min="13329" max="13329" width="10" style="2984" customWidth="1"/>
    <col min="13330" max="13330" width="10.125" style="2984" customWidth="1"/>
    <col min="13331" max="13331" width="10" style="2984" customWidth="1"/>
    <col min="13332" max="13332" width="26.125" style="2984" customWidth="1"/>
    <col min="13333" max="13568" width="8.875" style="2984"/>
    <col min="13569" max="13569" width="9.5" style="2984" customWidth="1"/>
    <col min="13570" max="13570" width="8.875" style="2984"/>
    <col min="13571" max="13573" width="12.875" style="2984" customWidth="1"/>
    <col min="13574" max="13574" width="47.5" style="2984" customWidth="1"/>
    <col min="13575" max="13575" width="13" style="2984" customWidth="1"/>
    <col min="13576" max="13577" width="8.875" style="2984"/>
    <col min="13578" max="13578" width="5.625" style="2984" customWidth="1"/>
    <col min="13579" max="13579" width="11.625" style="2984" customWidth="1"/>
    <col min="13580" max="13581" width="10.625" style="2984" customWidth="1"/>
    <col min="13582" max="13582" width="10" style="2984" customWidth="1"/>
    <col min="13583" max="13584" width="10.5" style="2984" bestFit="1" customWidth="1"/>
    <col min="13585" max="13585" width="10" style="2984" customWidth="1"/>
    <col min="13586" max="13586" width="10.125" style="2984" customWidth="1"/>
    <col min="13587" max="13587" width="10" style="2984" customWidth="1"/>
    <col min="13588" max="13588" width="26.125" style="2984" customWidth="1"/>
    <col min="13589" max="13824" width="8.875" style="2984"/>
    <col min="13825" max="13825" width="9.5" style="2984" customWidth="1"/>
    <col min="13826" max="13826" width="8.875" style="2984"/>
    <col min="13827" max="13829" width="12.875" style="2984" customWidth="1"/>
    <col min="13830" max="13830" width="47.5" style="2984" customWidth="1"/>
    <col min="13831" max="13831" width="13" style="2984" customWidth="1"/>
    <col min="13832" max="13833" width="8.875" style="2984"/>
    <col min="13834" max="13834" width="5.625" style="2984" customWidth="1"/>
    <col min="13835" max="13835" width="11.625" style="2984" customWidth="1"/>
    <col min="13836" max="13837" width="10.625" style="2984" customWidth="1"/>
    <col min="13838" max="13838" width="10" style="2984" customWidth="1"/>
    <col min="13839" max="13840" width="10.5" style="2984" bestFit="1" customWidth="1"/>
    <col min="13841" max="13841" width="10" style="2984" customWidth="1"/>
    <col min="13842" max="13842" width="10.125" style="2984" customWidth="1"/>
    <col min="13843" max="13843" width="10" style="2984" customWidth="1"/>
    <col min="13844" max="13844" width="26.125" style="2984" customWidth="1"/>
    <col min="13845" max="14080" width="8.875" style="2984"/>
    <col min="14081" max="14081" width="9.5" style="2984" customWidth="1"/>
    <col min="14082" max="14082" width="8.875" style="2984"/>
    <col min="14083" max="14085" width="12.875" style="2984" customWidth="1"/>
    <col min="14086" max="14086" width="47.5" style="2984" customWidth="1"/>
    <col min="14087" max="14087" width="13" style="2984" customWidth="1"/>
    <col min="14088" max="14089" width="8.875" style="2984"/>
    <col min="14090" max="14090" width="5.625" style="2984" customWidth="1"/>
    <col min="14091" max="14091" width="11.625" style="2984" customWidth="1"/>
    <col min="14092" max="14093" width="10.625" style="2984" customWidth="1"/>
    <col min="14094" max="14094" width="10" style="2984" customWidth="1"/>
    <col min="14095" max="14096" width="10.5" style="2984" bestFit="1" customWidth="1"/>
    <col min="14097" max="14097" width="10" style="2984" customWidth="1"/>
    <col min="14098" max="14098" width="10.125" style="2984" customWidth="1"/>
    <col min="14099" max="14099" width="10" style="2984" customWidth="1"/>
    <col min="14100" max="14100" width="26.125" style="2984" customWidth="1"/>
    <col min="14101" max="14336" width="8.875" style="2984"/>
    <col min="14337" max="14337" width="9.5" style="2984" customWidth="1"/>
    <col min="14338" max="14338" width="8.875" style="2984"/>
    <col min="14339" max="14341" width="12.875" style="2984" customWidth="1"/>
    <col min="14342" max="14342" width="47.5" style="2984" customWidth="1"/>
    <col min="14343" max="14343" width="13" style="2984" customWidth="1"/>
    <col min="14344" max="14345" width="8.875" style="2984"/>
    <col min="14346" max="14346" width="5.625" style="2984" customWidth="1"/>
    <col min="14347" max="14347" width="11.625" style="2984" customWidth="1"/>
    <col min="14348" max="14349" width="10.625" style="2984" customWidth="1"/>
    <col min="14350" max="14350" width="10" style="2984" customWidth="1"/>
    <col min="14351" max="14352" width="10.5" style="2984" bestFit="1" customWidth="1"/>
    <col min="14353" max="14353" width="10" style="2984" customWidth="1"/>
    <col min="14354" max="14354" width="10.125" style="2984" customWidth="1"/>
    <col min="14355" max="14355" width="10" style="2984" customWidth="1"/>
    <col min="14356" max="14356" width="26.125" style="2984" customWidth="1"/>
    <col min="14357" max="14592" width="8.875" style="2984"/>
    <col min="14593" max="14593" width="9.5" style="2984" customWidth="1"/>
    <col min="14594" max="14594" width="8.875" style="2984"/>
    <col min="14595" max="14597" width="12.875" style="2984" customWidth="1"/>
    <col min="14598" max="14598" width="47.5" style="2984" customWidth="1"/>
    <col min="14599" max="14599" width="13" style="2984" customWidth="1"/>
    <col min="14600" max="14601" width="8.875" style="2984"/>
    <col min="14602" max="14602" width="5.625" style="2984" customWidth="1"/>
    <col min="14603" max="14603" width="11.625" style="2984" customWidth="1"/>
    <col min="14604" max="14605" width="10.625" style="2984" customWidth="1"/>
    <col min="14606" max="14606" width="10" style="2984" customWidth="1"/>
    <col min="14607" max="14608" width="10.5" style="2984" bestFit="1" customWidth="1"/>
    <col min="14609" max="14609" width="10" style="2984" customWidth="1"/>
    <col min="14610" max="14610" width="10.125" style="2984" customWidth="1"/>
    <col min="14611" max="14611" width="10" style="2984" customWidth="1"/>
    <col min="14612" max="14612" width="26.125" style="2984" customWidth="1"/>
    <col min="14613" max="14848" width="8.875" style="2984"/>
    <col min="14849" max="14849" width="9.5" style="2984" customWidth="1"/>
    <col min="14850" max="14850" width="8.875" style="2984"/>
    <col min="14851" max="14853" width="12.875" style="2984" customWidth="1"/>
    <col min="14854" max="14854" width="47.5" style="2984" customWidth="1"/>
    <col min="14855" max="14855" width="13" style="2984" customWidth="1"/>
    <col min="14856" max="14857" width="8.875" style="2984"/>
    <col min="14858" max="14858" width="5.625" style="2984" customWidth="1"/>
    <col min="14859" max="14859" width="11.625" style="2984" customWidth="1"/>
    <col min="14860" max="14861" width="10.625" style="2984" customWidth="1"/>
    <col min="14862" max="14862" width="10" style="2984" customWidth="1"/>
    <col min="14863" max="14864" width="10.5" style="2984" bestFit="1" customWidth="1"/>
    <col min="14865" max="14865" width="10" style="2984" customWidth="1"/>
    <col min="14866" max="14866" width="10.125" style="2984" customWidth="1"/>
    <col min="14867" max="14867" width="10" style="2984" customWidth="1"/>
    <col min="14868" max="14868" width="26.125" style="2984" customWidth="1"/>
    <col min="14869" max="15104" width="8.875" style="2984"/>
    <col min="15105" max="15105" width="9.5" style="2984" customWidth="1"/>
    <col min="15106" max="15106" width="8.875" style="2984"/>
    <col min="15107" max="15109" width="12.875" style="2984" customWidth="1"/>
    <col min="15110" max="15110" width="47.5" style="2984" customWidth="1"/>
    <col min="15111" max="15111" width="13" style="2984" customWidth="1"/>
    <col min="15112" max="15113" width="8.875" style="2984"/>
    <col min="15114" max="15114" width="5.625" style="2984" customWidth="1"/>
    <col min="15115" max="15115" width="11.625" style="2984" customWidth="1"/>
    <col min="15116" max="15117" width="10.625" style="2984" customWidth="1"/>
    <col min="15118" max="15118" width="10" style="2984" customWidth="1"/>
    <col min="15119" max="15120" width="10.5" style="2984" bestFit="1" customWidth="1"/>
    <col min="15121" max="15121" width="10" style="2984" customWidth="1"/>
    <col min="15122" max="15122" width="10.125" style="2984" customWidth="1"/>
    <col min="15123" max="15123" width="10" style="2984" customWidth="1"/>
    <col min="15124" max="15124" width="26.125" style="2984" customWidth="1"/>
    <col min="15125" max="15360" width="8.875" style="2984"/>
    <col min="15361" max="15361" width="9.5" style="2984" customWidth="1"/>
    <col min="15362" max="15362" width="8.875" style="2984"/>
    <col min="15363" max="15365" width="12.875" style="2984" customWidth="1"/>
    <col min="15366" max="15366" width="47.5" style="2984" customWidth="1"/>
    <col min="15367" max="15367" width="13" style="2984" customWidth="1"/>
    <col min="15368" max="15369" width="8.875" style="2984"/>
    <col min="15370" max="15370" width="5.625" style="2984" customWidth="1"/>
    <col min="15371" max="15371" width="11.625" style="2984" customWidth="1"/>
    <col min="15372" max="15373" width="10.625" style="2984" customWidth="1"/>
    <col min="15374" max="15374" width="10" style="2984" customWidth="1"/>
    <col min="15375" max="15376" width="10.5" style="2984" bestFit="1" customWidth="1"/>
    <col min="15377" max="15377" width="10" style="2984" customWidth="1"/>
    <col min="15378" max="15378" width="10.125" style="2984" customWidth="1"/>
    <col min="15379" max="15379" width="10" style="2984" customWidth="1"/>
    <col min="15380" max="15380" width="26.125" style="2984" customWidth="1"/>
    <col min="15381" max="15616" width="8.875" style="2984"/>
    <col min="15617" max="15617" width="9.5" style="2984" customWidth="1"/>
    <col min="15618" max="15618" width="8.875" style="2984"/>
    <col min="15619" max="15621" width="12.875" style="2984" customWidth="1"/>
    <col min="15622" max="15622" width="47.5" style="2984" customWidth="1"/>
    <col min="15623" max="15623" width="13" style="2984" customWidth="1"/>
    <col min="15624" max="15625" width="8.875" style="2984"/>
    <col min="15626" max="15626" width="5.625" style="2984" customWidth="1"/>
    <col min="15627" max="15627" width="11.625" style="2984" customWidth="1"/>
    <col min="15628" max="15629" width="10.625" style="2984" customWidth="1"/>
    <col min="15630" max="15630" width="10" style="2984" customWidth="1"/>
    <col min="15631" max="15632" width="10.5" style="2984" bestFit="1" customWidth="1"/>
    <col min="15633" max="15633" width="10" style="2984" customWidth="1"/>
    <col min="15634" max="15634" width="10.125" style="2984" customWidth="1"/>
    <col min="15635" max="15635" width="10" style="2984" customWidth="1"/>
    <col min="15636" max="15636" width="26.125" style="2984" customWidth="1"/>
    <col min="15637" max="15872" width="8.875" style="2984"/>
    <col min="15873" max="15873" width="9.5" style="2984" customWidth="1"/>
    <col min="15874" max="15874" width="8.875" style="2984"/>
    <col min="15875" max="15877" width="12.875" style="2984" customWidth="1"/>
    <col min="15878" max="15878" width="47.5" style="2984" customWidth="1"/>
    <col min="15879" max="15879" width="13" style="2984" customWidth="1"/>
    <col min="15880" max="15881" width="8.875" style="2984"/>
    <col min="15882" max="15882" width="5.625" style="2984" customWidth="1"/>
    <col min="15883" max="15883" width="11.625" style="2984" customWidth="1"/>
    <col min="15884" max="15885" width="10.625" style="2984" customWidth="1"/>
    <col min="15886" max="15886" width="10" style="2984" customWidth="1"/>
    <col min="15887" max="15888" width="10.5" style="2984" bestFit="1" customWidth="1"/>
    <col min="15889" max="15889" width="10" style="2984" customWidth="1"/>
    <col min="15890" max="15890" width="10.125" style="2984" customWidth="1"/>
    <col min="15891" max="15891" width="10" style="2984" customWidth="1"/>
    <col min="15892" max="15892" width="26.125" style="2984" customWidth="1"/>
    <col min="15893" max="16128" width="8.875" style="2984"/>
    <col min="16129" max="16129" width="9.5" style="2984" customWidth="1"/>
    <col min="16130" max="16130" width="8.875" style="2984"/>
    <col min="16131" max="16133" width="12.875" style="2984" customWidth="1"/>
    <col min="16134" max="16134" width="47.5" style="2984" customWidth="1"/>
    <col min="16135" max="16135" width="13" style="2984" customWidth="1"/>
    <col min="16136" max="16137" width="8.875" style="2984"/>
    <col min="16138" max="16138" width="5.625" style="2984" customWidth="1"/>
    <col min="16139" max="16139" width="11.625" style="2984" customWidth="1"/>
    <col min="16140" max="16141" width="10.625" style="2984" customWidth="1"/>
    <col min="16142" max="16142" width="10" style="2984" customWidth="1"/>
    <col min="16143" max="16144" width="10.5" style="2984" bestFit="1" customWidth="1"/>
    <col min="16145" max="16145" width="10" style="2984" customWidth="1"/>
    <col min="16146" max="16146" width="10.125" style="2984" customWidth="1"/>
    <col min="16147" max="16147" width="10" style="2984" customWidth="1"/>
    <col min="16148" max="16148" width="26.125" style="2984" customWidth="1"/>
    <col min="16149" max="16384" width="8.875" style="2984"/>
  </cols>
  <sheetData>
    <row r="1" spans="1:22" ht="21" customHeight="1">
      <c r="A1" s="2973" t="s">
        <v>2881</v>
      </c>
      <c r="B1" s="2974"/>
      <c r="C1" s="2987"/>
      <c r="D1" s="2987"/>
      <c r="E1" s="2975"/>
      <c r="F1" s="2976"/>
      <c r="G1" s="2977"/>
      <c r="J1" s="2980" t="s">
        <v>2738</v>
      </c>
      <c r="K1" s="2981"/>
      <c r="L1" s="2981"/>
      <c r="M1" s="2981"/>
      <c r="N1" s="2981"/>
      <c r="O1" s="2981"/>
      <c r="P1" s="2981"/>
      <c r="Q1" s="2981"/>
      <c r="R1" s="2982"/>
      <c r="S1" s="2983"/>
      <c r="T1" s="2983"/>
      <c r="U1" s="2983"/>
    </row>
    <row r="2" spans="1:22" s="2996" customFormat="1" ht="13.35" customHeight="1">
      <c r="A2" s="2985" t="s">
        <v>2739</v>
      </c>
      <c r="B2" s="2986" t="e">
        <f>C40</f>
        <v>#DIV/0!</v>
      </c>
      <c r="C2" s="2987" t="s">
        <v>2740</v>
      </c>
      <c r="D2" s="2987"/>
      <c r="E2" s="2988"/>
      <c r="F2" s="2989"/>
      <c r="G2" s="2990"/>
      <c r="H2" s="2991"/>
      <c r="I2" s="2992"/>
      <c r="J2" s="3530" t="s">
        <v>2741</v>
      </c>
      <c r="K2" s="3531"/>
      <c r="L2" s="2993" t="s">
        <v>2742</v>
      </c>
      <c r="M2" s="2993" t="s">
        <v>2743</v>
      </c>
      <c r="N2" s="2993" t="s">
        <v>2744</v>
      </c>
      <c r="O2" s="2993" t="s">
        <v>2745</v>
      </c>
      <c r="P2" s="2993" t="s">
        <v>2746</v>
      </c>
      <c r="Q2" s="2994" t="s">
        <v>2747</v>
      </c>
      <c r="R2" s="2995" t="s">
        <v>2748</v>
      </c>
      <c r="S2" s="2983"/>
      <c r="T2" s="2983"/>
      <c r="U2" s="2983"/>
      <c r="V2" s="2992"/>
    </row>
    <row r="3" spans="1:22" s="2996" customFormat="1" ht="13.35" customHeight="1">
      <c r="A3" s="2997" t="s">
        <v>2749</v>
      </c>
      <c r="B3" s="2998" t="e">
        <f>ROUND(B2*10000/B4,0)</f>
        <v>#DIV/0!</v>
      </c>
      <c r="C3" s="2987" t="s">
        <v>2750</v>
      </c>
      <c r="D3" s="2987"/>
      <c r="E3" s="2988"/>
      <c r="F3" s="2989"/>
      <c r="G3" s="2990"/>
      <c r="H3" s="2991"/>
      <c r="I3" s="2992"/>
      <c r="J3" s="3532" t="s">
        <v>2751</v>
      </c>
      <c r="K3" s="3533"/>
      <c r="L3" s="2999"/>
      <c r="M3" s="2999"/>
      <c r="N3" s="2999"/>
      <c r="O3" s="2999"/>
      <c r="P3" s="2999"/>
      <c r="Q3" s="3000"/>
      <c r="R3" s="3001">
        <f>SUM(L3:Q3)</f>
        <v>0</v>
      </c>
      <c r="S3" s="2983"/>
      <c r="T3" s="2983"/>
      <c r="U3" s="2983"/>
      <c r="V3" s="2992"/>
    </row>
    <row r="4" spans="1:22" s="2996" customFormat="1" ht="13.35" customHeight="1">
      <c r="A4" s="3002" t="s">
        <v>2752</v>
      </c>
      <c r="B4" s="3003"/>
      <c r="C4" s="2987"/>
      <c r="D4" s="2987"/>
      <c r="E4" s="2988"/>
      <c r="F4" s="2989"/>
      <c r="G4" s="2990"/>
      <c r="H4" s="2991"/>
      <c r="I4" s="2992"/>
      <c r="J4" s="3532" t="s">
        <v>2753</v>
      </c>
      <c r="K4" s="3533"/>
      <c r="L4" s="3004"/>
      <c r="M4" s="3004"/>
      <c r="N4" s="3004"/>
      <c r="O4" s="3004"/>
      <c r="P4" s="3004"/>
      <c r="Q4" s="3005"/>
      <c r="R4" s="3006">
        <f>SUM(L4:Q4)</f>
        <v>0</v>
      </c>
      <c r="S4" s="2983"/>
      <c r="T4" s="2983"/>
      <c r="U4" s="2983"/>
      <c r="V4" s="2992"/>
    </row>
    <row r="5" spans="1:22" s="2996" customFormat="1" ht="13.35" customHeight="1" thickBot="1">
      <c r="A5" s="3007" t="s">
        <v>2754</v>
      </c>
      <c r="B5" s="3008"/>
      <c r="C5" s="2987"/>
      <c r="D5" s="3009"/>
      <c r="E5" s="2989"/>
      <c r="F5" s="2989"/>
      <c r="G5" s="2990"/>
      <c r="H5" s="2991"/>
      <c r="I5" s="2992"/>
      <c r="J5" s="3010" t="s">
        <v>2755</v>
      </c>
      <c r="K5" s="3011"/>
      <c r="L5" s="3011"/>
      <c r="M5" s="3012"/>
      <c r="N5" s="3012"/>
      <c r="O5" s="3012"/>
      <c r="P5" s="3012"/>
      <c r="Q5" s="3012"/>
      <c r="R5" s="2995">
        <f>SUM(R14,R19,R24,R25,R27,R28)</f>
        <v>0</v>
      </c>
      <c r="S5" s="2983"/>
      <c r="T5" s="2983" t="s">
        <v>2756</v>
      </c>
      <c r="U5" s="2983" t="e">
        <f>ROUND(R5*10000/365/R3,1)</f>
        <v>#DIV/0!</v>
      </c>
      <c r="V5" s="2992"/>
    </row>
    <row r="6" spans="1:22" s="2996" customFormat="1" ht="13.35" customHeight="1" thickBot="1">
      <c r="A6" s="3538" t="s">
        <v>2757</v>
      </c>
      <c r="B6" s="3539"/>
      <c r="C6" s="3540"/>
      <c r="D6" s="3013"/>
      <c r="E6" s="3014"/>
      <c r="F6" s="3015"/>
      <c r="G6" s="3016"/>
      <c r="H6" s="2991"/>
      <c r="I6" s="2992"/>
      <c r="J6" s="3524">
        <v>1</v>
      </c>
      <c r="K6" s="3525" t="s">
        <v>2758</v>
      </c>
      <c r="L6" s="3017" t="s">
        <v>2759</v>
      </c>
      <c r="M6" s="3018" t="s">
        <v>2760</v>
      </c>
      <c r="N6" s="3018" t="s">
        <v>2761</v>
      </c>
      <c r="O6" s="3018" t="s">
        <v>2762</v>
      </c>
      <c r="P6" s="3018" t="s">
        <v>2763</v>
      </c>
      <c r="Q6" s="3018" t="s">
        <v>2764</v>
      </c>
      <c r="R6" s="3001" t="s">
        <v>2765</v>
      </c>
      <c r="S6" s="2983"/>
      <c r="T6" s="2983" t="s">
        <v>2766</v>
      </c>
      <c r="U6" s="2983"/>
      <c r="V6" s="2992"/>
    </row>
    <row r="7" spans="1:22" s="2996" customFormat="1" ht="13.35" customHeight="1">
      <c r="A7" s="3019" t="s">
        <v>2767</v>
      </c>
      <c r="B7" s="3020"/>
      <c r="C7" s="3021"/>
      <c r="D7" s="3022">
        <f>SUM(D9,D10,D11,D17,0)</f>
        <v>0</v>
      </c>
      <c r="E7" s="3023" t="e">
        <f>E9+E10+E11+E17</f>
        <v>#DIV/0!</v>
      </c>
      <c r="F7" s="3024"/>
      <c r="G7" s="3025"/>
      <c r="H7" s="2991"/>
      <c r="I7" s="2992"/>
      <c r="J7" s="3524"/>
      <c r="K7" s="3526"/>
      <c r="L7" s="3026" t="s">
        <v>2768</v>
      </c>
      <c r="M7" s="3027"/>
      <c r="N7" s="3003"/>
      <c r="O7" s="3028"/>
      <c r="P7" s="3028"/>
      <c r="Q7" s="3029">
        <v>365</v>
      </c>
      <c r="R7" s="3030">
        <f>ROUND(M7*N7*O7*P7*Q7/10000,0)</f>
        <v>0</v>
      </c>
      <c r="S7" s="2983"/>
      <c r="T7" s="2983" t="s">
        <v>2769</v>
      </c>
      <c r="U7" s="2983"/>
      <c r="V7" s="2992"/>
    </row>
    <row r="8" spans="1:22" s="2996" customFormat="1" ht="13.35" customHeight="1">
      <c r="A8" s="3031" t="s">
        <v>2770</v>
      </c>
      <c r="B8" s="3541" t="s">
        <v>2771</v>
      </c>
      <c r="C8" s="3542"/>
      <c r="D8" s="3032" t="s">
        <v>2772</v>
      </c>
      <c r="E8" s="3033" t="s">
        <v>2773</v>
      </c>
      <c r="F8" s="3034" t="s">
        <v>2774</v>
      </c>
      <c r="G8" s="3035"/>
      <c r="H8" s="2991"/>
      <c r="I8" s="2992"/>
      <c r="J8" s="3524"/>
      <c r="K8" s="3526"/>
      <c r="L8" s="3026" t="s">
        <v>2775</v>
      </c>
      <c r="M8" s="3027"/>
      <c r="N8" s="3003"/>
      <c r="O8" s="3028"/>
      <c r="P8" s="3028"/>
      <c r="Q8" s="3029">
        <v>365</v>
      </c>
      <c r="R8" s="3030">
        <f t="shared" ref="R8:R13" si="0">ROUND(M8*N8*O8*P8*Q8/10000,0)</f>
        <v>0</v>
      </c>
      <c r="S8" s="2983"/>
      <c r="T8" s="2983" t="s">
        <v>2776</v>
      </c>
      <c r="U8" s="2983"/>
      <c r="V8" s="2992"/>
    </row>
    <row r="9" spans="1:22" s="2996" customFormat="1" ht="13.35" customHeight="1">
      <c r="A9" s="3031">
        <v>1</v>
      </c>
      <c r="B9" s="3541" t="s">
        <v>2777</v>
      </c>
      <c r="C9" s="3542"/>
      <c r="D9" s="3032">
        <f>ROUND(D6*E9,0)</f>
        <v>0</v>
      </c>
      <c r="E9" s="3036"/>
      <c r="F9" s="3037" t="s">
        <v>2778</v>
      </c>
      <c r="G9" s="3016"/>
      <c r="H9" s="2991"/>
      <c r="I9" s="2992"/>
      <c r="J9" s="3524"/>
      <c r="K9" s="3526"/>
      <c r="L9" s="3026" t="s">
        <v>2779</v>
      </c>
      <c r="M9" s="3027"/>
      <c r="N9" s="3003"/>
      <c r="O9" s="3028"/>
      <c r="P9" s="3028"/>
      <c r="Q9" s="3029">
        <v>365</v>
      </c>
      <c r="R9" s="3030">
        <f t="shared" si="0"/>
        <v>0</v>
      </c>
      <c r="S9" s="2983"/>
      <c r="T9" s="2983"/>
      <c r="U9" s="2983"/>
      <c r="V9" s="2992"/>
    </row>
    <row r="10" spans="1:22" s="2996" customFormat="1" ht="13.35" customHeight="1">
      <c r="A10" s="3031">
        <v>2</v>
      </c>
      <c r="B10" s="3541" t="s">
        <v>2780</v>
      </c>
      <c r="C10" s="3542"/>
      <c r="D10" s="3032">
        <f>ROUND(D6*E10,0)</f>
        <v>0</v>
      </c>
      <c r="E10" s="3036"/>
      <c r="F10" s="3037" t="s">
        <v>2781</v>
      </c>
      <c r="G10" s="3016"/>
      <c r="H10" s="2991"/>
      <c r="I10" s="2992"/>
      <c r="J10" s="3524"/>
      <c r="K10" s="3526"/>
      <c r="L10" s="3026" t="s">
        <v>2782</v>
      </c>
      <c r="M10" s="3027"/>
      <c r="N10" s="3003"/>
      <c r="O10" s="3028"/>
      <c r="P10" s="3028"/>
      <c r="Q10" s="3029">
        <v>365</v>
      </c>
      <c r="R10" s="3030">
        <f t="shared" si="0"/>
        <v>0</v>
      </c>
      <c r="S10" s="2983"/>
      <c r="T10" s="2983"/>
      <c r="U10" s="2983"/>
      <c r="V10" s="2992"/>
    </row>
    <row r="11" spans="1:22" s="2996" customFormat="1" ht="13.35" customHeight="1">
      <c r="A11" s="3031">
        <v>3</v>
      </c>
      <c r="B11" s="3541" t="s">
        <v>2783</v>
      </c>
      <c r="C11" s="3542"/>
      <c r="D11" s="3032">
        <f>D12+D14+D15+D16</f>
        <v>0</v>
      </c>
      <c r="E11" s="3038" t="e">
        <f>D11/D6</f>
        <v>#DIV/0!</v>
      </c>
      <c r="F11" s="3034"/>
      <c r="G11" s="3035"/>
      <c r="H11" s="2991"/>
      <c r="I11" s="2992"/>
      <c r="J11" s="3524"/>
      <c r="K11" s="3526"/>
      <c r="L11" s="3026" t="s">
        <v>2784</v>
      </c>
      <c r="M11" s="3027"/>
      <c r="N11" s="3003"/>
      <c r="O11" s="3028"/>
      <c r="P11" s="3028"/>
      <c r="Q11" s="3029">
        <v>365</v>
      </c>
      <c r="R11" s="3030">
        <f t="shared" si="0"/>
        <v>0</v>
      </c>
      <c r="S11" s="2983"/>
      <c r="T11" s="2983"/>
      <c r="U11" s="2983"/>
      <c r="V11" s="2992"/>
    </row>
    <row r="12" spans="1:22" s="2996" customFormat="1" ht="13.35" customHeight="1">
      <c r="A12" s="3039" t="s">
        <v>2785</v>
      </c>
      <c r="B12" s="3534" t="s">
        <v>2786</v>
      </c>
      <c r="C12" s="3535"/>
      <c r="D12" s="3040">
        <f>ROUND(D13*1.2%*(1-30%),0)</f>
        <v>0</v>
      </c>
      <c r="E12" s="3041">
        <v>1.2E-2</v>
      </c>
      <c r="F12" s="3034" t="s">
        <v>2787</v>
      </c>
      <c r="G12" s="3035"/>
      <c r="H12" s="2991"/>
      <c r="I12" s="2992"/>
      <c r="J12" s="3524"/>
      <c r="K12" s="3526"/>
      <c r="L12" s="3026" t="s">
        <v>2788</v>
      </c>
      <c r="M12" s="3027"/>
      <c r="N12" s="3003"/>
      <c r="O12" s="3028"/>
      <c r="P12" s="3028"/>
      <c r="Q12" s="3029">
        <v>365</v>
      </c>
      <c r="R12" s="3030">
        <f t="shared" si="0"/>
        <v>0</v>
      </c>
      <c r="S12" s="2983"/>
      <c r="T12" s="2983"/>
      <c r="U12" s="2983"/>
      <c r="V12" s="2992"/>
    </row>
    <row r="13" spans="1:22" s="2996" customFormat="1" ht="13.35" customHeight="1">
      <c r="A13" s="3039"/>
      <c r="B13" s="3042"/>
      <c r="C13" s="3043" t="s">
        <v>2789</v>
      </c>
      <c r="D13" s="3044"/>
      <c r="E13" s="3045"/>
      <c r="F13" s="3034"/>
      <c r="G13" s="3035"/>
      <c r="H13" s="2991"/>
      <c r="I13" s="2992"/>
      <c r="J13" s="3524"/>
      <c r="K13" s="3526"/>
      <c r="L13" s="3026" t="s">
        <v>2790</v>
      </c>
      <c r="M13" s="3027"/>
      <c r="N13" s="3003"/>
      <c r="O13" s="3028"/>
      <c r="P13" s="3028"/>
      <c r="Q13" s="3029">
        <v>365</v>
      </c>
      <c r="R13" s="3030">
        <f t="shared" si="0"/>
        <v>0</v>
      </c>
      <c r="S13" s="2983"/>
      <c r="T13" s="2983"/>
      <c r="U13" s="2983"/>
      <c r="V13" s="2992"/>
    </row>
    <row r="14" spans="1:22" s="2996" customFormat="1" ht="13.35" customHeight="1">
      <c r="A14" s="3039" t="s">
        <v>2791</v>
      </c>
      <c r="B14" s="3534" t="s">
        <v>2792</v>
      </c>
      <c r="C14" s="3535"/>
      <c r="D14" s="3040">
        <f>ROUND(E14*B5/10000,0)</f>
        <v>0</v>
      </c>
      <c r="E14" s="3029"/>
      <c r="F14" s="3034" t="s">
        <v>2793</v>
      </c>
      <c r="G14" s="3035"/>
      <c r="H14" s="2991"/>
      <c r="I14" s="2992"/>
      <c r="J14" s="3524"/>
      <c r="K14" s="3527"/>
      <c r="L14" s="3046" t="s">
        <v>2794</v>
      </c>
      <c r="M14" s="3047">
        <f>SUM(M7:M13)</f>
        <v>0</v>
      </c>
      <c r="N14" s="3047" t="e">
        <f>ROUND((N7*M7+N8*M8+N9*M9+N10*M10+N11*M11+N12*M12+N13*M13)/M14,0)</f>
        <v>#DIV/0!</v>
      </c>
      <c r="O14" s="3048"/>
      <c r="P14" s="3048"/>
      <c r="Q14" s="3049"/>
      <c r="R14" s="2995">
        <f>SUM(R7:R13)</f>
        <v>0</v>
      </c>
      <c r="S14" s="2983"/>
      <c r="T14" s="2983"/>
      <c r="U14" s="2983"/>
      <c r="V14" s="2992"/>
    </row>
    <row r="15" spans="1:22" s="2996" customFormat="1" ht="13.35" customHeight="1">
      <c r="A15" s="3039" t="s">
        <v>2795</v>
      </c>
      <c r="B15" s="3534" t="s">
        <v>2796</v>
      </c>
      <c r="C15" s="3535"/>
      <c r="D15" s="3040">
        <f>ROUND(D6*E15,0)</f>
        <v>0</v>
      </c>
      <c r="E15" s="3041">
        <v>5.5E-2</v>
      </c>
      <c r="F15" s="3034" t="s">
        <v>2797</v>
      </c>
      <c r="G15" s="3016"/>
      <c r="H15" s="2991"/>
      <c r="I15" s="2992"/>
      <c r="J15" s="3524">
        <v>2</v>
      </c>
      <c r="K15" s="3525" t="s">
        <v>2798</v>
      </c>
      <c r="L15" s="3026" t="s">
        <v>2799</v>
      </c>
      <c r="M15" s="3027" t="s">
        <v>2800</v>
      </c>
      <c r="N15" s="3027" t="s">
        <v>2801</v>
      </c>
      <c r="O15" s="3028" t="s">
        <v>2802</v>
      </c>
      <c r="P15" s="3028" t="s">
        <v>2803</v>
      </c>
      <c r="Q15" s="3003" t="s">
        <v>2804</v>
      </c>
      <c r="R15" s="3050" t="s">
        <v>2805</v>
      </c>
      <c r="S15" s="2983"/>
      <c r="T15" s="2983"/>
      <c r="U15" s="2983"/>
      <c r="V15" s="2992"/>
    </row>
    <row r="16" spans="1:22" s="2996" customFormat="1" ht="13.35" customHeight="1">
      <c r="A16" s="3039" t="s">
        <v>2806</v>
      </c>
      <c r="B16" s="3534" t="s">
        <v>2807</v>
      </c>
      <c r="C16" s="3535"/>
      <c r="D16" s="3051">
        <f>D6*E16</f>
        <v>0</v>
      </c>
      <c r="E16" s="3052"/>
      <c r="F16" s="3037" t="s">
        <v>2808</v>
      </c>
      <c r="G16" s="3016"/>
      <c r="H16" s="2991"/>
      <c r="I16" s="2992"/>
      <c r="J16" s="3524"/>
      <c r="K16" s="3526"/>
      <c r="L16" s="3026" t="s">
        <v>2809</v>
      </c>
      <c r="M16" s="3027"/>
      <c r="N16" s="3027"/>
      <c r="O16" s="3028"/>
      <c r="P16" s="3029">
        <v>365</v>
      </c>
      <c r="Q16" s="3003"/>
      <c r="R16" s="3050">
        <f>ROUND(M16*N16*O16*P16/10000,0)</f>
        <v>0</v>
      </c>
      <c r="S16" s="2983"/>
      <c r="T16" s="2983"/>
      <c r="U16" s="2983"/>
      <c r="V16" s="2992"/>
    </row>
    <row r="17" spans="1:22" s="2996" customFormat="1" ht="13.35" customHeight="1" thickBot="1">
      <c r="A17" s="3053">
        <v>4</v>
      </c>
      <c r="B17" s="3536" t="s">
        <v>2810</v>
      </c>
      <c r="C17" s="3537"/>
      <c r="D17" s="3054">
        <f>ROUND(D6*E17,0)</f>
        <v>0</v>
      </c>
      <c r="E17" s="3055"/>
      <c r="F17" s="3056" t="s">
        <v>2811</v>
      </c>
      <c r="G17" s="3016"/>
      <c r="H17" s="2991"/>
      <c r="I17" s="2992"/>
      <c r="J17" s="3524"/>
      <c r="K17" s="3526"/>
      <c r="L17" s="3026" t="s">
        <v>2812</v>
      </c>
      <c r="M17" s="3027"/>
      <c r="N17" s="3027"/>
      <c r="O17" s="3028"/>
      <c r="P17" s="3029">
        <v>365</v>
      </c>
      <c r="Q17" s="3003"/>
      <c r="R17" s="3050">
        <f>ROUND(M17*N17*O17*P17/10000,0)</f>
        <v>0</v>
      </c>
      <c r="S17" s="2983"/>
      <c r="T17" s="2983"/>
      <c r="U17" s="2983"/>
      <c r="V17" s="2992"/>
    </row>
    <row r="18" spans="1:22" s="2996" customFormat="1" ht="13.35" customHeight="1" thickBot="1">
      <c r="A18" s="3019" t="s">
        <v>2813</v>
      </c>
      <c r="B18" s="3020"/>
      <c r="C18" s="3020"/>
      <c r="D18" s="3057">
        <f>ROUND(D6*E18,0)</f>
        <v>0</v>
      </c>
      <c r="E18" s="3058"/>
      <c r="F18" s="3059" t="s">
        <v>2814</v>
      </c>
      <c r="G18" s="3016"/>
      <c r="H18" s="2991"/>
      <c r="I18" s="2992"/>
      <c r="J18" s="3524"/>
      <c r="K18" s="3526"/>
      <c r="L18" s="3026" t="s">
        <v>2815</v>
      </c>
      <c r="M18" s="3027"/>
      <c r="N18" s="3027"/>
      <c r="O18" s="3028"/>
      <c r="P18" s="3029">
        <v>365</v>
      </c>
      <c r="Q18" s="3003"/>
      <c r="R18" s="3050">
        <f>ROUND(M18*N18*O18*P18/10000,0)</f>
        <v>0</v>
      </c>
      <c r="S18" s="2983"/>
      <c r="T18" s="2983"/>
      <c r="U18" s="2983"/>
      <c r="V18" s="2992"/>
    </row>
    <row r="19" spans="1:22" s="2996" customFormat="1" ht="13.35" customHeight="1" thickBot="1">
      <c r="A19" s="3060" t="s">
        <v>2816</v>
      </c>
      <c r="B19" s="3014"/>
      <c r="C19" s="3014"/>
      <c r="D19" s="3014"/>
      <c r="E19" s="3014"/>
      <c r="F19" s="3015"/>
      <c r="G19" s="3035"/>
      <c r="H19" s="2991"/>
      <c r="I19" s="2992"/>
      <c r="J19" s="3524"/>
      <c r="K19" s="3527"/>
      <c r="L19" s="3046" t="s">
        <v>2794</v>
      </c>
      <c r="M19" s="3047"/>
      <c r="N19" s="3047">
        <f>SUM(N16:N18)</f>
        <v>0</v>
      </c>
      <c r="O19" s="3048"/>
      <c r="P19" s="3061" t="s">
        <v>2882</v>
      </c>
      <c r="Q19" s="3028"/>
      <c r="R19" s="3062">
        <f>ROUND(IF(P19="按比例",R14*Q19,SUM(R16:R18)),0)</f>
        <v>0</v>
      </c>
      <c r="S19" s="2983"/>
      <c r="T19" s="2983"/>
      <c r="U19" s="2983"/>
      <c r="V19" s="2992"/>
    </row>
    <row r="20" spans="1:22" s="2996" customFormat="1" ht="13.35" customHeight="1">
      <c r="A20" s="3019"/>
      <c r="B20" s="3020"/>
      <c r="C20" s="3020"/>
      <c r="D20" s="3020"/>
      <c r="E20" s="3020"/>
      <c r="F20" s="3063"/>
      <c r="G20" s="3035"/>
      <c r="H20" s="2991"/>
      <c r="I20" s="2992"/>
      <c r="J20" s="3524">
        <v>3</v>
      </c>
      <c r="K20" s="3525" t="s">
        <v>2817</v>
      </c>
      <c r="L20" s="3026" t="s">
        <v>2818</v>
      </c>
      <c r="M20" s="3027" t="s">
        <v>2819</v>
      </c>
      <c r="N20" s="3064" t="s">
        <v>2820</v>
      </c>
      <c r="O20" s="3028" t="s">
        <v>2821</v>
      </c>
      <c r="P20" s="3029" t="s">
        <v>2822</v>
      </c>
      <c r="Q20" s="3003" t="s">
        <v>2823</v>
      </c>
      <c r="R20" s="3050" t="s">
        <v>2765</v>
      </c>
      <c r="S20" s="2983"/>
      <c r="T20" s="2983"/>
      <c r="U20" s="2983"/>
      <c r="V20" s="2992"/>
    </row>
    <row r="21" spans="1:22" s="2996" customFormat="1" ht="13.35" customHeight="1">
      <c r="A21" s="3019"/>
      <c r="B21" s="3020"/>
      <c r="C21" s="3065" t="s">
        <v>2824</v>
      </c>
      <c r="D21" s="3066" t="s">
        <v>2825</v>
      </c>
      <c r="E21" s="3067" t="s">
        <v>2826</v>
      </c>
      <c r="F21" s="3063"/>
      <c r="G21" s="3035"/>
      <c r="H21" s="2991"/>
      <c r="I21" s="2992"/>
      <c r="J21" s="3524"/>
      <c r="K21" s="3526"/>
      <c r="L21" s="3026" t="s">
        <v>2827</v>
      </c>
      <c r="M21" s="3027"/>
      <c r="N21" s="3027"/>
      <c r="O21" s="3028"/>
      <c r="P21" s="3029">
        <v>365</v>
      </c>
      <c r="Q21" s="3003"/>
      <c r="R21" s="3068">
        <f>ROUND(M21*N21*O21*P21/10000,0)</f>
        <v>0</v>
      </c>
      <c r="S21" s="2983"/>
      <c r="T21" s="2983"/>
      <c r="U21" s="2983"/>
      <c r="V21" s="2992"/>
    </row>
    <row r="22" spans="1:22" s="2996" customFormat="1" ht="13.35" customHeight="1">
      <c r="A22" s="3019"/>
      <c r="B22" s="3020"/>
      <c r="C22" s="3069" t="s">
        <v>2828</v>
      </c>
      <c r="D22" s="3070" t="s">
        <v>2829</v>
      </c>
      <c r="E22" s="3071" t="s">
        <v>2830</v>
      </c>
      <c r="F22" s="3063"/>
      <c r="G22" s="2983"/>
      <c r="H22" s="2991"/>
      <c r="I22" s="2992"/>
      <c r="J22" s="3524"/>
      <c r="K22" s="3526"/>
      <c r="L22" s="3026" t="s">
        <v>2831</v>
      </c>
      <c r="M22" s="3027"/>
      <c r="N22" s="3027"/>
      <c r="O22" s="3028"/>
      <c r="P22" s="3029">
        <v>365</v>
      </c>
      <c r="Q22" s="3003"/>
      <c r="R22" s="3068">
        <f>ROUND(M22*N22*O22*P22/10000,0)</f>
        <v>0</v>
      </c>
      <c r="S22" s="2983"/>
      <c r="T22" s="2983"/>
      <c r="U22" s="2983"/>
      <c r="V22" s="2992"/>
    </row>
    <row r="23" spans="1:22" s="2996" customFormat="1" ht="13.35" customHeight="1">
      <c r="A23" s="3072">
        <v>1</v>
      </c>
      <c r="B23" s="3073" t="s">
        <v>2832</v>
      </c>
      <c r="C23" s="3074">
        <f>D6</f>
        <v>0</v>
      </c>
      <c r="D23" s="3075">
        <f>C23*(1+D24)</f>
        <v>0</v>
      </c>
      <c r="E23" s="3076">
        <f>D23*(1+E24)</f>
        <v>0</v>
      </c>
      <c r="F23" s="3077"/>
      <c r="G23" s="3078"/>
      <c r="H23" s="2991"/>
      <c r="I23" s="2992"/>
      <c r="J23" s="3524"/>
      <c r="K23" s="3526"/>
      <c r="L23" s="3026" t="s">
        <v>2833</v>
      </c>
      <c r="M23" s="3027"/>
      <c r="N23" s="3027"/>
      <c r="O23" s="3028"/>
      <c r="P23" s="3029">
        <v>365</v>
      </c>
      <c r="Q23" s="3003"/>
      <c r="R23" s="3068">
        <f>ROUND(M23*N23*O23*P23/10000,0)</f>
        <v>0</v>
      </c>
      <c r="S23" s="2983"/>
      <c r="T23" s="2983"/>
      <c r="U23" s="2983"/>
      <c r="V23" s="2992"/>
    </row>
    <row r="24" spans="1:22" s="2996" customFormat="1" ht="13.35" customHeight="1">
      <c r="A24" s="3079"/>
      <c r="B24" s="3080" t="s">
        <v>2834</v>
      </c>
      <c r="C24" s="3081"/>
      <c r="D24" s="3082"/>
      <c r="E24" s="3083"/>
      <c r="F24" s="3084"/>
      <c r="G24" s="3078"/>
      <c r="H24" s="2991"/>
      <c r="I24" s="2992"/>
      <c r="J24" s="3524"/>
      <c r="K24" s="3527"/>
      <c r="L24" s="3046" t="s">
        <v>2794</v>
      </c>
      <c r="M24" s="3047">
        <f>SUM(M21:M23)</f>
        <v>0</v>
      </c>
      <c r="N24" s="3047"/>
      <c r="O24" s="3048"/>
      <c r="P24" s="3061" t="s">
        <v>2882</v>
      </c>
      <c r="Q24" s="3028"/>
      <c r="R24" s="3062">
        <f>ROUND(IF(P24="按比例",R14*Q24,SUM(R21:R23)),0)</f>
        <v>0</v>
      </c>
      <c r="S24" s="2983"/>
      <c r="T24" s="2983"/>
      <c r="U24" s="2983"/>
      <c r="V24" s="2992"/>
    </row>
    <row r="25" spans="1:22" s="3091" customFormat="1" ht="13.35" customHeight="1">
      <c r="A25" s="3079"/>
      <c r="B25" s="3080"/>
      <c r="C25" s="3081"/>
      <c r="D25" s="3082"/>
      <c r="E25" s="3083"/>
      <c r="F25" s="3084"/>
      <c r="G25" s="2983"/>
      <c r="H25" s="2991"/>
      <c r="I25" s="2992"/>
      <c r="J25" s="3085">
        <v>4</v>
      </c>
      <c r="K25" s="3086" t="s">
        <v>2835</v>
      </c>
      <c r="L25" s="3087"/>
      <c r="M25" s="3087"/>
      <c r="N25" s="3087"/>
      <c r="O25" s="3087"/>
      <c r="P25" s="3088"/>
      <c r="Q25" s="3089"/>
      <c r="R25" s="3062">
        <f>ROUND(R14*Q25,0)</f>
        <v>0</v>
      </c>
      <c r="S25" s="2983"/>
      <c r="T25" s="2983"/>
      <c r="U25" s="2983"/>
      <c r="V25" s="3090"/>
    </row>
    <row r="26" spans="1:22" s="3091" customFormat="1" ht="13.35" customHeight="1">
      <c r="A26" s="3072">
        <v>2</v>
      </c>
      <c r="B26" s="3073" t="s">
        <v>2836</v>
      </c>
      <c r="C26" s="3074">
        <f>D7</f>
        <v>0</v>
      </c>
      <c r="D26" s="3075">
        <f>D23*D27</f>
        <v>0</v>
      </c>
      <c r="E26" s="3076">
        <f>E23*E27</f>
        <v>0</v>
      </c>
      <c r="F26" s="3077"/>
      <c r="G26" s="3078"/>
      <c r="H26" s="2991"/>
      <c r="I26" s="2992"/>
      <c r="J26" s="3528">
        <v>5</v>
      </c>
      <c r="K26" s="3092" t="s">
        <v>2837</v>
      </c>
      <c r="L26" s="3093"/>
      <c r="M26" s="3094"/>
      <c r="N26" s="3095" t="s">
        <v>2838</v>
      </c>
      <c r="O26" s="3095" t="s">
        <v>2839</v>
      </c>
      <c r="P26" s="3096" t="s">
        <v>2840</v>
      </c>
      <c r="Q26" s="3096" t="s">
        <v>2841</v>
      </c>
      <c r="R26" s="3001" t="s">
        <v>2842</v>
      </c>
      <c r="S26" s="3035"/>
      <c r="T26" s="3035"/>
      <c r="U26" s="3035"/>
      <c r="V26" s="3090"/>
    </row>
    <row r="27" spans="1:22" s="2996" customFormat="1" ht="13.35" customHeight="1">
      <c r="A27" s="3079"/>
      <c r="B27" s="3080" t="s">
        <v>2843</v>
      </c>
      <c r="C27" s="3097" t="e">
        <f>E7</f>
        <v>#DIV/0!</v>
      </c>
      <c r="D27" s="3082"/>
      <c r="E27" s="3083"/>
      <c r="F27" s="3084"/>
      <c r="G27" s="3078"/>
      <c r="H27" s="3098"/>
      <c r="I27" s="3090"/>
      <c r="J27" s="3529"/>
      <c r="K27" s="3099"/>
      <c r="L27" s="3100"/>
      <c r="M27" s="3101"/>
      <c r="N27" s="3102"/>
      <c r="O27" s="3102"/>
      <c r="P27" s="3102"/>
      <c r="Q27" s="3103"/>
      <c r="R27" s="3062">
        <f>ROUND(O27*N27*P27*(1-Q27)/10000,0)</f>
        <v>0</v>
      </c>
      <c r="S27" s="2983"/>
      <c r="T27" s="2983"/>
      <c r="U27" s="2983"/>
      <c r="V27" s="2992"/>
    </row>
    <row r="28" spans="1:22" s="3091" customFormat="1" ht="13.35" customHeight="1" thickBot="1">
      <c r="A28" s="3079"/>
      <c r="B28" s="3080"/>
      <c r="C28" s="3097"/>
      <c r="D28" s="3082"/>
      <c r="E28" s="3083" t="s">
        <v>2844</v>
      </c>
      <c r="F28" s="3084"/>
      <c r="G28" s="2983"/>
      <c r="H28" s="3098"/>
      <c r="I28" s="3090"/>
      <c r="J28" s="3104">
        <v>6</v>
      </c>
      <c r="K28" s="3105" t="s">
        <v>2845</v>
      </c>
      <c r="L28" s="3106" t="s">
        <v>2846</v>
      </c>
      <c r="M28" s="3107"/>
      <c r="N28" s="3106" t="s">
        <v>2847</v>
      </c>
      <c r="O28" s="3108"/>
      <c r="P28" s="3106" t="s">
        <v>2848</v>
      </c>
      <c r="Q28" s="3109">
        <v>1.4999999999999999E-2</v>
      </c>
      <c r="R28" s="3110"/>
      <c r="S28" s="2983"/>
      <c r="T28" s="2983"/>
      <c r="U28" s="2983"/>
      <c r="V28" s="3090"/>
    </row>
    <row r="29" spans="1:22" s="3091" customFormat="1" ht="13.35" customHeight="1">
      <c r="A29" s="3072">
        <v>3</v>
      </c>
      <c r="B29" s="3073" t="s">
        <v>2849</v>
      </c>
      <c r="C29" s="3074">
        <f>C23*C30</f>
        <v>0</v>
      </c>
      <c r="D29" s="3075">
        <f>D23*C30</f>
        <v>0</v>
      </c>
      <c r="E29" s="3076">
        <f>E23*C30</f>
        <v>0</v>
      </c>
      <c r="F29" s="3077"/>
      <c r="G29" s="3078"/>
      <c r="H29" s="2991"/>
      <c r="I29" s="2992"/>
      <c r="J29" s="2983"/>
      <c r="K29" s="2983"/>
      <c r="L29" s="2983"/>
      <c r="M29" s="2983"/>
      <c r="N29" s="2983"/>
      <c r="O29" s="2983"/>
      <c r="P29" s="2983"/>
      <c r="Q29" s="2983"/>
      <c r="R29" s="2983"/>
      <c r="S29" s="2983"/>
      <c r="T29" s="2983"/>
      <c r="U29" s="2983"/>
      <c r="V29" s="3090"/>
    </row>
    <row r="30" spans="1:22" s="2996" customFormat="1" ht="13.35" customHeight="1" thickBot="1">
      <c r="A30" s="3079"/>
      <c r="B30" s="3080" t="s">
        <v>2850</v>
      </c>
      <c r="C30" s="3097">
        <f>E18</f>
        <v>0</v>
      </c>
      <c r="D30" s="3111"/>
      <c r="E30" s="3045"/>
      <c r="F30" s="3084"/>
      <c r="G30" s="3078"/>
      <c r="H30" s="3098"/>
      <c r="I30" s="3090"/>
      <c r="J30" s="2983"/>
      <c r="K30" s="2983"/>
      <c r="L30" s="2983"/>
      <c r="M30" s="2983"/>
      <c r="N30" s="2983"/>
      <c r="O30" s="2983"/>
      <c r="P30" s="2983"/>
      <c r="Q30" s="2983"/>
      <c r="R30" s="2983"/>
      <c r="S30" s="2983"/>
      <c r="T30" s="2983"/>
      <c r="U30" s="2983"/>
      <c r="V30" s="2992"/>
    </row>
    <row r="31" spans="1:22" s="3091" customFormat="1" ht="13.35" customHeight="1">
      <c r="A31" s="3079"/>
      <c r="B31" s="3080"/>
      <c r="C31" s="3112"/>
      <c r="D31" s="3111"/>
      <c r="E31" s="3045"/>
      <c r="F31" s="3084"/>
      <c r="G31" s="2983"/>
      <c r="H31" s="3098"/>
      <c r="I31" s="3090"/>
      <c r="J31" s="2980" t="s">
        <v>2851</v>
      </c>
      <c r="K31" s="2981"/>
      <c r="L31" s="2981"/>
      <c r="M31" s="2981"/>
      <c r="N31" s="2981"/>
      <c r="O31" s="2981"/>
      <c r="P31" s="2981"/>
      <c r="Q31" s="2981"/>
      <c r="R31" s="2982"/>
      <c r="S31" s="2983"/>
      <c r="T31" s="2983"/>
      <c r="U31" s="2983"/>
      <c r="V31" s="3090"/>
    </row>
    <row r="32" spans="1:22" s="3091" customFormat="1" ht="13.35" customHeight="1">
      <c r="A32" s="3072">
        <v>4</v>
      </c>
      <c r="B32" s="3073" t="s">
        <v>2852</v>
      </c>
      <c r="C32" s="3074">
        <f>C23-C26-C29</f>
        <v>0</v>
      </c>
      <c r="D32" s="3075">
        <f>D23-D26-D29</f>
        <v>0</v>
      </c>
      <c r="E32" s="3076">
        <f>E23-E26-E29</f>
        <v>0</v>
      </c>
      <c r="F32" s="3077"/>
      <c r="G32" s="2983"/>
      <c r="H32" s="2991"/>
      <c r="I32" s="2992"/>
      <c r="J32" s="3530" t="s">
        <v>2853</v>
      </c>
      <c r="K32" s="3531"/>
      <c r="L32" s="2993" t="s">
        <v>2854</v>
      </c>
      <c r="M32" s="2993" t="s">
        <v>2743</v>
      </c>
      <c r="N32" s="2993" t="s">
        <v>2744</v>
      </c>
      <c r="O32" s="2993" t="s">
        <v>2745</v>
      </c>
      <c r="P32" s="2993" t="s">
        <v>2746</v>
      </c>
      <c r="Q32" s="2994" t="s">
        <v>2855</v>
      </c>
      <c r="R32" s="3113" t="s">
        <v>2856</v>
      </c>
      <c r="S32" s="2983"/>
      <c r="T32" s="2983"/>
      <c r="U32" s="2983"/>
      <c r="V32" s="3090"/>
    </row>
    <row r="33" spans="1:23" s="2996" customFormat="1" ht="13.35" customHeight="1">
      <c r="A33" s="3072"/>
      <c r="B33" s="3073"/>
      <c r="C33" s="3074"/>
      <c r="D33" s="3114"/>
      <c r="E33" s="3115"/>
      <c r="F33" s="3077"/>
      <c r="G33" s="2983"/>
      <c r="H33" s="3098"/>
      <c r="I33" s="3090"/>
      <c r="J33" s="3532" t="s">
        <v>2857</v>
      </c>
      <c r="K33" s="3533"/>
      <c r="L33" s="2999"/>
      <c r="M33" s="2999"/>
      <c r="N33" s="2999"/>
      <c r="O33" s="2999"/>
      <c r="P33" s="2999"/>
      <c r="Q33" s="3000"/>
      <c r="R33" s="3116">
        <f>SUM(L33:Q33)</f>
        <v>0</v>
      </c>
      <c r="S33" s="2983"/>
      <c r="T33" s="2983"/>
      <c r="U33" s="2983"/>
      <c r="V33" s="2992"/>
    </row>
    <row r="34" spans="1:23" s="2996" customFormat="1" ht="13.35" customHeight="1">
      <c r="A34" s="3072">
        <v>5</v>
      </c>
      <c r="B34" s="3073" t="s">
        <v>2858</v>
      </c>
      <c r="C34" s="3117"/>
      <c r="D34" s="3118"/>
      <c r="E34" s="3119"/>
      <c r="F34" s="3077"/>
      <c r="G34" s="2983"/>
      <c r="H34" s="3098"/>
      <c r="I34" s="3090"/>
      <c r="J34" s="3532" t="s">
        <v>2859</v>
      </c>
      <c r="K34" s="3533"/>
      <c r="L34" s="3004"/>
      <c r="M34" s="3004"/>
      <c r="N34" s="3004"/>
      <c r="O34" s="3004"/>
      <c r="P34" s="3004"/>
      <c r="Q34" s="3005"/>
      <c r="R34" s="3120">
        <f>SUM(L34:Q34)</f>
        <v>0</v>
      </c>
      <c r="S34" s="2983"/>
      <c r="T34" s="2983"/>
      <c r="U34" s="2983" t="e">
        <f>ROUND(R35*10000/365/R33,1)</f>
        <v>#DIV/0!</v>
      </c>
      <c r="V34" s="2992"/>
    </row>
    <row r="35" spans="1:23" s="2996" customFormat="1" ht="13.35" customHeight="1">
      <c r="A35" s="3072">
        <v>6</v>
      </c>
      <c r="B35" s="3073" t="s">
        <v>2860</v>
      </c>
      <c r="C35" s="3121"/>
      <c r="D35" s="3122"/>
      <c r="E35" s="3123"/>
      <c r="F35" s="3077"/>
      <c r="G35" s="3124"/>
      <c r="H35" s="2991"/>
      <c r="I35" s="3090"/>
      <c r="J35" s="3010" t="s">
        <v>2861</v>
      </c>
      <c r="K35" s="3011"/>
      <c r="L35" s="3011"/>
      <c r="M35" s="3012"/>
      <c r="N35" s="3012"/>
      <c r="O35" s="3012"/>
      <c r="P35" s="3012"/>
      <c r="Q35" s="3012"/>
      <c r="R35" s="3125">
        <f>R40+R41+R43</f>
        <v>0</v>
      </c>
      <c r="S35" s="2983"/>
      <c r="T35" s="2983" t="s">
        <v>2862</v>
      </c>
      <c r="U35" s="2983"/>
      <c r="V35" s="2992"/>
    </row>
    <row r="36" spans="1:23" s="2996" customFormat="1" ht="13.35" customHeight="1" thickBot="1">
      <c r="A36" s="3072">
        <v>7</v>
      </c>
      <c r="B36" s="3126" t="s">
        <v>2863</v>
      </c>
      <c r="C36" s="3127"/>
      <c r="D36" s="3128"/>
      <c r="E36" s="3129"/>
      <c r="F36" s="3130">
        <f>C36+D36+E36</f>
        <v>0</v>
      </c>
      <c r="G36" s="2983"/>
      <c r="H36" s="2991"/>
      <c r="I36" s="2992"/>
      <c r="J36" s="3524">
        <v>1</v>
      </c>
      <c r="K36" s="3525" t="s">
        <v>2864</v>
      </c>
      <c r="L36" s="3017"/>
      <c r="M36" s="3018"/>
      <c r="N36" s="3018"/>
      <c r="O36" s="3018"/>
      <c r="P36" s="3018"/>
      <c r="Q36" s="3018"/>
      <c r="R36" s="3001" t="s">
        <v>2765</v>
      </c>
      <c r="S36" s="2983"/>
      <c r="T36" s="2983" t="s">
        <v>2766</v>
      </c>
      <c r="U36" s="2983"/>
      <c r="V36" s="2992"/>
    </row>
    <row r="37" spans="1:23" s="2996" customFormat="1" ht="13.35" customHeight="1">
      <c r="A37" s="3072"/>
      <c r="B37" s="3073"/>
      <c r="C37" s="3073"/>
      <c r="D37" s="3073"/>
      <c r="E37" s="3073"/>
      <c r="F37" s="3077"/>
      <c r="G37" s="2983"/>
      <c r="H37" s="2991"/>
      <c r="I37" s="2992"/>
      <c r="J37" s="3524"/>
      <c r="K37" s="3526"/>
      <c r="L37" s="3026"/>
      <c r="M37" s="3027"/>
      <c r="N37" s="3003"/>
      <c r="O37" s="3028"/>
      <c r="P37" s="3028"/>
      <c r="Q37" s="3029"/>
      <c r="R37" s="3030"/>
      <c r="S37" s="2983"/>
      <c r="T37" s="2983" t="s">
        <v>2769</v>
      </c>
      <c r="U37" s="2983"/>
      <c r="V37" s="2992"/>
    </row>
    <row r="38" spans="1:23" s="2996" customFormat="1" ht="13.35" customHeight="1">
      <c r="A38" s="3072">
        <v>8</v>
      </c>
      <c r="B38" s="3073"/>
      <c r="C38" s="3032" t="e">
        <f>ROUND(C32*(1-((1+C35)/(1+C34))^C36)/(C34-C35),0)</f>
        <v>#DIV/0!</v>
      </c>
      <c r="D38" s="3032">
        <f>IF(D23=0,0,ROUND(D32*(1-((1+D35)/(1+D34))^D36)/(D34-D35),0))</f>
        <v>0</v>
      </c>
      <c r="E38" s="3032">
        <f>IF(E23=0,0,ROUND(E32*(1-((1+E35)/(1+E34))^E36)/(E34-E35),0))</f>
        <v>0</v>
      </c>
      <c r="F38" s="3077"/>
      <c r="G38" s="2983"/>
      <c r="H38" s="2991"/>
      <c r="I38" s="2992"/>
      <c r="J38" s="3524"/>
      <c r="K38" s="3526"/>
      <c r="L38" s="3026"/>
      <c r="M38" s="3027"/>
      <c r="N38" s="3003"/>
      <c r="O38" s="3028"/>
      <c r="P38" s="3028"/>
      <c r="Q38" s="3029"/>
      <c r="R38" s="3030"/>
      <c r="S38" s="2983"/>
      <c r="T38" s="2983" t="s">
        <v>2776</v>
      </c>
      <c r="U38" s="2983"/>
      <c r="V38" s="2992"/>
    </row>
    <row r="39" spans="1:23" s="2996" customFormat="1" ht="13.35" customHeight="1">
      <c r="A39" s="3072">
        <v>9</v>
      </c>
      <c r="B39" s="3073" t="s">
        <v>2865</v>
      </c>
      <c r="C39" s="3040" t="e">
        <f>C38</f>
        <v>#DIV/0!</v>
      </c>
      <c r="D39" s="3073">
        <f>D38/(1+D34)^C36</f>
        <v>0</v>
      </c>
      <c r="E39" s="3073">
        <f>E38/(1+E34)^(C36+D36)</f>
        <v>0</v>
      </c>
      <c r="F39" s="3077"/>
      <c r="G39" s="2992"/>
      <c r="H39" s="2991"/>
      <c r="I39" s="2992"/>
      <c r="J39" s="3524"/>
      <c r="K39" s="3526"/>
      <c r="L39" s="3026"/>
      <c r="M39" s="3027"/>
      <c r="N39" s="3003"/>
      <c r="O39" s="3028"/>
      <c r="P39" s="3028"/>
      <c r="Q39" s="3029"/>
      <c r="R39" s="3030"/>
      <c r="S39" s="2983"/>
      <c r="T39" s="2983"/>
      <c r="U39" s="2983"/>
      <c r="V39" s="2992"/>
    </row>
    <row r="40" spans="1:23" s="2996" customFormat="1" ht="13.35" customHeight="1">
      <c r="A40" s="3131">
        <v>10</v>
      </c>
      <c r="B40" s="3073" t="s">
        <v>2866</v>
      </c>
      <c r="C40" s="3132" t="e">
        <f>C39+D39+E39</f>
        <v>#DIV/0!</v>
      </c>
      <c r="D40" s="3133"/>
      <c r="E40" s="3133"/>
      <c r="F40" s="3134"/>
      <c r="G40" s="2983"/>
      <c r="H40" s="2991"/>
      <c r="I40" s="2992"/>
      <c r="J40" s="3524"/>
      <c r="K40" s="3527"/>
      <c r="L40" s="3046" t="s">
        <v>2867</v>
      </c>
      <c r="M40" s="3047"/>
      <c r="N40" s="3047"/>
      <c r="O40" s="3048"/>
      <c r="P40" s="3048"/>
      <c r="Q40" s="3049"/>
      <c r="R40" s="2995">
        <f>SUM(R37:R39)</f>
        <v>0</v>
      </c>
      <c r="S40" s="2983"/>
      <c r="T40" s="2983"/>
      <c r="U40" s="2983"/>
      <c r="V40" s="2992"/>
    </row>
    <row r="41" spans="1:23" s="2996" customFormat="1" ht="13.35" customHeight="1" thickBot="1">
      <c r="A41" s="3135">
        <v>11</v>
      </c>
      <c r="B41" s="3136" t="s">
        <v>2868</v>
      </c>
      <c r="C41" s="3136" t="e">
        <f>ROUND(C40*10000/B4,0)</f>
        <v>#DIV/0!</v>
      </c>
      <c r="D41" s="3137"/>
      <c r="E41" s="3137"/>
      <c r="F41" s="3138"/>
      <c r="G41" s="2991"/>
      <c r="H41" s="2991"/>
      <c r="I41" s="2992"/>
      <c r="J41" s="3085">
        <v>2</v>
      </c>
      <c r="K41" s="3086" t="s">
        <v>2869</v>
      </c>
      <c r="L41" s="3087"/>
      <c r="M41" s="3087"/>
      <c r="N41" s="3087"/>
      <c r="O41" s="3087"/>
      <c r="P41" s="3088"/>
      <c r="Q41" s="3089"/>
      <c r="R41" s="3062">
        <f>ROUND(R40*Q41,0)</f>
        <v>0</v>
      </c>
      <c r="S41" s="2983"/>
      <c r="T41" s="2983"/>
      <c r="U41" s="3035"/>
      <c r="V41" s="2992"/>
    </row>
    <row r="42" spans="1:23" s="2996" customFormat="1" ht="13.35" customHeight="1">
      <c r="G42" s="2991"/>
      <c r="H42" s="2991"/>
      <c r="I42" s="2992"/>
      <c r="J42" s="3528">
        <v>3</v>
      </c>
      <c r="K42" s="3092" t="s">
        <v>2870</v>
      </c>
      <c r="L42" s="3093"/>
      <c r="M42" s="3094"/>
      <c r="N42" s="3095" t="s">
        <v>2871</v>
      </c>
      <c r="O42" s="3095" t="s">
        <v>2872</v>
      </c>
      <c r="P42" s="3096" t="s">
        <v>2873</v>
      </c>
      <c r="Q42" s="3096" t="s">
        <v>2874</v>
      </c>
      <c r="R42" s="3001" t="s">
        <v>2875</v>
      </c>
      <c r="S42" s="3035"/>
      <c r="T42" s="3035"/>
      <c r="U42" s="2983"/>
      <c r="V42" s="2992"/>
    </row>
    <row r="43" spans="1:23" ht="13.35" customHeight="1">
      <c r="A43" s="2996"/>
      <c r="B43" s="2996"/>
      <c r="C43" s="2996"/>
      <c r="D43" s="2996"/>
      <c r="E43" s="2996"/>
      <c r="F43" s="2996"/>
      <c r="I43" s="2978"/>
      <c r="J43" s="3529"/>
      <c r="K43" s="3099"/>
      <c r="L43" s="3100"/>
      <c r="M43" s="3101"/>
      <c r="N43" s="3027"/>
      <c r="O43" s="3027"/>
      <c r="P43" s="3027"/>
      <c r="Q43" s="3089"/>
      <c r="R43" s="3062">
        <f>ROUND(O43*N43*P43*(1-Q43)/10000,0)</f>
        <v>0</v>
      </c>
      <c r="S43" s="2983"/>
      <c r="T43" s="2983"/>
      <c r="V43" s="3139"/>
      <c r="W43" s="3140"/>
    </row>
    <row r="44" spans="1:23" ht="13.35" customHeight="1" thickBot="1">
      <c r="J44" s="3104">
        <v>6</v>
      </c>
      <c r="K44" s="3105" t="s">
        <v>2876</v>
      </c>
      <c r="L44" s="3141" t="s">
        <v>2877</v>
      </c>
      <c r="M44" s="3107"/>
      <c r="N44" s="3141" t="s">
        <v>2878</v>
      </c>
      <c r="O44" s="3107"/>
      <c r="P44" s="3141" t="s">
        <v>2879</v>
      </c>
      <c r="Q44" s="3109">
        <v>1.4999999999999999E-2</v>
      </c>
      <c r="R44" s="311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受贵公司委托，我公司对河南省开封市龙亭区二十二大街东侧、规划四路北侧YLXB03-03（2号）地块一宗商服用地、城镇住宅用地出让国有建设用地使用权抵押价格进行了预评估。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7" spans="1:4" ht="93.75">
      <c r="A7" s="2331" t="s">
        <v>2463</v>
      </c>
    </row>
    <row r="8" spans="1:4" ht="18.75">
      <c r="A8" s="1572" t="s">
        <v>1701</v>
      </c>
    </row>
    <row r="9" spans="1:4" ht="112.5">
      <c r="A9" s="1569" t="str">
        <f>IF(项目基本情况!B8="抵押",IF(项目基本情况!B5=项目基本情况!B6,定义!C51,定义!B51),定义!D51)</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2022年11月30日（评估专业人员勘察现场之日）</v>
      </c>
    </row>
    <row r="12" spans="1:4" ht="18.75">
      <c r="A12" s="1574" t="s">
        <v>1816</v>
      </c>
    </row>
    <row r="13" spans="1:4" ht="18.75">
      <c r="A13" s="1569" t="s">
        <v>1862</v>
      </c>
    </row>
    <row r="14" spans="1:4" ht="37.5">
      <c r="A14" s="1569" t="str">
        <f>"根据"&amp;项目基本情况!F12&amp;"，本次评估估价对象证载（地类）用途为"&amp;项目基本情况!B12&amp;"。"</f>
        <v>根据《国有土地使用证》[]，本次评估估价对象证载（地类）用途为商服用地、城镇住宅用地。</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本次评估设定用途即为证载用途商服用地、城镇住宅用地。</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根据《国有土地使用证》[]，估价对象（分摊）出让国有建设用地使用权面积为53757.04平方米。根据《建设工程规划许可证》[]、《出让合同》[]，估价对象规划建筑面积为139768.3平方米。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1865</v>
      </c>
    </row>
    <row r="23" spans="1:1" ht="18.75">
      <c r="A23" s="2333" t="s">
        <v>2464</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26" spans="1:1" ht="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1484</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2723</v>
      </c>
    </row>
    <row r="7" spans="1:25" s="1895" customFormat="1" ht="13.5" customHeight="1">
      <c r="A7" s="2134">
        <v>1</v>
      </c>
      <c r="B7" s="689" t="s">
        <v>591</v>
      </c>
      <c r="C7" s="690">
        <f>C8+C9</f>
        <v>0</v>
      </c>
      <c r="D7" s="690"/>
      <c r="E7" s="691"/>
      <c r="F7" s="691"/>
      <c r="G7" s="2143"/>
    </row>
    <row r="8" spans="1:25" s="1895" customFormat="1" ht="13.5" customHeight="1">
      <c r="A8" s="2134" t="s">
        <v>2220</v>
      </c>
      <c r="B8" s="2137" t="s">
        <v>2222</v>
      </c>
      <c r="C8" s="2929">
        <f t="shared" ref="C8:C9" si="0">ROUND(D8*E8/10000,0)</f>
        <v>0</v>
      </c>
      <c r="D8" s="2929">
        <v>0</v>
      </c>
      <c r="E8" s="2930">
        <v>0</v>
      </c>
      <c r="F8" s="691"/>
      <c r="G8" s="692"/>
    </row>
    <row r="9" spans="1:25" s="1895" customFormat="1" ht="13.5" customHeight="1">
      <c r="A9" s="2134" t="s">
        <v>2221</v>
      </c>
      <c r="B9" s="2137" t="s">
        <v>2223</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2220</v>
      </c>
      <c r="B11" s="693" t="s">
        <v>592</v>
      </c>
      <c r="C11" s="694">
        <f>'数据-取费表'!B29</f>
        <v>0</v>
      </c>
      <c r="D11" s="695"/>
      <c r="E11" s="694"/>
      <c r="F11" s="696"/>
      <c r="G11" s="2142" t="s">
        <v>2231</v>
      </c>
    </row>
    <row r="12" spans="1:25" s="1895" customFormat="1" ht="13.5" customHeight="1">
      <c r="A12" s="2140" t="s">
        <v>2228</v>
      </c>
      <c r="B12" s="697" t="s">
        <v>593</v>
      </c>
      <c r="C12" s="698">
        <f>ROUND(D12*E12/10000,0)</f>
        <v>1677</v>
      </c>
      <c r="D12" s="2929">
        <f>'数据-汇总表'!E5</f>
        <v>139768.29999999999</v>
      </c>
      <c r="E12" s="2929">
        <f>'数据-取费表'!B27</f>
        <v>120</v>
      </c>
      <c r="F12" s="696"/>
      <c r="G12" s="699"/>
    </row>
    <row r="13" spans="1:25" s="1895" customFormat="1" ht="13.5" customHeight="1">
      <c r="A13" s="2140" t="s">
        <v>2227</v>
      </c>
      <c r="B13" s="697" t="s">
        <v>594</v>
      </c>
      <c r="C13" s="698">
        <f>ROUND(D13*E13/10000,0)</f>
        <v>0</v>
      </c>
      <c r="D13" s="2929">
        <f>'数据-汇总表'!E6</f>
        <v>0</v>
      </c>
      <c r="E13" s="2929">
        <f>'数据-取费表'!B28</f>
        <v>120</v>
      </c>
      <c r="F13" s="696"/>
      <c r="G13" s="699"/>
    </row>
    <row r="14" spans="1:25" s="1895" customFormat="1" ht="13.5" customHeight="1">
      <c r="A14" s="2134" t="s">
        <v>2221</v>
      </c>
      <c r="B14" s="2139" t="s">
        <v>2224</v>
      </c>
      <c r="C14" s="2931">
        <f t="shared" ref="C14:C15" si="1">ROUND(D14*E14/10000,0)</f>
        <v>0</v>
      </c>
      <c r="D14" s="2929">
        <v>0</v>
      </c>
      <c r="E14" s="2930">
        <v>0</v>
      </c>
      <c r="F14" s="2138"/>
      <c r="G14" s="2141" t="s">
        <v>2229</v>
      </c>
    </row>
    <row r="15" spans="1:25" s="1895" customFormat="1" ht="13.5" customHeight="1">
      <c r="A15" s="2134" t="s">
        <v>2226</v>
      </c>
      <c r="B15" s="2139" t="s">
        <v>2225</v>
      </c>
      <c r="C15" s="2931">
        <f t="shared" si="1"/>
        <v>0</v>
      </c>
      <c r="D15" s="2929">
        <v>0</v>
      </c>
      <c r="E15" s="2930">
        <v>0</v>
      </c>
      <c r="F15" s="2138"/>
      <c r="G15" s="2141" t="s">
        <v>2230</v>
      </c>
    </row>
    <row r="16" spans="1:25" s="1896" customFormat="1" ht="48">
      <c r="A16" s="2134">
        <v>3</v>
      </c>
      <c r="B16" s="689" t="s">
        <v>597</v>
      </c>
      <c r="C16" s="2931">
        <f t="shared" ref="C16" si="2">ROUND(D16*E16/10000,0)</f>
        <v>0</v>
      </c>
      <c r="D16" s="2929">
        <v>0</v>
      </c>
      <c r="E16" s="2930">
        <v>0</v>
      </c>
      <c r="F16" s="701"/>
      <c r="G16" s="699" t="s">
        <v>2232</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0.94699999999999995</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3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422" t="s">
        <v>505</v>
      </c>
      <c r="D4" s="3423"/>
      <c r="E4" s="3448" t="s">
        <v>506</v>
      </c>
      <c r="F4" s="3449"/>
      <c r="G4" s="3422" t="s">
        <v>507</v>
      </c>
      <c r="H4" s="3423"/>
      <c r="I4" s="3422" t="s">
        <v>508</v>
      </c>
      <c r="J4" s="3423"/>
      <c r="K4" s="470" t="s">
        <v>509</v>
      </c>
      <c r="L4" s="1853"/>
      <c r="M4" s="1854"/>
      <c r="N4" s="1854"/>
      <c r="O4" s="1854"/>
      <c r="P4" s="3424" t="s">
        <v>510</v>
      </c>
      <c r="Q4" s="3425"/>
      <c r="R4" s="3408" t="s">
        <v>506</v>
      </c>
      <c r="S4" s="3409"/>
      <c r="T4" s="3408" t="s">
        <v>507</v>
      </c>
      <c r="U4" s="3409"/>
      <c r="V4" s="3430" t="s">
        <v>508</v>
      </c>
      <c r="W4" s="3430"/>
      <c r="X4" s="1377"/>
      <c r="Y4" s="3408" t="s">
        <v>510</v>
      </c>
      <c r="Z4" s="3409"/>
      <c r="AA4" s="3403" t="s">
        <v>506</v>
      </c>
      <c r="AB4" s="3430" t="s">
        <v>507</v>
      </c>
      <c r="AC4" s="3403" t="s">
        <v>508</v>
      </c>
    </row>
    <row r="5" spans="1:29" ht="15">
      <c r="A5" s="471"/>
      <c r="B5" s="472"/>
      <c r="C5" s="3433" t="s">
        <v>2627</v>
      </c>
      <c r="D5" s="3434"/>
      <c r="E5" s="3450" t="s">
        <v>2628</v>
      </c>
      <c r="F5" s="3451"/>
      <c r="G5" s="3433" t="s">
        <v>2629</v>
      </c>
      <c r="H5" s="3434"/>
      <c r="I5" s="3433" t="s">
        <v>2630</v>
      </c>
      <c r="J5" s="3434"/>
      <c r="K5" s="470"/>
      <c r="L5" s="1853"/>
      <c r="M5" s="1854"/>
      <c r="N5" s="1854"/>
      <c r="O5" s="1854"/>
      <c r="P5" s="3426"/>
      <c r="Q5" s="3427"/>
      <c r="R5" s="3410"/>
      <c r="S5" s="3411"/>
      <c r="T5" s="3410"/>
      <c r="U5" s="3411"/>
      <c r="V5" s="3430"/>
      <c r="W5" s="3430"/>
      <c r="X5" s="1377"/>
      <c r="Y5" s="3410"/>
      <c r="Z5" s="3411"/>
      <c r="AA5" s="3404"/>
      <c r="AB5" s="3430"/>
      <c r="AC5" s="3404"/>
    </row>
    <row r="6" spans="1:29" ht="15.75" thickBot="1">
      <c r="A6" s="473"/>
      <c r="B6" s="474"/>
      <c r="C6" s="3431" t="s">
        <v>2631</v>
      </c>
      <c r="D6" s="3432"/>
      <c r="E6" s="3452" t="s">
        <v>2631</v>
      </c>
      <c r="F6" s="3453"/>
      <c r="G6" s="3431" t="s">
        <v>2631</v>
      </c>
      <c r="H6" s="3432"/>
      <c r="I6" s="3431" t="s">
        <v>2631</v>
      </c>
      <c r="J6" s="3432"/>
      <c r="K6" s="470" t="s">
        <v>511</v>
      </c>
      <c r="L6" s="1853"/>
      <c r="M6" s="1854"/>
      <c r="N6" s="1854"/>
      <c r="O6" s="1854"/>
      <c r="P6" s="3428"/>
      <c r="Q6" s="3429"/>
      <c r="R6" s="3410"/>
      <c r="S6" s="3411"/>
      <c r="T6" s="3412"/>
      <c r="U6" s="3413"/>
      <c r="V6" s="3430"/>
      <c r="W6" s="3430"/>
      <c r="X6" s="1377"/>
      <c r="Y6" s="3412"/>
      <c r="Z6" s="3413"/>
      <c r="AA6" s="3405"/>
      <c r="AB6" s="3430"/>
      <c r="AC6" s="3405"/>
    </row>
    <row r="7" spans="1:29" s="1106" customFormat="1" ht="15.75" thickBot="1">
      <c r="A7" s="2362"/>
      <c r="B7" s="2369" t="s">
        <v>512</v>
      </c>
      <c r="C7" s="475">
        <f>'数据-取费表'!B2</f>
        <v>44895</v>
      </c>
      <c r="D7" s="476">
        <v>100</v>
      </c>
      <c r="E7" s="477"/>
      <c r="F7" s="478">
        <f>SUMIF(58:58,YEAR(E7)&amp;"-"&amp;MONTH(E7),59:59)</f>
        <v>0</v>
      </c>
      <c r="G7" s="477"/>
      <c r="H7" s="476">
        <f>SUMIF(58:58,YEAR(G7)&amp;"-"&amp;MONTH(G7),59:59)</f>
        <v>0</v>
      </c>
      <c r="I7" s="477"/>
      <c r="J7" s="476">
        <f>SUMIF(58:58,YEAR(I7)&amp;"-"&amp;MONTH(I7),59:59)</f>
        <v>0</v>
      </c>
      <c r="K7" s="92"/>
      <c r="L7" s="1855"/>
      <c r="M7" s="1752"/>
      <c r="N7" s="1752"/>
      <c r="O7" s="1752"/>
      <c r="P7" s="3406" t="s">
        <v>513</v>
      </c>
      <c r="Q7" s="3415"/>
      <c r="R7" s="1378" t="s">
        <v>8</v>
      </c>
      <c r="S7" s="1379">
        <f t="shared" ref="S7:S15" si="0">F7</f>
        <v>0</v>
      </c>
      <c r="T7" s="1378" t="s">
        <v>8</v>
      </c>
      <c r="U7" s="1379">
        <f t="shared" ref="U7:U15" si="1">H7</f>
        <v>0</v>
      </c>
      <c r="V7" s="1378" t="s">
        <v>8</v>
      </c>
      <c r="W7" s="1379">
        <f t="shared" ref="W7:W15" si="2">J7</f>
        <v>0</v>
      </c>
      <c r="X7" s="1380"/>
      <c r="Y7" s="3406" t="s">
        <v>513</v>
      </c>
      <c r="Z7" s="3407"/>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06" t="s">
        <v>516</v>
      </c>
      <c r="Q8" s="3407"/>
      <c r="R8" s="1378" t="s">
        <v>8</v>
      </c>
      <c r="S8" s="1379">
        <f t="shared" si="0"/>
        <v>0</v>
      </c>
      <c r="T8" s="1378" t="s">
        <v>8</v>
      </c>
      <c r="U8" s="1379">
        <f t="shared" si="1"/>
        <v>0</v>
      </c>
      <c r="V8" s="1378" t="s">
        <v>8</v>
      </c>
      <c r="W8" s="1379">
        <f t="shared" si="2"/>
        <v>0</v>
      </c>
      <c r="X8" s="1380"/>
      <c r="Y8" s="3406" t="s">
        <v>516</v>
      </c>
      <c r="Z8" s="3407"/>
      <c r="AA8" s="1042" t="e">
        <f t="shared" ref="AA8:AA46" si="3">D8/F8</f>
        <v>#DIV/0!</v>
      </c>
      <c r="AB8" s="1042" t="e">
        <f t="shared" ref="AB8:AB46" si="4">D8/H8</f>
        <v>#DIV/0!</v>
      </c>
      <c r="AC8" s="1042" t="e">
        <f t="shared" ref="AC8:AC46" si="5">D8/J8</f>
        <v>#DIV/0!</v>
      </c>
    </row>
    <row r="9" spans="1:29" s="1106" customFormat="1" ht="15">
      <c r="A9" s="2364"/>
      <c r="B9" s="2371" t="s">
        <v>2471</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414" t="s">
        <v>518</v>
      </c>
      <c r="Q9" s="824" t="str">
        <f t="shared" ref="Q9:Q15" si="6">B9</f>
        <v>用途</v>
      </c>
      <c r="R9" s="1378" t="s">
        <v>8</v>
      </c>
      <c r="S9" s="1379">
        <f t="shared" si="0"/>
        <v>100</v>
      </c>
      <c r="T9" s="1378" t="s">
        <v>8</v>
      </c>
      <c r="U9" s="1379">
        <f t="shared" si="1"/>
        <v>100</v>
      </c>
      <c r="V9" s="1378" t="s">
        <v>8</v>
      </c>
      <c r="W9" s="1379">
        <f t="shared" si="2"/>
        <v>100</v>
      </c>
      <c r="X9" s="1380"/>
      <c r="Y9" s="3362"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414"/>
      <c r="Q11" s="824" t="str">
        <f t="shared" si="6"/>
        <v>容积率</v>
      </c>
      <c r="R11" s="1378" t="s">
        <v>8</v>
      </c>
      <c r="S11" s="1379" t="e">
        <f t="shared" si="0"/>
        <v>#N/A</v>
      </c>
      <c r="T11" s="1378" t="s">
        <v>8</v>
      </c>
      <c r="U11" s="1379" t="e">
        <f t="shared" si="1"/>
        <v>#N/A</v>
      </c>
      <c r="V11" s="1378" t="s">
        <v>8</v>
      </c>
      <c r="W11" s="1379" t="e">
        <f t="shared" si="2"/>
        <v>#N/A</v>
      </c>
      <c r="X11" s="1380"/>
      <c r="Y11" s="336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414"/>
      <c r="Q12" s="824">
        <f t="shared" si="6"/>
        <v>111</v>
      </c>
      <c r="R12" s="1378" t="s">
        <v>8</v>
      </c>
      <c r="S12" s="1379">
        <f t="shared" si="0"/>
        <v>100</v>
      </c>
      <c r="T12" s="1378" t="s">
        <v>8</v>
      </c>
      <c r="U12" s="1379">
        <f t="shared" si="1"/>
        <v>100</v>
      </c>
      <c r="V12" s="1378" t="s">
        <v>8</v>
      </c>
      <c r="W12" s="1379">
        <f t="shared" si="2"/>
        <v>100</v>
      </c>
      <c r="X12" s="1380"/>
      <c r="Y12" s="3362"/>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414"/>
      <c r="Q13" s="824">
        <f t="shared" si="6"/>
        <v>111</v>
      </c>
      <c r="R13" s="1378" t="s">
        <v>8</v>
      </c>
      <c r="S13" s="1379">
        <f t="shared" si="0"/>
        <v>100</v>
      </c>
      <c r="T13" s="1378" t="s">
        <v>8</v>
      </c>
      <c r="U13" s="1379">
        <f t="shared" si="1"/>
        <v>100</v>
      </c>
      <c r="V13" s="1378" t="s">
        <v>8</v>
      </c>
      <c r="W13" s="1379">
        <f t="shared" si="2"/>
        <v>100</v>
      </c>
      <c r="X13" s="1380"/>
      <c r="Y13" s="3362"/>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414"/>
      <c r="Q14" s="824">
        <f t="shared" si="6"/>
        <v>111</v>
      </c>
      <c r="R14" s="1378" t="s">
        <v>8</v>
      </c>
      <c r="S14" s="1379">
        <f t="shared" si="0"/>
        <v>100</v>
      </c>
      <c r="T14" s="1378" t="s">
        <v>8</v>
      </c>
      <c r="U14" s="1379">
        <f t="shared" si="1"/>
        <v>100</v>
      </c>
      <c r="V14" s="1378" t="s">
        <v>8</v>
      </c>
      <c r="W14" s="1379">
        <f t="shared" si="2"/>
        <v>100</v>
      </c>
      <c r="X14" s="1380"/>
      <c r="Y14" s="3362"/>
      <c r="Z14" s="1042">
        <f t="shared" si="7"/>
        <v>111</v>
      </c>
      <c r="AA14" s="1042">
        <f t="shared" si="3"/>
        <v>1</v>
      </c>
      <c r="AB14" s="1042">
        <f t="shared" si="4"/>
        <v>1</v>
      </c>
      <c r="AC14" s="1042">
        <f t="shared" si="5"/>
        <v>1</v>
      </c>
    </row>
    <row r="15" spans="1:29" ht="71.25">
      <c r="A15" s="2360" t="s">
        <v>2469</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16" t="s">
        <v>523</v>
      </c>
      <c r="Q15" s="1381" t="str">
        <f t="shared" si="6"/>
        <v>商业繁华度</v>
      </c>
      <c r="R15" s="1382" t="s">
        <v>8</v>
      </c>
      <c r="S15" s="1383">
        <f t="shared" si="0"/>
        <v>100</v>
      </c>
      <c r="T15" s="1382" t="s">
        <v>8</v>
      </c>
      <c r="U15" s="1383">
        <f t="shared" si="1"/>
        <v>100</v>
      </c>
      <c r="V15" s="1382" t="s">
        <v>8</v>
      </c>
      <c r="W15" s="1383">
        <f t="shared" si="2"/>
        <v>100</v>
      </c>
      <c r="X15" s="1377"/>
      <c r="Y15" s="3416"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17"/>
      <c r="Q16" s="1381"/>
      <c r="R16" s="1382"/>
      <c r="S16" s="1383"/>
      <c r="T16" s="1382"/>
      <c r="U16" s="1383"/>
      <c r="V16" s="1382"/>
      <c r="W16" s="1383"/>
      <c r="X16" s="1377"/>
      <c r="Y16" s="3417"/>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17"/>
      <c r="Q17" s="1381" t="str">
        <f>B17</f>
        <v>交通便捷度</v>
      </c>
      <c r="R17" s="1382" t="s">
        <v>8</v>
      </c>
      <c r="S17" s="1383">
        <f>F17</f>
        <v>100</v>
      </c>
      <c r="T17" s="1382" t="s">
        <v>8</v>
      </c>
      <c r="U17" s="1383">
        <f>H17</f>
        <v>100</v>
      </c>
      <c r="V17" s="1382" t="s">
        <v>8</v>
      </c>
      <c r="W17" s="1383">
        <f>J17</f>
        <v>100</v>
      </c>
      <c r="X17" s="1377"/>
      <c r="Y17" s="3417"/>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17"/>
      <c r="Q18" s="1381"/>
      <c r="R18" s="1382"/>
      <c r="S18" s="1383"/>
      <c r="T18" s="1382"/>
      <c r="U18" s="1383"/>
      <c r="V18" s="1382"/>
      <c r="W18" s="1383"/>
      <c r="X18" s="1377"/>
      <c r="Y18" s="3417"/>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17"/>
      <c r="Q19" s="1381" t="str">
        <f>B19</f>
        <v>公共配套设施</v>
      </c>
      <c r="R19" s="1382" t="s">
        <v>8</v>
      </c>
      <c r="S19" s="1383">
        <f>F19</f>
        <v>100</v>
      </c>
      <c r="T19" s="1382" t="s">
        <v>8</v>
      </c>
      <c r="U19" s="1383">
        <f>H19</f>
        <v>100</v>
      </c>
      <c r="V19" s="1382" t="s">
        <v>8</v>
      </c>
      <c r="W19" s="1383">
        <f>J19</f>
        <v>100</v>
      </c>
      <c r="X19" s="1377"/>
      <c r="Y19" s="3417"/>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17"/>
      <c r="Q20" s="1381"/>
      <c r="R20" s="1382"/>
      <c r="S20" s="1383"/>
      <c r="T20" s="1382"/>
      <c r="U20" s="1383"/>
      <c r="V20" s="1382"/>
      <c r="W20" s="1383"/>
      <c r="X20" s="1377"/>
      <c r="Y20" s="3417"/>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17"/>
      <c r="Q21" s="1381" t="str">
        <f>B21</f>
        <v>基础设施水平</v>
      </c>
      <c r="R21" s="1382" t="s">
        <v>8</v>
      </c>
      <c r="S21" s="1383">
        <f>F21</f>
        <v>100</v>
      </c>
      <c r="T21" s="1382" t="s">
        <v>8</v>
      </c>
      <c r="U21" s="1383">
        <f>H21</f>
        <v>100</v>
      </c>
      <c r="V21" s="1382" t="s">
        <v>8</v>
      </c>
      <c r="W21" s="1383">
        <f>J21</f>
        <v>100</v>
      </c>
      <c r="X21" s="1377"/>
      <c r="Y21" s="3417"/>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17"/>
      <c r="Q22" s="1381"/>
      <c r="R22" s="1382"/>
      <c r="S22" s="1383"/>
      <c r="T22" s="1382"/>
      <c r="U22" s="1383"/>
      <c r="V22" s="1382"/>
      <c r="W22" s="1383"/>
      <c r="X22" s="1377"/>
      <c r="Y22" s="3417"/>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17"/>
      <c r="Q23" s="1381" t="str">
        <f>B23</f>
        <v>自然及人文环境</v>
      </c>
      <c r="R23" s="1382" t="s">
        <v>8</v>
      </c>
      <c r="S23" s="1383">
        <f>F23</f>
        <v>100</v>
      </c>
      <c r="T23" s="1382" t="s">
        <v>8</v>
      </c>
      <c r="U23" s="1383">
        <f>H23</f>
        <v>100</v>
      </c>
      <c r="V23" s="1382" t="s">
        <v>8</v>
      </c>
      <c r="W23" s="1383">
        <f>J23</f>
        <v>100</v>
      </c>
      <c r="X23" s="1377"/>
      <c r="Y23" s="3417"/>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17"/>
      <c r="Q24" s="1381"/>
      <c r="R24" s="1382"/>
      <c r="S24" s="1383"/>
      <c r="T24" s="1382"/>
      <c r="U24" s="1383"/>
      <c r="V24" s="1382"/>
      <c r="W24" s="1383"/>
      <c r="X24" s="1377"/>
      <c r="Y24" s="3417"/>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17"/>
      <c r="Q25" s="1381" t="str">
        <f t="shared" ref="Q25:Q46" si="11">B25</f>
        <v>临街状况</v>
      </c>
      <c r="R25" s="1382" t="s">
        <v>8</v>
      </c>
      <c r="S25" s="1383">
        <f>F25</f>
        <v>100</v>
      </c>
      <c r="T25" s="1382" t="s">
        <v>8</v>
      </c>
      <c r="U25" s="1383">
        <f>H25</f>
        <v>100</v>
      </c>
      <c r="V25" s="1382" t="s">
        <v>8</v>
      </c>
      <c r="W25" s="1383">
        <f>J25</f>
        <v>100</v>
      </c>
      <c r="X25" s="1377"/>
      <c r="Y25" s="3417"/>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17"/>
      <c r="Q26" s="1381" t="str">
        <f t="shared" si="11"/>
        <v>平面位置/可视性</v>
      </c>
      <c r="R26" s="1382" t="s">
        <v>8</v>
      </c>
      <c r="S26" s="1383">
        <f>F26</f>
        <v>100</v>
      </c>
      <c r="T26" s="1382" t="s">
        <v>8</v>
      </c>
      <c r="U26" s="1383">
        <f>H26</f>
        <v>100</v>
      </c>
      <c r="V26" s="1382" t="s">
        <v>8</v>
      </c>
      <c r="W26" s="1383">
        <f>J26</f>
        <v>100</v>
      </c>
      <c r="X26" s="1377"/>
      <c r="Y26" s="3417"/>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17"/>
      <c r="Q27" s="824" t="str">
        <f t="shared" si="11"/>
        <v>人流量</v>
      </c>
      <c r="R27" s="1378" t="s">
        <v>8</v>
      </c>
      <c r="S27" s="1379">
        <f>F27</f>
        <v>100</v>
      </c>
      <c r="T27" s="1378" t="s">
        <v>8</v>
      </c>
      <c r="U27" s="1379">
        <f>H27</f>
        <v>100</v>
      </c>
      <c r="V27" s="1378" t="s">
        <v>8</v>
      </c>
      <c r="W27" s="1379">
        <f>J27</f>
        <v>100</v>
      </c>
      <c r="X27" s="1380"/>
      <c r="Y27" s="3417"/>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17"/>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17"/>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17"/>
      <c r="Q29" s="1381">
        <f t="shared" si="11"/>
        <v>111</v>
      </c>
      <c r="R29" s="1382" t="s">
        <v>8</v>
      </c>
      <c r="S29" s="1383">
        <f t="shared" si="12"/>
        <v>100</v>
      </c>
      <c r="T29" s="1382" t="s">
        <v>8</v>
      </c>
      <c r="U29" s="1383">
        <f t="shared" si="13"/>
        <v>100</v>
      </c>
      <c r="V29" s="1382" t="s">
        <v>8</v>
      </c>
      <c r="W29" s="1383">
        <f t="shared" si="14"/>
        <v>100</v>
      </c>
      <c r="X29" s="1377"/>
      <c r="Y29" s="3417"/>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17"/>
      <c r="Q30" s="1381">
        <f t="shared" si="11"/>
        <v>111</v>
      </c>
      <c r="R30" s="1382" t="s">
        <v>8</v>
      </c>
      <c r="S30" s="1383">
        <f t="shared" si="12"/>
        <v>100</v>
      </c>
      <c r="T30" s="1382" t="s">
        <v>8</v>
      </c>
      <c r="U30" s="1383">
        <f t="shared" si="13"/>
        <v>100</v>
      </c>
      <c r="V30" s="1382" t="s">
        <v>8</v>
      </c>
      <c r="W30" s="1383">
        <f t="shared" si="14"/>
        <v>100</v>
      </c>
      <c r="X30" s="1377"/>
      <c r="Y30" s="3417"/>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17"/>
      <c r="Q31" s="1381">
        <f t="shared" si="11"/>
        <v>111</v>
      </c>
      <c r="R31" s="1382" t="s">
        <v>8</v>
      </c>
      <c r="S31" s="1383">
        <f t="shared" si="12"/>
        <v>100</v>
      </c>
      <c r="T31" s="1382" t="s">
        <v>8</v>
      </c>
      <c r="U31" s="1383">
        <f t="shared" si="13"/>
        <v>100</v>
      </c>
      <c r="V31" s="1382" t="s">
        <v>8</v>
      </c>
      <c r="W31" s="1383">
        <f t="shared" si="14"/>
        <v>100</v>
      </c>
      <c r="X31" s="1377"/>
      <c r="Y31" s="3417"/>
      <c r="Z31" s="1384">
        <f t="shared" si="15"/>
        <v>111</v>
      </c>
      <c r="AA31" s="1384">
        <f t="shared" si="3"/>
        <v>1</v>
      </c>
      <c r="AB31" s="1384">
        <f t="shared" si="4"/>
        <v>1</v>
      </c>
      <c r="AC31" s="1384">
        <f t="shared" si="5"/>
        <v>1</v>
      </c>
    </row>
    <row r="32" spans="1:29" ht="15">
      <c r="A32" s="2357" t="s">
        <v>2470</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18" t="s">
        <v>533</v>
      </c>
      <c r="Q32" s="1381" t="str">
        <f t="shared" si="11"/>
        <v>商业类型</v>
      </c>
      <c r="R32" s="1382" t="s">
        <v>8</v>
      </c>
      <c r="S32" s="1383">
        <f t="shared" si="12"/>
        <v>100</v>
      </c>
      <c r="T32" s="1382" t="s">
        <v>8</v>
      </c>
      <c r="U32" s="1383">
        <f t="shared" si="13"/>
        <v>100</v>
      </c>
      <c r="V32" s="1382" t="s">
        <v>8</v>
      </c>
      <c r="W32" s="1383">
        <f t="shared" si="14"/>
        <v>100</v>
      </c>
      <c r="X32" s="1377"/>
      <c r="Y32" s="3419"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19"/>
      <c r="Q33" s="825" t="str">
        <f t="shared" si="11"/>
        <v>项目建筑规模</v>
      </c>
      <c r="R33" s="1385" t="s">
        <v>8</v>
      </c>
      <c r="S33" s="1386" t="e">
        <f t="shared" si="12"/>
        <v>#N/A</v>
      </c>
      <c r="T33" s="1385" t="s">
        <v>8</v>
      </c>
      <c r="U33" s="1386" t="e">
        <f t="shared" si="13"/>
        <v>#N/A</v>
      </c>
      <c r="V33" s="1385" t="s">
        <v>8</v>
      </c>
      <c r="W33" s="1386" t="e">
        <f t="shared" si="14"/>
        <v>#N/A</v>
      </c>
      <c r="X33" s="1387"/>
      <c r="Y33" s="3419"/>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19"/>
      <c r="Q34" s="1381" t="str">
        <f t="shared" si="11"/>
        <v>建筑结构</v>
      </c>
      <c r="R34" s="1382" t="s">
        <v>8</v>
      </c>
      <c r="S34" s="1383">
        <f t="shared" si="12"/>
        <v>100</v>
      </c>
      <c r="T34" s="1382" t="s">
        <v>8</v>
      </c>
      <c r="U34" s="1383">
        <f t="shared" si="13"/>
        <v>100</v>
      </c>
      <c r="V34" s="1382" t="s">
        <v>8</v>
      </c>
      <c r="W34" s="1383">
        <f t="shared" si="14"/>
        <v>100</v>
      </c>
      <c r="X34" s="1377"/>
      <c r="Y34" s="3419"/>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19"/>
      <c r="Q35" s="1381" t="str">
        <f t="shared" si="11"/>
        <v>公共部分装修</v>
      </c>
      <c r="R35" s="1382" t="s">
        <v>8</v>
      </c>
      <c r="S35" s="1383">
        <f t="shared" si="12"/>
        <v>100</v>
      </c>
      <c r="T35" s="1382" t="s">
        <v>8</v>
      </c>
      <c r="U35" s="1383">
        <f t="shared" si="13"/>
        <v>100</v>
      </c>
      <c r="V35" s="1382" t="s">
        <v>8</v>
      </c>
      <c r="W35" s="1383">
        <f t="shared" si="14"/>
        <v>100</v>
      </c>
      <c r="X35" s="1377"/>
      <c r="Y35" s="3419"/>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19"/>
      <c r="Q36" s="1381" t="str">
        <f t="shared" si="11"/>
        <v>成新度</v>
      </c>
      <c r="R36" s="1382" t="s">
        <v>8</v>
      </c>
      <c r="S36" s="1383" t="e">
        <f t="shared" si="12"/>
        <v>#N/A</v>
      </c>
      <c r="T36" s="1382" t="s">
        <v>8</v>
      </c>
      <c r="U36" s="1383" t="e">
        <f t="shared" si="13"/>
        <v>#N/A</v>
      </c>
      <c r="V36" s="1382" t="s">
        <v>8</v>
      </c>
      <c r="W36" s="1383" t="e">
        <f t="shared" si="14"/>
        <v>#N/A</v>
      </c>
      <c r="X36" s="1377"/>
      <c r="Y36" s="3419"/>
      <c r="Z36" s="1384" t="str">
        <f t="shared" si="15"/>
        <v>成新度</v>
      </c>
      <c r="AA36" s="1384" t="e">
        <f t="shared" si="3"/>
        <v>#N/A</v>
      </c>
      <c r="AB36" s="1384" t="e">
        <f t="shared" si="4"/>
        <v>#N/A</v>
      </c>
      <c r="AC36" s="1384" t="e">
        <f t="shared" si="5"/>
        <v>#N/A</v>
      </c>
    </row>
    <row r="37" spans="1:29" s="1106" customFormat="1" ht="15">
      <c r="A37" s="554"/>
      <c r="B37" s="1666" t="s">
        <v>2282</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19"/>
      <c r="Q37" s="824" t="str">
        <f t="shared" si="11"/>
        <v>市政基础设施</v>
      </c>
      <c r="R37" s="1378" t="s">
        <v>8</v>
      </c>
      <c r="S37" s="1379">
        <f t="shared" si="12"/>
        <v>100</v>
      </c>
      <c r="T37" s="1378" t="s">
        <v>8</v>
      </c>
      <c r="U37" s="1379">
        <f t="shared" si="13"/>
        <v>100</v>
      </c>
      <c r="V37" s="1378" t="s">
        <v>8</v>
      </c>
      <c r="W37" s="1379">
        <f t="shared" si="14"/>
        <v>100</v>
      </c>
      <c r="X37" s="1380"/>
      <c r="Y37" s="3419"/>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19" t="s">
        <v>748</v>
      </c>
      <c r="Q38" s="1381" t="str">
        <f t="shared" si="11"/>
        <v>业态</v>
      </c>
      <c r="R38" s="1382" t="s">
        <v>8</v>
      </c>
      <c r="S38" s="1383">
        <f t="shared" si="12"/>
        <v>100</v>
      </c>
      <c r="T38" s="1382" t="s">
        <v>8</v>
      </c>
      <c r="U38" s="1383">
        <f t="shared" si="13"/>
        <v>100</v>
      </c>
      <c r="V38" s="1382" t="s">
        <v>8</v>
      </c>
      <c r="W38" s="1383">
        <f t="shared" si="14"/>
        <v>100</v>
      </c>
      <c r="X38" s="1377"/>
      <c r="Y38" s="3419"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19"/>
      <c r="Q39" s="1381" t="str">
        <f t="shared" si="11"/>
        <v>层高</v>
      </c>
      <c r="R39" s="1382" t="s">
        <v>8</v>
      </c>
      <c r="S39" s="1383">
        <f t="shared" si="12"/>
        <v>100</v>
      </c>
      <c r="T39" s="1382" t="s">
        <v>8</v>
      </c>
      <c r="U39" s="1383">
        <f t="shared" si="13"/>
        <v>100</v>
      </c>
      <c r="V39" s="1382" t="s">
        <v>8</v>
      </c>
      <c r="W39" s="1383">
        <f t="shared" si="14"/>
        <v>100</v>
      </c>
      <c r="X39" s="1377"/>
      <c r="Y39" s="3419"/>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19"/>
      <c r="Q40" s="1381" t="str">
        <f t="shared" si="11"/>
        <v>单套建筑面积</v>
      </c>
      <c r="R40" s="1382" t="s">
        <v>8</v>
      </c>
      <c r="S40" s="1383">
        <f t="shared" si="12"/>
        <v>100</v>
      </c>
      <c r="T40" s="1382" t="s">
        <v>8</v>
      </c>
      <c r="U40" s="1383">
        <f t="shared" si="13"/>
        <v>100</v>
      </c>
      <c r="V40" s="1382" t="s">
        <v>8</v>
      </c>
      <c r="W40" s="1383">
        <f t="shared" si="14"/>
        <v>100</v>
      </c>
      <c r="X40" s="1377"/>
      <c r="Y40" s="3419"/>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19"/>
      <c r="Q41" s="825" t="str">
        <f t="shared" si="11"/>
        <v>进深比</v>
      </c>
      <c r="R41" s="1385" t="s">
        <v>8</v>
      </c>
      <c r="S41" s="1386">
        <f t="shared" si="12"/>
        <v>100</v>
      </c>
      <c r="T41" s="1385" t="s">
        <v>8</v>
      </c>
      <c r="U41" s="1386">
        <f t="shared" si="13"/>
        <v>100</v>
      </c>
      <c r="V41" s="1385" t="s">
        <v>8</v>
      </c>
      <c r="W41" s="1386">
        <f t="shared" si="14"/>
        <v>100</v>
      </c>
      <c r="X41" s="1387"/>
      <c r="Y41" s="3419"/>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19"/>
      <c r="Q42" s="1381" t="str">
        <f t="shared" si="11"/>
        <v>内部装修</v>
      </c>
      <c r="R42" s="1382" t="s">
        <v>8</v>
      </c>
      <c r="S42" s="1383">
        <f t="shared" si="12"/>
        <v>100</v>
      </c>
      <c r="T42" s="1382" t="s">
        <v>8</v>
      </c>
      <c r="U42" s="1383">
        <f t="shared" si="13"/>
        <v>100</v>
      </c>
      <c r="V42" s="1382" t="s">
        <v>8</v>
      </c>
      <c r="W42" s="1383">
        <f t="shared" si="14"/>
        <v>100</v>
      </c>
      <c r="X42" s="1377"/>
      <c r="Y42" s="3419"/>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19"/>
      <c r="Q43" s="1381" t="str">
        <f t="shared" si="11"/>
        <v>内部装修维护情况</v>
      </c>
      <c r="R43" s="1382" t="s">
        <v>8</v>
      </c>
      <c r="S43" s="1383">
        <f t="shared" si="12"/>
        <v>100</v>
      </c>
      <c r="T43" s="1382" t="s">
        <v>8</v>
      </c>
      <c r="U43" s="1383">
        <f t="shared" si="13"/>
        <v>100</v>
      </c>
      <c r="V43" s="1382" t="s">
        <v>8</v>
      </c>
      <c r="W43" s="1383">
        <f t="shared" si="14"/>
        <v>100</v>
      </c>
      <c r="X43" s="1377"/>
      <c r="Y43" s="3419"/>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19"/>
      <c r="Q44" s="824">
        <f t="shared" si="11"/>
        <v>111</v>
      </c>
      <c r="R44" s="1378" t="s">
        <v>8</v>
      </c>
      <c r="S44" s="1379">
        <f t="shared" si="12"/>
        <v>100</v>
      </c>
      <c r="T44" s="1378" t="s">
        <v>8</v>
      </c>
      <c r="U44" s="1379">
        <f t="shared" si="13"/>
        <v>100</v>
      </c>
      <c r="V44" s="1378" t="s">
        <v>8</v>
      </c>
      <c r="W44" s="1379">
        <f t="shared" si="14"/>
        <v>100</v>
      </c>
      <c r="X44" s="1380"/>
      <c r="Y44" s="3419"/>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19"/>
      <c r="Q45" s="1381">
        <f t="shared" si="11"/>
        <v>111</v>
      </c>
      <c r="R45" s="1382" t="s">
        <v>8</v>
      </c>
      <c r="S45" s="1383">
        <f t="shared" si="12"/>
        <v>100</v>
      </c>
      <c r="T45" s="1382" t="s">
        <v>8</v>
      </c>
      <c r="U45" s="1383">
        <f t="shared" si="13"/>
        <v>100</v>
      </c>
      <c r="V45" s="1382" t="s">
        <v>8</v>
      </c>
      <c r="W45" s="1383">
        <f t="shared" si="14"/>
        <v>100</v>
      </c>
      <c r="X45" s="1377"/>
      <c r="Y45" s="3419"/>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15"/>
      <c r="Q46" s="1381">
        <f t="shared" si="11"/>
        <v>111</v>
      </c>
      <c r="R46" s="1382" t="s">
        <v>8</v>
      </c>
      <c r="S46" s="1383">
        <f t="shared" si="12"/>
        <v>100</v>
      </c>
      <c r="T46" s="1382" t="s">
        <v>8</v>
      </c>
      <c r="U46" s="1383">
        <f t="shared" si="13"/>
        <v>100</v>
      </c>
      <c r="V46" s="1382" t="s">
        <v>8</v>
      </c>
      <c r="W46" s="1383">
        <f t="shared" si="14"/>
        <v>100</v>
      </c>
      <c r="X46" s="1377"/>
      <c r="Y46" s="3515"/>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414" t="str">
        <f>A47</f>
        <v>成交单价（元/平方米）</v>
      </c>
      <c r="Q47" s="3414"/>
      <c r="R47" s="3430">
        <f>E47</f>
        <v>0</v>
      </c>
      <c r="S47" s="3430"/>
      <c r="T47" s="3430">
        <f>G47</f>
        <v>0</v>
      </c>
      <c r="U47" s="3430"/>
      <c r="V47" s="3430">
        <f>I47</f>
        <v>0</v>
      </c>
      <c r="W47" s="3430"/>
      <c r="X47" s="806"/>
      <c r="Y47" s="1389"/>
      <c r="Z47" s="806"/>
      <c r="AA47" s="806"/>
      <c r="AB47" s="806"/>
      <c r="AC47" s="806"/>
    </row>
    <row r="48" spans="1:29" ht="15.75" thickBot="1">
      <c r="A48" s="569" t="s">
        <v>2475</v>
      </c>
      <c r="B48" s="819"/>
      <c r="C48" s="2235" t="e">
        <f>R49</f>
        <v>#DIV/0!</v>
      </c>
      <c r="D48" s="2709" t="s">
        <v>2698</v>
      </c>
      <c r="E48" s="2236" t="e">
        <f>R48</f>
        <v>#DIV/0!</v>
      </c>
      <c r="F48" s="2710"/>
      <c r="G48" s="2235" t="e">
        <f>T48</f>
        <v>#DIV/0!</v>
      </c>
      <c r="H48" s="2710"/>
      <c r="I48" s="2236" t="e">
        <f>V48</f>
        <v>#DIV/0!</v>
      </c>
      <c r="J48" s="2710"/>
      <c r="K48" s="2717">
        <f>F48+H48+J48</f>
        <v>0</v>
      </c>
      <c r="L48" s="1863"/>
      <c r="M48" s="1854"/>
      <c r="N48" s="1854"/>
      <c r="O48" s="1854"/>
      <c r="P48" s="3414" t="str">
        <f>A48</f>
        <v>比较价格（元/平方米）</v>
      </c>
      <c r="Q48" s="3414"/>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806"/>
      <c r="Y48" s="806"/>
      <c r="Z48" s="806"/>
      <c r="AA48" s="806"/>
      <c r="AB48" s="806"/>
      <c r="AC48" s="806"/>
    </row>
    <row r="49" spans="1:29" ht="15.75" thickBot="1">
      <c r="A49" s="573" t="s">
        <v>2633</v>
      </c>
      <c r="B49" s="574"/>
      <c r="C49" s="474" t="e">
        <f>R49</f>
        <v>#DIV/0!</v>
      </c>
      <c r="D49" s="474"/>
      <c r="E49" s="474"/>
      <c r="F49" s="474"/>
      <c r="G49" s="474"/>
      <c r="H49" s="474"/>
      <c r="I49" s="474"/>
      <c r="J49" s="474"/>
      <c r="K49" s="1411"/>
      <c r="L49" s="1863"/>
      <c r="M49" s="1854"/>
      <c r="N49" s="1854"/>
      <c r="O49" s="1854"/>
      <c r="P49" s="3420" t="str">
        <f>A49</f>
        <v>估价对象XX用房的比较价格（楼面单价，元/平方米）</v>
      </c>
      <c r="Q49" s="3421"/>
      <c r="R49" s="3514" t="e">
        <f>IF(F1="售价",ROUND(IF(D48="简单平均",AVERAGE(R48:V48),R48*F48+T48*H48+V48*J48),0),ROUND(IF(D48="简单平均",AVERAGE(R48:V48),R48*F48+T48*H48+V48*J48),1))</f>
        <v>#DIV/0!</v>
      </c>
      <c r="S49" s="3514"/>
      <c r="T49" s="3514"/>
      <c r="U49" s="3514"/>
      <c r="V49" s="3514"/>
      <c r="W49" s="3514"/>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2273</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931"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422" t="s">
        <v>505</v>
      </c>
      <c r="D4" s="3423"/>
      <c r="E4" s="3448" t="s">
        <v>506</v>
      </c>
      <c r="F4" s="3449"/>
      <c r="G4" s="3422" t="s">
        <v>507</v>
      </c>
      <c r="H4" s="3423"/>
      <c r="I4" s="3422" t="s">
        <v>508</v>
      </c>
      <c r="J4" s="3423"/>
      <c r="K4" s="470" t="s">
        <v>509</v>
      </c>
      <c r="L4" s="1853"/>
      <c r="M4" s="1854"/>
      <c r="N4" s="1854"/>
      <c r="O4" s="1854"/>
      <c r="P4" s="3543" t="s">
        <v>510</v>
      </c>
      <c r="Q4" s="3425"/>
      <c r="R4" s="3408" t="s">
        <v>506</v>
      </c>
      <c r="S4" s="3409"/>
      <c r="T4" s="3408" t="s">
        <v>507</v>
      </c>
      <c r="U4" s="3409"/>
      <c r="V4" s="3430" t="s">
        <v>508</v>
      </c>
      <c r="W4" s="3430"/>
      <c r="X4" s="1377"/>
      <c r="Y4" s="3408" t="s">
        <v>510</v>
      </c>
      <c r="Z4" s="3409"/>
      <c r="AA4" s="3403" t="s">
        <v>506</v>
      </c>
      <c r="AB4" s="3403" t="s">
        <v>507</v>
      </c>
      <c r="AC4" s="3403" t="s">
        <v>508</v>
      </c>
    </row>
    <row r="5" spans="1:29" ht="15">
      <c r="A5" s="471"/>
      <c r="B5" s="472"/>
      <c r="C5" s="3433" t="s">
        <v>2627</v>
      </c>
      <c r="D5" s="3434"/>
      <c r="E5" s="3450" t="s">
        <v>2628</v>
      </c>
      <c r="F5" s="3451"/>
      <c r="G5" s="3433" t="s">
        <v>2629</v>
      </c>
      <c r="H5" s="3434"/>
      <c r="I5" s="3433" t="s">
        <v>2630</v>
      </c>
      <c r="J5" s="3434"/>
      <c r="K5" s="470"/>
      <c r="L5" s="1853"/>
      <c r="M5" s="1854"/>
      <c r="N5" s="1854"/>
      <c r="O5" s="1854"/>
      <c r="P5" s="3544"/>
      <c r="Q5" s="3427"/>
      <c r="R5" s="3410"/>
      <c r="S5" s="3411"/>
      <c r="T5" s="3410"/>
      <c r="U5" s="3411"/>
      <c r="V5" s="3430"/>
      <c r="W5" s="3430"/>
      <c r="X5" s="1377"/>
      <c r="Y5" s="3410"/>
      <c r="Z5" s="3411"/>
      <c r="AA5" s="3404"/>
      <c r="AB5" s="3404"/>
      <c r="AC5" s="3404"/>
    </row>
    <row r="6" spans="1:29" ht="15.75" thickBot="1">
      <c r="A6" s="473"/>
      <c r="B6" s="474"/>
      <c r="C6" s="3431" t="s">
        <v>2631</v>
      </c>
      <c r="D6" s="3432"/>
      <c r="E6" s="3452" t="s">
        <v>2631</v>
      </c>
      <c r="F6" s="3453"/>
      <c r="G6" s="3431" t="s">
        <v>2631</v>
      </c>
      <c r="H6" s="3432"/>
      <c r="I6" s="3431" t="s">
        <v>2631</v>
      </c>
      <c r="J6" s="3432"/>
      <c r="K6" s="470" t="s">
        <v>511</v>
      </c>
      <c r="L6" s="1853"/>
      <c r="M6" s="1854"/>
      <c r="N6" s="1854"/>
      <c r="O6" s="1854"/>
      <c r="P6" s="3545"/>
      <c r="Q6" s="3429"/>
      <c r="R6" s="3410"/>
      <c r="S6" s="3411"/>
      <c r="T6" s="3412"/>
      <c r="U6" s="3413"/>
      <c r="V6" s="3430"/>
      <c r="W6" s="3430"/>
      <c r="X6" s="1377"/>
      <c r="Y6" s="3412"/>
      <c r="Z6" s="3413"/>
      <c r="AA6" s="3405"/>
      <c r="AB6" s="3405"/>
      <c r="AC6" s="3405"/>
    </row>
    <row r="7" spans="1:29" s="1106" customFormat="1" ht="15.75" thickBot="1">
      <c r="A7" s="2362"/>
      <c r="B7" s="2369" t="s">
        <v>512</v>
      </c>
      <c r="C7" s="475">
        <f>'数据-取费表'!B2</f>
        <v>44895</v>
      </c>
      <c r="D7" s="476">
        <v>100</v>
      </c>
      <c r="E7" s="477"/>
      <c r="F7" s="478">
        <f>SUMIF(59:59,YEAR(E7)&amp;"-"&amp;MONTH(E7),60:60)</f>
        <v>0</v>
      </c>
      <c r="G7" s="477"/>
      <c r="H7" s="476">
        <f>SUMIF(59:59,YEAR(G7)&amp;"-"&amp;MONTH(G7),60:60)</f>
        <v>0</v>
      </c>
      <c r="I7" s="477"/>
      <c r="J7" s="476">
        <f>SUMIF(59:59,YEAR(I7)&amp;"-"&amp;MONTH(I7),60:60)</f>
        <v>0</v>
      </c>
      <c r="K7" s="92"/>
      <c r="L7" s="1855"/>
      <c r="M7" s="1752"/>
      <c r="N7" s="1752"/>
      <c r="O7" s="1752"/>
      <c r="P7" s="3415" t="s">
        <v>513</v>
      </c>
      <c r="Q7" s="3415"/>
      <c r="R7" s="1378" t="s">
        <v>8</v>
      </c>
      <c r="S7" s="1379">
        <f t="shared" ref="S7:S15" si="0">F7</f>
        <v>0</v>
      </c>
      <c r="T7" s="1378" t="s">
        <v>8</v>
      </c>
      <c r="U7" s="1379">
        <f t="shared" ref="U7:U15" si="1">H7</f>
        <v>0</v>
      </c>
      <c r="V7" s="1378" t="s">
        <v>8</v>
      </c>
      <c r="W7" s="1379">
        <f t="shared" ref="W7:W15" si="2">J7</f>
        <v>0</v>
      </c>
      <c r="X7" s="1380"/>
      <c r="Y7" s="3406" t="s">
        <v>513</v>
      </c>
      <c r="Z7" s="3407"/>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15" t="s">
        <v>516</v>
      </c>
      <c r="Q8" s="3407"/>
      <c r="R8" s="1378" t="s">
        <v>8</v>
      </c>
      <c r="S8" s="1379">
        <f t="shared" si="0"/>
        <v>0</v>
      </c>
      <c r="T8" s="1378" t="s">
        <v>8</v>
      </c>
      <c r="U8" s="1379">
        <f t="shared" si="1"/>
        <v>0</v>
      </c>
      <c r="V8" s="1378" t="s">
        <v>8</v>
      </c>
      <c r="W8" s="1379">
        <f t="shared" si="2"/>
        <v>0</v>
      </c>
      <c r="X8" s="1380"/>
      <c r="Y8" s="3406" t="s">
        <v>516</v>
      </c>
      <c r="Z8" s="3407"/>
      <c r="AA8" s="1042" t="e">
        <f t="shared" ref="AA8:AA47" si="3">D8/F8</f>
        <v>#DIV/0!</v>
      </c>
      <c r="AB8" s="1042" t="e">
        <f t="shared" ref="AB8:AB47" si="4">D8/H8</f>
        <v>#DIV/0!</v>
      </c>
      <c r="AC8" s="1042" t="e">
        <f t="shared" ref="AC8:AC47" si="5">D8/J8</f>
        <v>#DIV/0!</v>
      </c>
    </row>
    <row r="9" spans="1:29" s="1106" customFormat="1" ht="15">
      <c r="A9" s="2364"/>
      <c r="B9" s="2371" t="s">
        <v>2471</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414" t="s">
        <v>518</v>
      </c>
      <c r="Q9" s="824" t="str">
        <f t="shared" ref="Q9:Q15" si="6">B9</f>
        <v>用途</v>
      </c>
      <c r="R9" s="1378" t="s">
        <v>8</v>
      </c>
      <c r="S9" s="1379">
        <f t="shared" si="0"/>
        <v>100</v>
      </c>
      <c r="T9" s="1378" t="s">
        <v>8</v>
      </c>
      <c r="U9" s="1379">
        <f t="shared" si="1"/>
        <v>100</v>
      </c>
      <c r="V9" s="1378" t="s">
        <v>8</v>
      </c>
      <c r="W9" s="1379">
        <f t="shared" si="2"/>
        <v>100</v>
      </c>
      <c r="X9" s="1380"/>
      <c r="Y9" s="3362"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414"/>
      <c r="Q11" s="824" t="str">
        <f t="shared" si="6"/>
        <v>容积率</v>
      </c>
      <c r="R11" s="1378" t="s">
        <v>8</v>
      </c>
      <c r="S11" s="1379" t="e">
        <f t="shared" si="0"/>
        <v>#N/A</v>
      </c>
      <c r="T11" s="1378" t="s">
        <v>8</v>
      </c>
      <c r="U11" s="1379" t="e">
        <f t="shared" si="1"/>
        <v>#N/A</v>
      </c>
      <c r="V11" s="1378" t="s">
        <v>8</v>
      </c>
      <c r="W11" s="1379" t="e">
        <f t="shared" si="2"/>
        <v>#N/A</v>
      </c>
      <c r="X11" s="1380"/>
      <c r="Y11" s="336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414"/>
      <c r="Q12" s="824">
        <f t="shared" si="6"/>
        <v>111</v>
      </c>
      <c r="R12" s="1378" t="s">
        <v>8</v>
      </c>
      <c r="S12" s="1379">
        <f t="shared" si="0"/>
        <v>100</v>
      </c>
      <c r="T12" s="1378" t="s">
        <v>8</v>
      </c>
      <c r="U12" s="1379">
        <f t="shared" si="1"/>
        <v>100</v>
      </c>
      <c r="V12" s="1378" t="s">
        <v>8</v>
      </c>
      <c r="W12" s="1379">
        <f t="shared" si="2"/>
        <v>100</v>
      </c>
      <c r="X12" s="1380"/>
      <c r="Y12" s="3362"/>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414"/>
      <c r="Q13" s="824">
        <f t="shared" si="6"/>
        <v>111</v>
      </c>
      <c r="R13" s="1378" t="s">
        <v>8</v>
      </c>
      <c r="S13" s="1379">
        <f t="shared" si="0"/>
        <v>100</v>
      </c>
      <c r="T13" s="1378" t="s">
        <v>8</v>
      </c>
      <c r="U13" s="1379">
        <f t="shared" si="1"/>
        <v>100</v>
      </c>
      <c r="V13" s="1378" t="s">
        <v>8</v>
      </c>
      <c r="W13" s="1379">
        <f t="shared" si="2"/>
        <v>100</v>
      </c>
      <c r="X13" s="1380"/>
      <c r="Y13" s="3362"/>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414"/>
      <c r="Q14" s="824">
        <f t="shared" si="6"/>
        <v>111</v>
      </c>
      <c r="R14" s="1378" t="s">
        <v>8</v>
      </c>
      <c r="S14" s="1379">
        <f t="shared" si="0"/>
        <v>100</v>
      </c>
      <c r="T14" s="1378" t="s">
        <v>8</v>
      </c>
      <c r="U14" s="1379">
        <f t="shared" si="1"/>
        <v>100</v>
      </c>
      <c r="V14" s="1378" t="s">
        <v>8</v>
      </c>
      <c r="W14" s="1379">
        <f t="shared" si="2"/>
        <v>100</v>
      </c>
      <c r="X14" s="1380"/>
      <c r="Y14" s="3362"/>
      <c r="Z14" s="1042">
        <f t="shared" si="7"/>
        <v>111</v>
      </c>
      <c r="AA14" s="1042">
        <f t="shared" si="3"/>
        <v>1</v>
      </c>
      <c r="AB14" s="1042">
        <f t="shared" si="4"/>
        <v>1</v>
      </c>
      <c r="AC14" s="1042">
        <f t="shared" si="5"/>
        <v>1</v>
      </c>
    </row>
    <row r="15" spans="1:29" ht="71.25">
      <c r="A15" s="2360" t="s">
        <v>2469</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16" t="s">
        <v>523</v>
      </c>
      <c r="Q15" s="1381" t="str">
        <f t="shared" si="6"/>
        <v>办公集聚程度</v>
      </c>
      <c r="R15" s="1382" t="s">
        <v>8</v>
      </c>
      <c r="S15" s="1383">
        <f t="shared" si="0"/>
        <v>100</v>
      </c>
      <c r="T15" s="1382" t="s">
        <v>8</v>
      </c>
      <c r="U15" s="1383">
        <f t="shared" si="1"/>
        <v>100</v>
      </c>
      <c r="V15" s="1382" t="s">
        <v>8</v>
      </c>
      <c r="W15" s="1383">
        <f t="shared" si="2"/>
        <v>100</v>
      </c>
      <c r="X15" s="1377"/>
      <c r="Y15" s="3416"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17"/>
      <c r="Q16" s="1381"/>
      <c r="R16" s="1382"/>
      <c r="S16" s="1383"/>
      <c r="T16" s="1382"/>
      <c r="U16" s="1383"/>
      <c r="V16" s="1382"/>
      <c r="W16" s="1383"/>
      <c r="X16" s="1377"/>
      <c r="Y16" s="3417"/>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17"/>
      <c r="Q17" s="1381" t="str">
        <f>B17</f>
        <v>交通便捷度</v>
      </c>
      <c r="R17" s="1382" t="s">
        <v>8</v>
      </c>
      <c r="S17" s="1383">
        <f>F17</f>
        <v>100</v>
      </c>
      <c r="T17" s="1382" t="s">
        <v>8</v>
      </c>
      <c r="U17" s="1383">
        <f>H17</f>
        <v>100</v>
      </c>
      <c r="V17" s="1382" t="s">
        <v>8</v>
      </c>
      <c r="W17" s="1383">
        <f>J17</f>
        <v>100</v>
      </c>
      <c r="X17" s="1377"/>
      <c r="Y17" s="3417"/>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17"/>
      <c r="Q18" s="1381"/>
      <c r="R18" s="1382"/>
      <c r="S18" s="1383"/>
      <c r="T18" s="1382"/>
      <c r="U18" s="1383"/>
      <c r="V18" s="1382"/>
      <c r="W18" s="1383"/>
      <c r="X18" s="1377"/>
      <c r="Y18" s="3417"/>
      <c r="Z18" s="1384"/>
      <c r="AA18" s="1384">
        <v>1</v>
      </c>
      <c r="AB18" s="1384">
        <v>1</v>
      </c>
      <c r="AC18" s="1384">
        <v>1</v>
      </c>
    </row>
    <row r="19" spans="1:29" ht="42.75">
      <c r="A19" s="487"/>
      <c r="B19" s="2215" t="s">
        <v>2263</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17"/>
      <c r="Q19" s="1381" t="str">
        <f>B19</f>
        <v>公共配套设施</v>
      </c>
      <c r="R19" s="1382" t="s">
        <v>8</v>
      </c>
      <c r="S19" s="1383">
        <f>F19</f>
        <v>100</v>
      </c>
      <c r="T19" s="1382" t="s">
        <v>8</v>
      </c>
      <c r="U19" s="1383">
        <f>H19</f>
        <v>100</v>
      </c>
      <c r="V19" s="1382" t="s">
        <v>8</v>
      </c>
      <c r="W19" s="1383">
        <f>J19</f>
        <v>100</v>
      </c>
      <c r="X19" s="1377"/>
      <c r="Y19" s="3417"/>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17"/>
      <c r="Q20" s="1381"/>
      <c r="R20" s="1382"/>
      <c r="S20" s="1383"/>
      <c r="T20" s="1382"/>
      <c r="U20" s="1383"/>
      <c r="V20" s="1382"/>
      <c r="W20" s="1383"/>
      <c r="X20" s="1377"/>
      <c r="Y20" s="3417"/>
      <c r="Z20" s="1384"/>
      <c r="AA20" s="1384">
        <v>1</v>
      </c>
      <c r="AB20" s="1384">
        <v>1</v>
      </c>
      <c r="AC20" s="1384">
        <v>1</v>
      </c>
    </row>
    <row r="21" spans="1:29" ht="28.5">
      <c r="A21" s="487"/>
      <c r="B21" s="2203" t="s">
        <v>2275</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17"/>
      <c r="Q21" s="1381" t="str">
        <f>B21</f>
        <v>基础设施水平</v>
      </c>
      <c r="R21" s="1382" t="s">
        <v>8</v>
      </c>
      <c r="S21" s="1383">
        <f>F21</f>
        <v>100</v>
      </c>
      <c r="T21" s="1382" t="s">
        <v>8</v>
      </c>
      <c r="U21" s="1383">
        <f>H21</f>
        <v>100</v>
      </c>
      <c r="V21" s="1382" t="s">
        <v>8</v>
      </c>
      <c r="W21" s="1383">
        <f>J21</f>
        <v>100</v>
      </c>
      <c r="X21" s="1377"/>
      <c r="Y21" s="3417"/>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17"/>
      <c r="Q22" s="1381"/>
      <c r="R22" s="1382"/>
      <c r="S22" s="1383"/>
      <c r="T22" s="1382"/>
      <c r="U22" s="1383"/>
      <c r="V22" s="1382"/>
      <c r="W22" s="1383"/>
      <c r="X22" s="1377"/>
      <c r="Y22" s="3417"/>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17"/>
      <c r="Q23" s="1381" t="str">
        <f>B23</f>
        <v>环境质量</v>
      </c>
      <c r="R23" s="1382" t="s">
        <v>8</v>
      </c>
      <c r="S23" s="1383">
        <f>F23</f>
        <v>100</v>
      </c>
      <c r="T23" s="1382" t="s">
        <v>8</v>
      </c>
      <c r="U23" s="1383">
        <f>H23</f>
        <v>100</v>
      </c>
      <c r="V23" s="1382" t="s">
        <v>8</v>
      </c>
      <c r="W23" s="1383">
        <f>J23</f>
        <v>100</v>
      </c>
      <c r="X23" s="1377"/>
      <c r="Y23" s="3417"/>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17"/>
      <c r="Q24" s="1381"/>
      <c r="R24" s="1382"/>
      <c r="S24" s="1383"/>
      <c r="T24" s="1382"/>
      <c r="U24" s="1383"/>
      <c r="V24" s="1382"/>
      <c r="W24" s="1383"/>
      <c r="X24" s="1377"/>
      <c r="Y24" s="3417"/>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17"/>
      <c r="Q25" s="1381" t="str">
        <f>B25</f>
        <v>毗邻道路的类型与等级</v>
      </c>
      <c r="R25" s="1382" t="s">
        <v>8</v>
      </c>
      <c r="S25" s="1383">
        <f>F25</f>
        <v>100</v>
      </c>
      <c r="T25" s="1382" t="s">
        <v>8</v>
      </c>
      <c r="U25" s="1383">
        <f>H25</f>
        <v>100</v>
      </c>
      <c r="V25" s="1382" t="s">
        <v>8</v>
      </c>
      <c r="W25" s="1383">
        <f>J25</f>
        <v>100</v>
      </c>
      <c r="X25" s="1377"/>
      <c r="Y25" s="3417"/>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17"/>
      <c r="Q26" s="1381"/>
      <c r="R26" s="1382"/>
      <c r="S26" s="1383"/>
      <c r="T26" s="1382"/>
      <c r="U26" s="1383"/>
      <c r="V26" s="1382"/>
      <c r="W26" s="1383"/>
      <c r="X26" s="1377"/>
      <c r="Y26" s="3417"/>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17"/>
      <c r="Q27" s="1381" t="str">
        <f t="shared" ref="Q27:Q47" si="11">B27</f>
        <v>楼层</v>
      </c>
      <c r="R27" s="1382" t="s">
        <v>8</v>
      </c>
      <c r="S27" s="1383">
        <f>F27</f>
        <v>100</v>
      </c>
      <c r="T27" s="1382" t="s">
        <v>8</v>
      </c>
      <c r="U27" s="1383">
        <f>H27</f>
        <v>100</v>
      </c>
      <c r="V27" s="1382" t="s">
        <v>8</v>
      </c>
      <c r="W27" s="1383">
        <f>J27</f>
        <v>100</v>
      </c>
      <c r="X27" s="1377"/>
      <c r="Y27" s="3417"/>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17"/>
      <c r="Q28" s="824" t="str">
        <f t="shared" si="11"/>
        <v>朝向</v>
      </c>
      <c r="R28" s="1378" t="s">
        <v>8</v>
      </c>
      <c r="S28" s="1379">
        <f>F28</f>
        <v>100</v>
      </c>
      <c r="T28" s="1378" t="s">
        <v>8</v>
      </c>
      <c r="U28" s="1379">
        <f>H28</f>
        <v>100</v>
      </c>
      <c r="V28" s="1378" t="s">
        <v>8</v>
      </c>
      <c r="W28" s="1379">
        <f>J28</f>
        <v>100</v>
      </c>
      <c r="X28" s="1380"/>
      <c r="Y28" s="3417"/>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17"/>
      <c r="Q29" s="1381">
        <f t="shared" si="11"/>
        <v>111</v>
      </c>
      <c r="R29" s="1382" t="s">
        <v>8</v>
      </c>
      <c r="S29" s="1383">
        <f t="shared" ref="S29:S47" si="12">F29</f>
        <v>100</v>
      </c>
      <c r="T29" s="1382" t="s">
        <v>8</v>
      </c>
      <c r="U29" s="1383">
        <f t="shared" ref="U29:U47" si="13">H29</f>
        <v>100</v>
      </c>
      <c r="V29" s="1382" t="s">
        <v>8</v>
      </c>
      <c r="W29" s="1383">
        <f t="shared" ref="W29:W47" si="14">J29</f>
        <v>100</v>
      </c>
      <c r="X29" s="1377"/>
      <c r="Y29" s="3417"/>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17"/>
      <c r="Q30" s="1381">
        <f t="shared" si="11"/>
        <v>111</v>
      </c>
      <c r="R30" s="1382" t="s">
        <v>8</v>
      </c>
      <c r="S30" s="1383">
        <f t="shared" si="12"/>
        <v>100</v>
      </c>
      <c r="T30" s="1382" t="s">
        <v>8</v>
      </c>
      <c r="U30" s="1383">
        <f t="shared" si="13"/>
        <v>100</v>
      </c>
      <c r="V30" s="1382" t="s">
        <v>8</v>
      </c>
      <c r="W30" s="1383">
        <f t="shared" si="14"/>
        <v>100</v>
      </c>
      <c r="X30" s="1377"/>
      <c r="Y30" s="3417"/>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17"/>
      <c r="Q31" s="1381">
        <f t="shared" si="11"/>
        <v>111</v>
      </c>
      <c r="R31" s="1382" t="s">
        <v>8</v>
      </c>
      <c r="S31" s="1383">
        <f t="shared" si="12"/>
        <v>100</v>
      </c>
      <c r="T31" s="1382" t="s">
        <v>8</v>
      </c>
      <c r="U31" s="1383">
        <f t="shared" si="13"/>
        <v>100</v>
      </c>
      <c r="V31" s="1382" t="s">
        <v>8</v>
      </c>
      <c r="W31" s="1383">
        <f t="shared" si="14"/>
        <v>100</v>
      </c>
      <c r="X31" s="1377"/>
      <c r="Y31" s="3417"/>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17"/>
      <c r="Q32" s="1381">
        <f t="shared" si="11"/>
        <v>111</v>
      </c>
      <c r="R32" s="1382" t="s">
        <v>8</v>
      </c>
      <c r="S32" s="1383">
        <f t="shared" si="12"/>
        <v>100</v>
      </c>
      <c r="T32" s="1382" t="s">
        <v>8</v>
      </c>
      <c r="U32" s="1383">
        <f t="shared" si="13"/>
        <v>100</v>
      </c>
      <c r="V32" s="1382" t="s">
        <v>8</v>
      </c>
      <c r="W32" s="1383">
        <f t="shared" si="14"/>
        <v>100</v>
      </c>
      <c r="X32" s="1377"/>
      <c r="Y32" s="3417"/>
      <c r="Z32" s="1384">
        <f t="shared" si="15"/>
        <v>111</v>
      </c>
      <c r="AA32" s="1384">
        <f t="shared" si="3"/>
        <v>1</v>
      </c>
      <c r="AB32" s="1384">
        <f t="shared" si="4"/>
        <v>1</v>
      </c>
      <c r="AC32" s="1384">
        <f t="shared" si="5"/>
        <v>1</v>
      </c>
    </row>
    <row r="33" spans="1:29" ht="15">
      <c r="A33" s="2357" t="s">
        <v>2470</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18" t="s">
        <v>533</v>
      </c>
      <c r="Q33" s="1381" t="str">
        <f t="shared" si="11"/>
        <v>建筑类型</v>
      </c>
      <c r="R33" s="1382" t="s">
        <v>8</v>
      </c>
      <c r="S33" s="1383">
        <f t="shared" si="12"/>
        <v>100</v>
      </c>
      <c r="T33" s="1382" t="s">
        <v>8</v>
      </c>
      <c r="U33" s="1383">
        <f t="shared" si="13"/>
        <v>100</v>
      </c>
      <c r="V33" s="1382" t="s">
        <v>8</v>
      </c>
      <c r="W33" s="1383">
        <f t="shared" si="14"/>
        <v>100</v>
      </c>
      <c r="X33" s="1377"/>
      <c r="Y33" s="3419"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19"/>
      <c r="Q34" s="825" t="str">
        <f t="shared" si="11"/>
        <v>项目建筑规模</v>
      </c>
      <c r="R34" s="1385" t="s">
        <v>8</v>
      </c>
      <c r="S34" s="1386" t="e">
        <f t="shared" si="12"/>
        <v>#N/A</v>
      </c>
      <c r="T34" s="1385" t="s">
        <v>8</v>
      </c>
      <c r="U34" s="1386" t="e">
        <f t="shared" si="13"/>
        <v>#N/A</v>
      </c>
      <c r="V34" s="1385" t="s">
        <v>8</v>
      </c>
      <c r="W34" s="1386" t="e">
        <f t="shared" si="14"/>
        <v>#N/A</v>
      </c>
      <c r="X34" s="1387"/>
      <c r="Y34" s="3419"/>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19"/>
      <c r="Q35" s="1381" t="str">
        <f t="shared" si="11"/>
        <v>建筑结构</v>
      </c>
      <c r="R35" s="1382" t="s">
        <v>8</v>
      </c>
      <c r="S35" s="1383">
        <f t="shared" si="12"/>
        <v>100</v>
      </c>
      <c r="T35" s="1382" t="s">
        <v>8</v>
      </c>
      <c r="U35" s="1383">
        <f t="shared" si="13"/>
        <v>100</v>
      </c>
      <c r="V35" s="1382" t="s">
        <v>8</v>
      </c>
      <c r="W35" s="1383">
        <f t="shared" si="14"/>
        <v>100</v>
      </c>
      <c r="X35" s="1377"/>
      <c r="Y35" s="3419"/>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19"/>
      <c r="Q36" s="1381" t="str">
        <f t="shared" si="11"/>
        <v>公共部分装修</v>
      </c>
      <c r="R36" s="1382" t="s">
        <v>8</v>
      </c>
      <c r="S36" s="1383">
        <f t="shared" si="12"/>
        <v>100</v>
      </c>
      <c r="T36" s="1382" t="s">
        <v>8</v>
      </c>
      <c r="U36" s="1383">
        <f t="shared" si="13"/>
        <v>100</v>
      </c>
      <c r="V36" s="1382" t="s">
        <v>8</v>
      </c>
      <c r="W36" s="1383">
        <f t="shared" si="14"/>
        <v>100</v>
      </c>
      <c r="X36" s="1377"/>
      <c r="Y36" s="3419"/>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19"/>
      <c r="Q37" s="1381" t="str">
        <f t="shared" si="11"/>
        <v>成新度</v>
      </c>
      <c r="R37" s="1382" t="s">
        <v>8</v>
      </c>
      <c r="S37" s="1383" t="e">
        <f t="shared" si="12"/>
        <v>#N/A</v>
      </c>
      <c r="T37" s="1382" t="s">
        <v>8</v>
      </c>
      <c r="U37" s="1383" t="e">
        <f t="shared" si="13"/>
        <v>#N/A</v>
      </c>
      <c r="V37" s="1382" t="s">
        <v>8</v>
      </c>
      <c r="W37" s="1383" t="e">
        <f t="shared" si="14"/>
        <v>#N/A</v>
      </c>
      <c r="X37" s="1377"/>
      <c r="Y37" s="3419"/>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19"/>
      <c r="Q38" s="824" t="str">
        <f t="shared" si="11"/>
        <v>写字楼等级</v>
      </c>
      <c r="R38" s="1378" t="s">
        <v>8</v>
      </c>
      <c r="S38" s="1379">
        <f t="shared" si="12"/>
        <v>100</v>
      </c>
      <c r="T38" s="1378" t="s">
        <v>8</v>
      </c>
      <c r="U38" s="1379">
        <f t="shared" si="13"/>
        <v>100</v>
      </c>
      <c r="V38" s="1378" t="s">
        <v>8</v>
      </c>
      <c r="W38" s="1379">
        <f t="shared" si="14"/>
        <v>100</v>
      </c>
      <c r="X38" s="1380"/>
      <c r="Y38" s="3419"/>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19" t="s">
        <v>533</v>
      </c>
      <c r="Q39" s="1381" t="str">
        <f t="shared" si="11"/>
        <v>物业管理</v>
      </c>
      <c r="R39" s="1382" t="s">
        <v>8</v>
      </c>
      <c r="S39" s="1383">
        <f t="shared" si="12"/>
        <v>100</v>
      </c>
      <c r="T39" s="1382" t="s">
        <v>8</v>
      </c>
      <c r="U39" s="1383">
        <f t="shared" si="13"/>
        <v>100</v>
      </c>
      <c r="V39" s="1382" t="s">
        <v>8</v>
      </c>
      <c r="W39" s="1383">
        <f t="shared" si="14"/>
        <v>100</v>
      </c>
      <c r="X39" s="1377"/>
      <c r="Y39" s="3419" t="s">
        <v>533</v>
      </c>
      <c r="Z39" s="1384" t="str">
        <f t="shared" si="15"/>
        <v>物业管理</v>
      </c>
      <c r="AA39" s="1384">
        <f t="shared" si="3"/>
        <v>1</v>
      </c>
      <c r="AB39" s="1384">
        <f t="shared" si="4"/>
        <v>1</v>
      </c>
      <c r="AC39" s="1384">
        <f t="shared" si="5"/>
        <v>1</v>
      </c>
    </row>
    <row r="40" spans="1:29" ht="15">
      <c r="A40" s="548"/>
      <c r="B40" s="1666" t="s">
        <v>2282</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19"/>
      <c r="Q40" s="1381" t="str">
        <f t="shared" si="11"/>
        <v>市政基础设施</v>
      </c>
      <c r="R40" s="1382" t="s">
        <v>8</v>
      </c>
      <c r="S40" s="1383">
        <f t="shared" si="12"/>
        <v>100</v>
      </c>
      <c r="T40" s="1382" t="s">
        <v>8</v>
      </c>
      <c r="U40" s="1383">
        <f t="shared" si="13"/>
        <v>100</v>
      </c>
      <c r="V40" s="1382" t="s">
        <v>8</v>
      </c>
      <c r="W40" s="1383">
        <f t="shared" si="14"/>
        <v>100</v>
      </c>
      <c r="X40" s="1377"/>
      <c r="Y40" s="3419"/>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19"/>
      <c r="Q41" s="1381" t="str">
        <f t="shared" si="11"/>
        <v>层高</v>
      </c>
      <c r="R41" s="1382" t="s">
        <v>8</v>
      </c>
      <c r="S41" s="1383">
        <f t="shared" si="12"/>
        <v>100</v>
      </c>
      <c r="T41" s="1382" t="s">
        <v>8</v>
      </c>
      <c r="U41" s="1383">
        <f t="shared" si="13"/>
        <v>100</v>
      </c>
      <c r="V41" s="1382" t="s">
        <v>8</v>
      </c>
      <c r="W41" s="1383">
        <f t="shared" si="14"/>
        <v>100</v>
      </c>
      <c r="X41" s="1377"/>
      <c r="Y41" s="3419"/>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19"/>
      <c r="Q42" s="825" t="str">
        <f t="shared" si="11"/>
        <v>单套建筑面积</v>
      </c>
      <c r="R42" s="1385" t="s">
        <v>8</v>
      </c>
      <c r="S42" s="1386">
        <f t="shared" si="12"/>
        <v>100</v>
      </c>
      <c r="T42" s="1385" t="s">
        <v>8</v>
      </c>
      <c r="U42" s="1386">
        <f t="shared" si="13"/>
        <v>100</v>
      </c>
      <c r="V42" s="1385" t="s">
        <v>8</v>
      </c>
      <c r="W42" s="1386">
        <f t="shared" si="14"/>
        <v>100</v>
      </c>
      <c r="X42" s="1387"/>
      <c r="Y42" s="3419"/>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19"/>
      <c r="Q43" s="1381" t="str">
        <f t="shared" si="11"/>
        <v>内部装修</v>
      </c>
      <c r="R43" s="1382" t="s">
        <v>8</v>
      </c>
      <c r="S43" s="1383">
        <f t="shared" si="12"/>
        <v>100</v>
      </c>
      <c r="T43" s="1382" t="s">
        <v>8</v>
      </c>
      <c r="U43" s="1383">
        <f t="shared" si="13"/>
        <v>100</v>
      </c>
      <c r="V43" s="1382" t="s">
        <v>8</v>
      </c>
      <c r="W43" s="1383">
        <f t="shared" si="14"/>
        <v>100</v>
      </c>
      <c r="X43" s="1377"/>
      <c r="Y43" s="3419"/>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19"/>
      <c r="Q44" s="1381" t="str">
        <f t="shared" si="11"/>
        <v>内部装修维护情况</v>
      </c>
      <c r="R44" s="1382" t="s">
        <v>8</v>
      </c>
      <c r="S44" s="1383">
        <f t="shared" si="12"/>
        <v>100</v>
      </c>
      <c r="T44" s="1382" t="s">
        <v>8</v>
      </c>
      <c r="U44" s="1383">
        <f t="shared" si="13"/>
        <v>100</v>
      </c>
      <c r="V44" s="1382" t="s">
        <v>8</v>
      </c>
      <c r="W44" s="1383">
        <f t="shared" si="14"/>
        <v>100</v>
      </c>
      <c r="X44" s="1377"/>
      <c r="Y44" s="3419"/>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19"/>
      <c r="Q45" s="824">
        <f t="shared" si="11"/>
        <v>111</v>
      </c>
      <c r="R45" s="1378" t="s">
        <v>8</v>
      </c>
      <c r="S45" s="1379">
        <f t="shared" si="12"/>
        <v>100</v>
      </c>
      <c r="T45" s="1378" t="s">
        <v>8</v>
      </c>
      <c r="U45" s="1379">
        <f t="shared" si="13"/>
        <v>100</v>
      </c>
      <c r="V45" s="1378" t="s">
        <v>8</v>
      </c>
      <c r="W45" s="1379">
        <f t="shared" si="14"/>
        <v>100</v>
      </c>
      <c r="X45" s="1380"/>
      <c r="Y45" s="3419"/>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19"/>
      <c r="Q46" s="1381">
        <f t="shared" si="11"/>
        <v>111</v>
      </c>
      <c r="R46" s="1382" t="s">
        <v>8</v>
      </c>
      <c r="S46" s="1383">
        <f t="shared" si="12"/>
        <v>100</v>
      </c>
      <c r="T46" s="1382" t="s">
        <v>8</v>
      </c>
      <c r="U46" s="1383">
        <f t="shared" si="13"/>
        <v>100</v>
      </c>
      <c r="V46" s="1382" t="s">
        <v>8</v>
      </c>
      <c r="W46" s="1383">
        <f t="shared" si="14"/>
        <v>100</v>
      </c>
      <c r="X46" s="1377"/>
      <c r="Y46" s="3419"/>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15"/>
      <c r="Q47" s="1381">
        <f t="shared" si="11"/>
        <v>111</v>
      </c>
      <c r="R47" s="1382" t="s">
        <v>8</v>
      </c>
      <c r="S47" s="1383">
        <f t="shared" si="12"/>
        <v>100</v>
      </c>
      <c r="T47" s="1382" t="s">
        <v>8</v>
      </c>
      <c r="U47" s="1383">
        <f t="shared" si="13"/>
        <v>100</v>
      </c>
      <c r="V47" s="1382" t="s">
        <v>8</v>
      </c>
      <c r="W47" s="1383">
        <f t="shared" si="14"/>
        <v>100</v>
      </c>
      <c r="X47" s="1377"/>
      <c r="Y47" s="3515"/>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21" t="str">
        <f>A48</f>
        <v>成交单价（元/平方米）</v>
      </c>
      <c r="Q48" s="3414"/>
      <c r="R48" s="3430">
        <f>E48</f>
        <v>0</v>
      </c>
      <c r="S48" s="3430"/>
      <c r="T48" s="3430">
        <f>G48</f>
        <v>0</v>
      </c>
      <c r="U48" s="3430"/>
      <c r="V48" s="3430">
        <f>I48</f>
        <v>0</v>
      </c>
      <c r="W48" s="3430"/>
      <c r="X48" s="806"/>
      <c r="Y48" s="1389"/>
      <c r="Z48" s="806"/>
      <c r="AA48" s="806"/>
      <c r="AB48" s="806"/>
      <c r="AC48" s="806"/>
    </row>
    <row r="49" spans="1:29" ht="15.75" thickBot="1">
      <c r="A49" s="569" t="s">
        <v>2475</v>
      </c>
      <c r="B49" s="819"/>
      <c r="C49" s="2235" t="e">
        <f>R50</f>
        <v>#DIV/0!</v>
      </c>
      <c r="D49" s="2709" t="s">
        <v>2698</v>
      </c>
      <c r="E49" s="2236" t="e">
        <f>R49</f>
        <v>#DIV/0!</v>
      </c>
      <c r="F49" s="2710"/>
      <c r="G49" s="2235" t="e">
        <f>T49</f>
        <v>#DIV/0!</v>
      </c>
      <c r="H49" s="2710"/>
      <c r="I49" s="2236" t="e">
        <f>V49</f>
        <v>#DIV/0!</v>
      </c>
      <c r="J49" s="2710"/>
      <c r="K49" s="2717">
        <f>F49+H49+J49</f>
        <v>0</v>
      </c>
      <c r="L49" s="1863"/>
      <c r="M49" s="1854"/>
      <c r="N49" s="1854"/>
      <c r="O49" s="1854"/>
      <c r="P49" s="3421" t="str">
        <f>A49</f>
        <v>比较价格（元/平方米）</v>
      </c>
      <c r="Q49" s="3414"/>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806"/>
      <c r="Y49" s="806"/>
      <c r="Z49" s="806"/>
      <c r="AA49" s="806"/>
      <c r="AB49" s="806"/>
      <c r="AC49" s="806"/>
    </row>
    <row r="50" spans="1:29" ht="15.75" thickBot="1">
      <c r="A50" s="573" t="s">
        <v>2633</v>
      </c>
      <c r="B50" s="574"/>
      <c r="C50" s="474" t="e">
        <f>R50</f>
        <v>#DIV/0!</v>
      </c>
      <c r="D50" s="474"/>
      <c r="E50" s="474"/>
      <c r="F50" s="474"/>
      <c r="G50" s="474"/>
      <c r="H50" s="474"/>
      <c r="I50" s="474"/>
      <c r="J50" s="474"/>
      <c r="K50" s="1411"/>
      <c r="L50" s="1863"/>
      <c r="M50" s="1854"/>
      <c r="N50" s="1854"/>
      <c r="O50" s="1854"/>
      <c r="P50" s="3546" t="str">
        <f>A50</f>
        <v>估价对象XX用房的比较价格（楼面单价，元/平方米）</v>
      </c>
      <c r="Q50" s="3421"/>
      <c r="R50" s="3514" t="e">
        <f>IF(F1="售价",ROUND(IF(D49="简单平均",AVERAGE(R49:V49),R49*F49+T49*H49+V49*J49),0),ROUND(IF(D49="简单平均",AVERAGE(R49:V49),R49*F49+T49*H49+V49*J49),1))</f>
        <v>#DIV/0!</v>
      </c>
      <c r="S50" s="3514"/>
      <c r="T50" s="3514"/>
      <c r="U50" s="3514"/>
      <c r="V50" s="3514"/>
      <c r="W50" s="3514"/>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2022-11</v>
      </c>
      <c r="D59" s="2268">
        <f>EDATE(C59,-1)</f>
        <v>44835</v>
      </c>
      <c r="E59" s="2268">
        <f t="shared" ref="E59:O59" si="16">EDATE(D59,-1)</f>
        <v>44805</v>
      </c>
      <c r="F59" s="2268">
        <f t="shared" si="16"/>
        <v>44774</v>
      </c>
      <c r="G59" s="2268">
        <f t="shared" si="16"/>
        <v>44743</v>
      </c>
      <c r="H59" s="2268">
        <f t="shared" si="16"/>
        <v>44713</v>
      </c>
      <c r="I59" s="2268">
        <f t="shared" si="16"/>
        <v>44682</v>
      </c>
      <c r="J59" s="2268">
        <f t="shared" si="16"/>
        <v>44652</v>
      </c>
      <c r="K59" s="2268">
        <f t="shared" si="16"/>
        <v>44621</v>
      </c>
      <c r="L59" s="2268">
        <f t="shared" si="16"/>
        <v>44593</v>
      </c>
      <c r="M59" s="2268">
        <f t="shared" si="16"/>
        <v>44562</v>
      </c>
      <c r="N59" s="2268">
        <f t="shared" si="16"/>
        <v>44531</v>
      </c>
      <c r="O59" s="2268">
        <f t="shared" si="16"/>
        <v>44501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2274</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2275</v>
      </c>
      <c r="C83" s="2210" t="s">
        <v>2276</v>
      </c>
      <c r="D83" s="2210" t="s">
        <v>2277</v>
      </c>
      <c r="E83" s="2210" t="s">
        <v>2278</v>
      </c>
      <c r="F83" s="2210" t="s">
        <v>2279</v>
      </c>
      <c r="G83" s="2210" t="s">
        <v>2280</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2273</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422" t="s">
        <v>505</v>
      </c>
      <c r="D4" s="3423"/>
      <c r="E4" s="3448" t="s">
        <v>506</v>
      </c>
      <c r="F4" s="3449"/>
      <c r="G4" s="3422" t="s">
        <v>507</v>
      </c>
      <c r="H4" s="3423"/>
      <c r="I4" s="3422" t="s">
        <v>508</v>
      </c>
      <c r="J4" s="3423"/>
      <c r="K4" s="470" t="s">
        <v>509</v>
      </c>
      <c r="L4" s="1853"/>
      <c r="M4" s="1854"/>
      <c r="N4" s="1854"/>
      <c r="O4" s="1854"/>
      <c r="P4" s="3424" t="s">
        <v>510</v>
      </c>
      <c r="Q4" s="3425"/>
      <c r="R4" s="3408" t="s">
        <v>506</v>
      </c>
      <c r="S4" s="3409"/>
      <c r="T4" s="3408" t="s">
        <v>507</v>
      </c>
      <c r="U4" s="3409"/>
      <c r="V4" s="3430" t="s">
        <v>508</v>
      </c>
      <c r="W4" s="3430"/>
      <c r="X4" s="1377"/>
      <c r="Y4" s="3408" t="s">
        <v>510</v>
      </c>
      <c r="Z4" s="3409"/>
      <c r="AA4" s="3403" t="s">
        <v>506</v>
      </c>
      <c r="AB4" s="3404" t="s">
        <v>507</v>
      </c>
      <c r="AC4" s="3403" t="s">
        <v>508</v>
      </c>
    </row>
    <row r="5" spans="1:29" ht="15">
      <c r="A5" s="471"/>
      <c r="B5" s="472"/>
      <c r="C5" s="3433" t="s">
        <v>2627</v>
      </c>
      <c r="D5" s="3434"/>
      <c r="E5" s="3450" t="s">
        <v>2628</v>
      </c>
      <c r="F5" s="3451"/>
      <c r="G5" s="3433" t="s">
        <v>2629</v>
      </c>
      <c r="H5" s="3434"/>
      <c r="I5" s="3433" t="s">
        <v>2630</v>
      </c>
      <c r="J5" s="3434"/>
      <c r="K5" s="470"/>
      <c r="L5" s="1853"/>
      <c r="M5" s="1854"/>
      <c r="N5" s="1854"/>
      <c r="O5" s="1854"/>
      <c r="P5" s="3426"/>
      <c r="Q5" s="3427"/>
      <c r="R5" s="3410"/>
      <c r="S5" s="3411"/>
      <c r="T5" s="3410"/>
      <c r="U5" s="3411"/>
      <c r="V5" s="3430"/>
      <c r="W5" s="3430"/>
      <c r="X5" s="1377"/>
      <c r="Y5" s="3410"/>
      <c r="Z5" s="3411"/>
      <c r="AA5" s="3404"/>
      <c r="AB5" s="3404"/>
      <c r="AC5" s="3404"/>
    </row>
    <row r="6" spans="1:29" ht="15.75" thickBot="1">
      <c r="A6" s="473"/>
      <c r="B6" s="474"/>
      <c r="C6" s="3431" t="s">
        <v>2631</v>
      </c>
      <c r="D6" s="3432"/>
      <c r="E6" s="3452" t="s">
        <v>2631</v>
      </c>
      <c r="F6" s="3453"/>
      <c r="G6" s="3431" t="s">
        <v>2631</v>
      </c>
      <c r="H6" s="3432"/>
      <c r="I6" s="3431" t="s">
        <v>2631</v>
      </c>
      <c r="J6" s="3432"/>
      <c r="K6" s="470" t="s">
        <v>511</v>
      </c>
      <c r="L6" s="1853"/>
      <c r="M6" s="1854"/>
      <c r="N6" s="1854"/>
      <c r="O6" s="1854"/>
      <c r="P6" s="3428"/>
      <c r="Q6" s="3429"/>
      <c r="R6" s="3410"/>
      <c r="S6" s="3411"/>
      <c r="T6" s="3412"/>
      <c r="U6" s="3413"/>
      <c r="V6" s="3430"/>
      <c r="W6" s="3430"/>
      <c r="X6" s="1377"/>
      <c r="Y6" s="3412"/>
      <c r="Z6" s="3413"/>
      <c r="AA6" s="3405"/>
      <c r="AB6" s="3405"/>
      <c r="AC6" s="3405"/>
    </row>
    <row r="7" spans="1:29" s="1106" customFormat="1" ht="15.75" thickBot="1">
      <c r="A7" s="2362"/>
      <c r="B7" s="2369" t="s">
        <v>512</v>
      </c>
      <c r="C7" s="475">
        <f>'数据-取费表'!B2</f>
        <v>44895</v>
      </c>
      <c r="D7" s="476">
        <v>100</v>
      </c>
      <c r="E7" s="477"/>
      <c r="F7" s="478">
        <f>SUMIF(52:52,YEAR(E7)&amp;"-"&amp;MONTH(E7),53:53)</f>
        <v>0</v>
      </c>
      <c r="G7" s="477"/>
      <c r="H7" s="476">
        <f>SUMIF(52:52,YEAR(G7)&amp;"-"&amp;MONTH(G7),53:53)</f>
        <v>0</v>
      </c>
      <c r="I7" s="477"/>
      <c r="J7" s="476">
        <f>SUMIF(52:52,YEAR(I7)&amp;"-"&amp;MONTH(I7),53:53)</f>
        <v>0</v>
      </c>
      <c r="K7" s="92"/>
      <c r="L7" s="1855"/>
      <c r="M7" s="1752"/>
      <c r="N7" s="1752"/>
      <c r="O7" s="1752"/>
      <c r="P7" s="3406" t="s">
        <v>513</v>
      </c>
      <c r="Q7" s="3415"/>
      <c r="R7" s="1378" t="s">
        <v>8</v>
      </c>
      <c r="S7" s="1379">
        <f t="shared" ref="S7:S15" si="0">F7</f>
        <v>0</v>
      </c>
      <c r="T7" s="1378" t="s">
        <v>8</v>
      </c>
      <c r="U7" s="1379">
        <f t="shared" ref="U7:U15" si="1">H7</f>
        <v>0</v>
      </c>
      <c r="V7" s="1378" t="s">
        <v>8</v>
      </c>
      <c r="W7" s="1379">
        <f t="shared" ref="W7:W15" si="2">J7</f>
        <v>0</v>
      </c>
      <c r="X7" s="1380"/>
      <c r="Y7" s="3406" t="s">
        <v>513</v>
      </c>
      <c r="Z7" s="3407"/>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06" t="s">
        <v>516</v>
      </c>
      <c r="Q8" s="3407"/>
      <c r="R8" s="1378" t="s">
        <v>8</v>
      </c>
      <c r="S8" s="1379">
        <f t="shared" si="0"/>
        <v>0</v>
      </c>
      <c r="T8" s="1378" t="s">
        <v>8</v>
      </c>
      <c r="U8" s="1379">
        <f t="shared" si="1"/>
        <v>0</v>
      </c>
      <c r="V8" s="1378" t="s">
        <v>8</v>
      </c>
      <c r="W8" s="1379">
        <f t="shared" si="2"/>
        <v>0</v>
      </c>
      <c r="X8" s="1380"/>
      <c r="Y8" s="3406" t="s">
        <v>516</v>
      </c>
      <c r="Z8" s="3407"/>
      <c r="AA8" s="1042" t="e">
        <f t="shared" ref="AA8:AA40" si="3">D8/F8</f>
        <v>#DIV/0!</v>
      </c>
      <c r="AB8" s="1042" t="e">
        <f t="shared" ref="AB8:AB40" si="4">D8/H8</f>
        <v>#DIV/0!</v>
      </c>
      <c r="AC8" s="1042" t="e">
        <f t="shared" ref="AC8:AC40" si="5">D8/J8</f>
        <v>#DIV/0!</v>
      </c>
    </row>
    <row r="9" spans="1:29" s="1106" customFormat="1" ht="15">
      <c r="A9" s="2364"/>
      <c r="B9" s="2371" t="s">
        <v>2471</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414" t="s">
        <v>518</v>
      </c>
      <c r="Q9" s="824" t="str">
        <f t="shared" ref="Q9:Q15" si="6">B9</f>
        <v>用途</v>
      </c>
      <c r="R9" s="1378" t="s">
        <v>8</v>
      </c>
      <c r="S9" s="1379">
        <f t="shared" si="0"/>
        <v>100</v>
      </c>
      <c r="T9" s="1378" t="s">
        <v>8</v>
      </c>
      <c r="U9" s="1379">
        <f t="shared" si="1"/>
        <v>100</v>
      </c>
      <c r="V9" s="1378" t="s">
        <v>8</v>
      </c>
      <c r="W9" s="1379">
        <f t="shared" si="2"/>
        <v>100</v>
      </c>
      <c r="X9" s="1380"/>
      <c r="Y9" s="3362"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414"/>
      <c r="Q11" s="824" t="str">
        <f t="shared" si="6"/>
        <v>容积率</v>
      </c>
      <c r="R11" s="1378" t="s">
        <v>8</v>
      </c>
      <c r="S11" s="1379" t="e">
        <f t="shared" si="0"/>
        <v>#N/A</v>
      </c>
      <c r="T11" s="1378" t="s">
        <v>8</v>
      </c>
      <c r="U11" s="1379" t="e">
        <f t="shared" si="1"/>
        <v>#N/A</v>
      </c>
      <c r="V11" s="1378" t="s">
        <v>8</v>
      </c>
      <c r="W11" s="1379" t="e">
        <f t="shared" si="2"/>
        <v>#N/A</v>
      </c>
      <c r="X11" s="1380"/>
      <c r="Y11" s="336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414"/>
      <c r="Q12" s="824">
        <f t="shared" si="6"/>
        <v>111</v>
      </c>
      <c r="R12" s="1378" t="s">
        <v>8</v>
      </c>
      <c r="S12" s="1379">
        <f t="shared" si="0"/>
        <v>100</v>
      </c>
      <c r="T12" s="1378" t="s">
        <v>8</v>
      </c>
      <c r="U12" s="1379">
        <f t="shared" si="1"/>
        <v>100</v>
      </c>
      <c r="V12" s="1378" t="s">
        <v>8</v>
      </c>
      <c r="W12" s="1379">
        <f t="shared" si="2"/>
        <v>100</v>
      </c>
      <c r="X12" s="1380"/>
      <c r="Y12" s="3362"/>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414"/>
      <c r="Q13" s="824">
        <f t="shared" si="6"/>
        <v>111</v>
      </c>
      <c r="R13" s="1378" t="s">
        <v>8</v>
      </c>
      <c r="S13" s="1379">
        <f t="shared" si="0"/>
        <v>100</v>
      </c>
      <c r="T13" s="1378" t="s">
        <v>8</v>
      </c>
      <c r="U13" s="1379">
        <f t="shared" si="1"/>
        <v>100</v>
      </c>
      <c r="V13" s="1378" t="s">
        <v>8</v>
      </c>
      <c r="W13" s="1379">
        <f t="shared" si="2"/>
        <v>100</v>
      </c>
      <c r="X13" s="1380"/>
      <c r="Y13" s="3362"/>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414"/>
      <c r="Q14" s="824">
        <f t="shared" si="6"/>
        <v>111</v>
      </c>
      <c r="R14" s="1378" t="s">
        <v>8</v>
      </c>
      <c r="S14" s="1379">
        <f t="shared" si="0"/>
        <v>100</v>
      </c>
      <c r="T14" s="1378" t="s">
        <v>8</v>
      </c>
      <c r="U14" s="1379">
        <f t="shared" si="1"/>
        <v>100</v>
      </c>
      <c r="V14" s="1378" t="s">
        <v>8</v>
      </c>
      <c r="W14" s="1379">
        <f t="shared" si="2"/>
        <v>100</v>
      </c>
      <c r="X14" s="1380"/>
      <c r="Y14" s="3362"/>
      <c r="Z14" s="1042">
        <f t="shared" si="7"/>
        <v>111</v>
      </c>
      <c r="AA14" s="1042">
        <f t="shared" si="3"/>
        <v>1</v>
      </c>
      <c r="AB14" s="1042">
        <f t="shared" si="4"/>
        <v>1</v>
      </c>
      <c r="AC14" s="1042">
        <f t="shared" si="5"/>
        <v>1</v>
      </c>
    </row>
    <row r="15" spans="1:29" ht="57">
      <c r="A15" s="2360" t="s">
        <v>2469</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16" t="s">
        <v>523</v>
      </c>
      <c r="Q15" s="1381" t="str">
        <f t="shared" si="6"/>
        <v>产业集聚程度</v>
      </c>
      <c r="R15" s="1382" t="s">
        <v>8</v>
      </c>
      <c r="S15" s="1383">
        <f t="shared" si="0"/>
        <v>100</v>
      </c>
      <c r="T15" s="1382" t="s">
        <v>8</v>
      </c>
      <c r="U15" s="1383">
        <f t="shared" si="1"/>
        <v>100</v>
      </c>
      <c r="V15" s="1382" t="s">
        <v>8</v>
      </c>
      <c r="W15" s="1383">
        <f t="shared" si="2"/>
        <v>100</v>
      </c>
      <c r="X15" s="1377"/>
      <c r="Y15" s="3416"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17"/>
      <c r="Q16" s="1381"/>
      <c r="R16" s="1382"/>
      <c r="S16" s="1383"/>
      <c r="T16" s="1382"/>
      <c r="U16" s="1383"/>
      <c r="V16" s="1382"/>
      <c r="W16" s="1383"/>
      <c r="X16" s="1377"/>
      <c r="Y16" s="3417"/>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17"/>
      <c r="Q17" s="1381" t="str">
        <f>B17</f>
        <v>交通便捷度</v>
      </c>
      <c r="R17" s="1382" t="s">
        <v>8</v>
      </c>
      <c r="S17" s="1383">
        <f>F17</f>
        <v>100</v>
      </c>
      <c r="T17" s="1382" t="s">
        <v>8</v>
      </c>
      <c r="U17" s="1383">
        <f>H17</f>
        <v>100</v>
      </c>
      <c r="V17" s="1382" t="s">
        <v>8</v>
      </c>
      <c r="W17" s="1383">
        <f>J17</f>
        <v>100</v>
      </c>
      <c r="X17" s="1377"/>
      <c r="Y17" s="3417"/>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17"/>
      <c r="Q18" s="1381"/>
      <c r="R18" s="1382"/>
      <c r="S18" s="1383"/>
      <c r="T18" s="1382"/>
      <c r="U18" s="1383"/>
      <c r="V18" s="1382"/>
      <c r="W18" s="1383"/>
      <c r="X18" s="1377"/>
      <c r="Y18" s="3417"/>
      <c r="Z18" s="1384"/>
      <c r="AA18" s="1384">
        <v>1</v>
      </c>
      <c r="AB18" s="1384">
        <v>1</v>
      </c>
      <c r="AC18" s="1384">
        <v>1</v>
      </c>
    </row>
    <row r="19" spans="1:29" ht="42.75">
      <c r="A19" s="487"/>
      <c r="B19" s="2215" t="s">
        <v>2263</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17"/>
      <c r="Q19" s="1381" t="str">
        <f>B19</f>
        <v>公共配套设施</v>
      </c>
      <c r="R19" s="1382" t="s">
        <v>8</v>
      </c>
      <c r="S19" s="1383">
        <f>F19</f>
        <v>100</v>
      </c>
      <c r="T19" s="1382" t="s">
        <v>8</v>
      </c>
      <c r="U19" s="1383">
        <f>H19</f>
        <v>100</v>
      </c>
      <c r="V19" s="1382" t="s">
        <v>8</v>
      </c>
      <c r="W19" s="1383">
        <f>J19</f>
        <v>100</v>
      </c>
      <c r="X19" s="1377"/>
      <c r="Y19" s="3417"/>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17"/>
      <c r="Q20" s="1381"/>
      <c r="R20" s="1382"/>
      <c r="S20" s="1383"/>
      <c r="T20" s="1382"/>
      <c r="U20" s="1383"/>
      <c r="V20" s="1382"/>
      <c r="W20" s="1383"/>
      <c r="X20" s="1377"/>
      <c r="Y20" s="3417"/>
      <c r="Z20" s="1384"/>
      <c r="AA20" s="1384">
        <v>1</v>
      </c>
      <c r="AB20" s="1384">
        <v>1</v>
      </c>
      <c r="AC20" s="1384">
        <v>1</v>
      </c>
    </row>
    <row r="21" spans="1:29" ht="28.5">
      <c r="A21" s="487"/>
      <c r="B21" s="2203" t="s">
        <v>2275</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17"/>
      <c r="Q21" s="1381" t="str">
        <f>B21</f>
        <v>基础设施水平</v>
      </c>
      <c r="R21" s="1382" t="s">
        <v>8</v>
      </c>
      <c r="S21" s="1383">
        <f>F21</f>
        <v>100</v>
      </c>
      <c r="T21" s="1382" t="s">
        <v>8</v>
      </c>
      <c r="U21" s="1383">
        <f>H21</f>
        <v>100</v>
      </c>
      <c r="V21" s="1382" t="s">
        <v>8</v>
      </c>
      <c r="W21" s="1383">
        <f>J21</f>
        <v>100</v>
      </c>
      <c r="X21" s="1377"/>
      <c r="Y21" s="3417"/>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17"/>
      <c r="Q22" s="1381"/>
      <c r="R22" s="1382"/>
      <c r="S22" s="1383"/>
      <c r="T22" s="1382"/>
      <c r="U22" s="1383"/>
      <c r="V22" s="1382"/>
      <c r="W22" s="1383"/>
      <c r="X22" s="1377"/>
      <c r="Y22" s="3417"/>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17"/>
      <c r="Q23" s="1381" t="str">
        <f>B23</f>
        <v>环境质量</v>
      </c>
      <c r="R23" s="1382" t="s">
        <v>8</v>
      </c>
      <c r="S23" s="1383">
        <f>F23</f>
        <v>100</v>
      </c>
      <c r="T23" s="1382" t="s">
        <v>8</v>
      </c>
      <c r="U23" s="1383">
        <f>H23</f>
        <v>100</v>
      </c>
      <c r="V23" s="1382" t="s">
        <v>8</v>
      </c>
      <c r="W23" s="1383">
        <f>J23</f>
        <v>100</v>
      </c>
      <c r="X23" s="1377"/>
      <c r="Y23" s="3417"/>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17"/>
      <c r="Q24" s="1381"/>
      <c r="R24" s="1382"/>
      <c r="S24" s="1383"/>
      <c r="T24" s="1382"/>
      <c r="U24" s="1383"/>
      <c r="V24" s="1382"/>
      <c r="W24" s="1383"/>
      <c r="X24" s="1377"/>
      <c r="Y24" s="3417"/>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17"/>
      <c r="Q25" s="1381">
        <f>B25</f>
        <v>111</v>
      </c>
      <c r="R25" s="1382" t="s">
        <v>8</v>
      </c>
      <c r="S25" s="1383">
        <f>F25</f>
        <v>100</v>
      </c>
      <c r="T25" s="1382" t="s">
        <v>8</v>
      </c>
      <c r="U25" s="1383">
        <f>H25</f>
        <v>100</v>
      </c>
      <c r="V25" s="1382" t="s">
        <v>8</v>
      </c>
      <c r="W25" s="1383">
        <f>J25</f>
        <v>100</v>
      </c>
      <c r="X25" s="1377"/>
      <c r="Y25" s="3417"/>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17"/>
      <c r="Q26" s="1381">
        <f t="shared" ref="Q26:Q40" si="11">B26</f>
        <v>111</v>
      </c>
      <c r="R26" s="1382" t="s">
        <v>8</v>
      </c>
      <c r="S26" s="1383">
        <f>F26</f>
        <v>100</v>
      </c>
      <c r="T26" s="1382" t="s">
        <v>8</v>
      </c>
      <c r="U26" s="1383">
        <f>H26</f>
        <v>100</v>
      </c>
      <c r="V26" s="1382" t="s">
        <v>8</v>
      </c>
      <c r="W26" s="1383">
        <f>J26</f>
        <v>100</v>
      </c>
      <c r="X26" s="1377"/>
      <c r="Y26" s="3417"/>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17"/>
      <c r="Q27" s="824">
        <f t="shared" si="11"/>
        <v>111</v>
      </c>
      <c r="R27" s="1378" t="s">
        <v>8</v>
      </c>
      <c r="S27" s="1379">
        <f>F27</f>
        <v>100</v>
      </c>
      <c r="T27" s="1378" t="s">
        <v>8</v>
      </c>
      <c r="U27" s="1379">
        <f>H27</f>
        <v>100</v>
      </c>
      <c r="V27" s="1378" t="s">
        <v>8</v>
      </c>
      <c r="W27" s="1379">
        <f>J27</f>
        <v>100</v>
      </c>
      <c r="X27" s="1380"/>
      <c r="Y27" s="3417"/>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17"/>
      <c r="Q28" s="1381">
        <f t="shared" si="11"/>
        <v>111</v>
      </c>
      <c r="R28" s="1382" t="s">
        <v>8</v>
      </c>
      <c r="S28" s="1383">
        <f t="shared" ref="S28:S40" si="12">F28</f>
        <v>100</v>
      </c>
      <c r="T28" s="1382" t="s">
        <v>8</v>
      </c>
      <c r="U28" s="1383">
        <f t="shared" ref="U28:U40" si="13">H28</f>
        <v>100</v>
      </c>
      <c r="V28" s="1382" t="s">
        <v>8</v>
      </c>
      <c r="W28" s="1383">
        <f t="shared" ref="W28:W40" si="14">J28</f>
        <v>100</v>
      </c>
      <c r="X28" s="1377"/>
      <c r="Y28" s="3417"/>
      <c r="Z28" s="1384">
        <f t="shared" ref="Z28:Z40" si="15">Q28</f>
        <v>111</v>
      </c>
      <c r="AA28" s="1384">
        <f t="shared" si="3"/>
        <v>1</v>
      </c>
      <c r="AB28" s="1384">
        <f t="shared" si="4"/>
        <v>1</v>
      </c>
      <c r="AC28" s="1384">
        <f t="shared" si="5"/>
        <v>1</v>
      </c>
    </row>
    <row r="29" spans="1:29" ht="15">
      <c r="A29" s="2357" t="s">
        <v>2470</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18" t="s">
        <v>533</v>
      </c>
      <c r="Q29" s="1381" t="str">
        <f t="shared" si="11"/>
        <v>建筑类型</v>
      </c>
      <c r="R29" s="1382" t="s">
        <v>8</v>
      </c>
      <c r="S29" s="1383">
        <f t="shared" si="12"/>
        <v>100</v>
      </c>
      <c r="T29" s="1382" t="s">
        <v>8</v>
      </c>
      <c r="U29" s="1383">
        <f t="shared" si="13"/>
        <v>100</v>
      </c>
      <c r="V29" s="1382" t="s">
        <v>8</v>
      </c>
      <c r="W29" s="1383">
        <f t="shared" si="14"/>
        <v>100</v>
      </c>
      <c r="X29" s="1377"/>
      <c r="Y29" s="3419"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19"/>
      <c r="Q30" s="825" t="str">
        <f t="shared" si="11"/>
        <v>项目建筑规模</v>
      </c>
      <c r="R30" s="1385" t="s">
        <v>8</v>
      </c>
      <c r="S30" s="1386" t="e">
        <f t="shared" si="12"/>
        <v>#N/A</v>
      </c>
      <c r="T30" s="1385" t="s">
        <v>8</v>
      </c>
      <c r="U30" s="1386" t="e">
        <f t="shared" si="13"/>
        <v>#N/A</v>
      </c>
      <c r="V30" s="1385" t="s">
        <v>8</v>
      </c>
      <c r="W30" s="1386" t="e">
        <f t="shared" si="14"/>
        <v>#N/A</v>
      </c>
      <c r="X30" s="1387"/>
      <c r="Y30" s="3419"/>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19"/>
      <c r="Q31" s="1381" t="str">
        <f t="shared" si="11"/>
        <v>建筑结构</v>
      </c>
      <c r="R31" s="1382" t="s">
        <v>8</v>
      </c>
      <c r="S31" s="1383">
        <f t="shared" si="12"/>
        <v>100</v>
      </c>
      <c r="T31" s="1382" t="s">
        <v>8</v>
      </c>
      <c r="U31" s="1383">
        <f t="shared" si="13"/>
        <v>100</v>
      </c>
      <c r="V31" s="1382" t="s">
        <v>8</v>
      </c>
      <c r="W31" s="1383">
        <f t="shared" si="14"/>
        <v>100</v>
      </c>
      <c r="X31" s="1377"/>
      <c r="Y31" s="3419"/>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19"/>
      <c r="Q32" s="1381" t="str">
        <f t="shared" si="11"/>
        <v>公共部分装修</v>
      </c>
      <c r="R32" s="1382" t="s">
        <v>8</v>
      </c>
      <c r="S32" s="1383">
        <f t="shared" si="12"/>
        <v>100</v>
      </c>
      <c r="T32" s="1382" t="s">
        <v>8</v>
      </c>
      <c r="U32" s="1383">
        <f t="shared" si="13"/>
        <v>100</v>
      </c>
      <c r="V32" s="1382" t="s">
        <v>8</v>
      </c>
      <c r="W32" s="1383">
        <f t="shared" si="14"/>
        <v>100</v>
      </c>
      <c r="X32" s="1377"/>
      <c r="Y32" s="3419"/>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19"/>
      <c r="Q33" s="1381" t="str">
        <f t="shared" si="11"/>
        <v>成新度</v>
      </c>
      <c r="R33" s="1382" t="s">
        <v>8</v>
      </c>
      <c r="S33" s="1383" t="e">
        <f t="shared" si="12"/>
        <v>#N/A</v>
      </c>
      <c r="T33" s="1382" t="s">
        <v>8</v>
      </c>
      <c r="U33" s="1383" t="e">
        <f t="shared" si="13"/>
        <v>#N/A</v>
      </c>
      <c r="V33" s="1382" t="s">
        <v>8</v>
      </c>
      <c r="W33" s="1383" t="e">
        <f t="shared" si="14"/>
        <v>#N/A</v>
      </c>
      <c r="X33" s="1377"/>
      <c r="Y33" s="3419"/>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19"/>
      <c r="Q34" s="824" t="str">
        <f t="shared" si="11"/>
        <v>物业管理</v>
      </c>
      <c r="R34" s="1378" t="s">
        <v>8</v>
      </c>
      <c r="S34" s="1379">
        <f t="shared" si="12"/>
        <v>100</v>
      </c>
      <c r="T34" s="1378" t="s">
        <v>8</v>
      </c>
      <c r="U34" s="1379">
        <f t="shared" si="13"/>
        <v>100</v>
      </c>
      <c r="V34" s="1378" t="s">
        <v>8</v>
      </c>
      <c r="W34" s="1379">
        <f t="shared" si="14"/>
        <v>100</v>
      </c>
      <c r="X34" s="1380"/>
      <c r="Y34" s="3419"/>
      <c r="Z34" s="1042" t="str">
        <f t="shared" si="15"/>
        <v>物业管理</v>
      </c>
      <c r="AA34" s="1042">
        <f t="shared" si="3"/>
        <v>1</v>
      </c>
      <c r="AB34" s="1042">
        <f t="shared" si="4"/>
        <v>1</v>
      </c>
      <c r="AC34" s="1042">
        <f t="shared" si="5"/>
        <v>1</v>
      </c>
    </row>
    <row r="35" spans="1:29" ht="15">
      <c r="A35" s="548"/>
      <c r="B35" s="1666" t="s">
        <v>2282</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19" t="s">
        <v>533</v>
      </c>
      <c r="Q35" s="1381" t="str">
        <f t="shared" si="11"/>
        <v>市政基础设施</v>
      </c>
      <c r="R35" s="1382" t="s">
        <v>8</v>
      </c>
      <c r="S35" s="1383">
        <f t="shared" si="12"/>
        <v>100</v>
      </c>
      <c r="T35" s="1382" t="s">
        <v>8</v>
      </c>
      <c r="U35" s="1383">
        <f t="shared" si="13"/>
        <v>100</v>
      </c>
      <c r="V35" s="1382" t="s">
        <v>8</v>
      </c>
      <c r="W35" s="1383">
        <f t="shared" si="14"/>
        <v>100</v>
      </c>
      <c r="X35" s="1377"/>
      <c r="Y35" s="3419"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19"/>
      <c r="Q36" s="1381" t="str">
        <f t="shared" si="11"/>
        <v>内部装修</v>
      </c>
      <c r="R36" s="1382" t="s">
        <v>8</v>
      </c>
      <c r="S36" s="1383">
        <f t="shared" si="12"/>
        <v>100</v>
      </c>
      <c r="T36" s="1382" t="s">
        <v>8</v>
      </c>
      <c r="U36" s="1383">
        <f t="shared" si="13"/>
        <v>100</v>
      </c>
      <c r="V36" s="1382" t="s">
        <v>8</v>
      </c>
      <c r="W36" s="1383">
        <f t="shared" si="14"/>
        <v>100</v>
      </c>
      <c r="X36" s="1377"/>
      <c r="Y36" s="3419"/>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19"/>
      <c r="Q37" s="1381" t="str">
        <f t="shared" si="11"/>
        <v>内部装修状况</v>
      </c>
      <c r="R37" s="1382" t="s">
        <v>8</v>
      </c>
      <c r="S37" s="1383">
        <f t="shared" si="12"/>
        <v>100</v>
      </c>
      <c r="T37" s="1382" t="s">
        <v>8</v>
      </c>
      <c r="U37" s="1383">
        <f t="shared" si="13"/>
        <v>100</v>
      </c>
      <c r="V37" s="1382" t="s">
        <v>8</v>
      </c>
      <c r="W37" s="1383">
        <f t="shared" si="14"/>
        <v>100</v>
      </c>
      <c r="X37" s="1377"/>
      <c r="Y37" s="3419"/>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19"/>
      <c r="Q38" s="825">
        <f t="shared" si="11"/>
        <v>111</v>
      </c>
      <c r="R38" s="1385" t="s">
        <v>8</v>
      </c>
      <c r="S38" s="1386">
        <f t="shared" si="12"/>
        <v>100</v>
      </c>
      <c r="T38" s="1385" t="s">
        <v>8</v>
      </c>
      <c r="U38" s="1386">
        <f t="shared" si="13"/>
        <v>100</v>
      </c>
      <c r="V38" s="1385" t="s">
        <v>8</v>
      </c>
      <c r="W38" s="1386">
        <f t="shared" si="14"/>
        <v>100</v>
      </c>
      <c r="X38" s="1387"/>
      <c r="Y38" s="3419"/>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19"/>
      <c r="Q39" s="1381">
        <f t="shared" si="11"/>
        <v>111</v>
      </c>
      <c r="R39" s="1382" t="s">
        <v>8</v>
      </c>
      <c r="S39" s="1383">
        <f t="shared" si="12"/>
        <v>100</v>
      </c>
      <c r="T39" s="1382" t="s">
        <v>8</v>
      </c>
      <c r="U39" s="1383">
        <f t="shared" si="13"/>
        <v>100</v>
      </c>
      <c r="V39" s="1382" t="s">
        <v>8</v>
      </c>
      <c r="W39" s="1383">
        <f t="shared" si="14"/>
        <v>100</v>
      </c>
      <c r="X39" s="1377"/>
      <c r="Y39" s="3419"/>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15"/>
      <c r="Q40" s="1381">
        <f t="shared" si="11"/>
        <v>111</v>
      </c>
      <c r="R40" s="1382" t="s">
        <v>8</v>
      </c>
      <c r="S40" s="1383">
        <f t="shared" si="12"/>
        <v>100</v>
      </c>
      <c r="T40" s="1382" t="s">
        <v>8</v>
      </c>
      <c r="U40" s="1383">
        <f t="shared" si="13"/>
        <v>100</v>
      </c>
      <c r="V40" s="1382" t="s">
        <v>8</v>
      </c>
      <c r="W40" s="1383">
        <f t="shared" si="14"/>
        <v>100</v>
      </c>
      <c r="X40" s="1377"/>
      <c r="Y40" s="3515"/>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414" t="str">
        <f>A41</f>
        <v>成交单价（元/平方米）</v>
      </c>
      <c r="Q41" s="3414"/>
      <c r="R41" s="3430">
        <f>E41</f>
        <v>0</v>
      </c>
      <c r="S41" s="3430"/>
      <c r="T41" s="3430">
        <f>G41</f>
        <v>0</v>
      </c>
      <c r="U41" s="3430"/>
      <c r="V41" s="3430">
        <f>I41</f>
        <v>0</v>
      </c>
      <c r="W41" s="3430"/>
      <c r="X41" s="806"/>
      <c r="Y41" s="1389"/>
      <c r="Z41" s="806"/>
      <c r="AA41" s="806"/>
      <c r="AB41" s="806"/>
      <c r="AC41" s="806"/>
    </row>
    <row r="42" spans="1:29" ht="15.75" thickBot="1">
      <c r="A42" s="569" t="s">
        <v>2475</v>
      </c>
      <c r="B42" s="819"/>
      <c r="C42" s="2235" t="e">
        <f>R43</f>
        <v>#DIV/0!</v>
      </c>
      <c r="D42" s="2709" t="s">
        <v>2698</v>
      </c>
      <c r="E42" s="2236" t="e">
        <f>R42</f>
        <v>#DIV/0!</v>
      </c>
      <c r="F42" s="2710"/>
      <c r="G42" s="2235" t="e">
        <f>T42</f>
        <v>#DIV/0!</v>
      </c>
      <c r="H42" s="2710"/>
      <c r="I42" s="2236" t="e">
        <f>V42</f>
        <v>#DIV/0!</v>
      </c>
      <c r="J42" s="2710"/>
      <c r="K42" s="2717">
        <f>F42+H42+J42</f>
        <v>0</v>
      </c>
      <c r="L42" s="1863"/>
      <c r="M42" s="1854"/>
      <c r="N42" s="1854"/>
      <c r="O42" s="1854"/>
      <c r="P42" s="3414" t="str">
        <f>A42</f>
        <v>比较价格（元/平方米）</v>
      </c>
      <c r="Q42" s="3414"/>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806"/>
      <c r="Y42" s="806"/>
      <c r="Z42" s="806"/>
      <c r="AA42" s="806"/>
      <c r="AB42" s="806"/>
      <c r="AC42" s="806"/>
    </row>
    <row r="43" spans="1:29" ht="15.75" thickBot="1">
      <c r="A43" s="573" t="s">
        <v>2633</v>
      </c>
      <c r="B43" s="574"/>
      <c r="C43" s="474" t="e">
        <f>R43</f>
        <v>#DIV/0!</v>
      </c>
      <c r="D43" s="474"/>
      <c r="E43" s="474"/>
      <c r="F43" s="474"/>
      <c r="G43" s="474"/>
      <c r="H43" s="474"/>
      <c r="I43" s="474"/>
      <c r="J43" s="474"/>
      <c r="K43" s="1411"/>
      <c r="L43" s="1863"/>
      <c r="M43" s="1854"/>
      <c r="N43" s="1854"/>
      <c r="O43" s="1854"/>
      <c r="P43" s="3420" t="str">
        <f>A43</f>
        <v>估价对象XX用房的比较价格（楼面单价，元/平方米）</v>
      </c>
      <c r="Q43" s="3421"/>
      <c r="R43" s="3514" t="e">
        <f>IF(F1="售价",ROUND(IF(D42="简单平均",AVERAGE(R42:V42),R42*F42+T42*H42+V42*J42),0),ROUND(IF(D42="简单平均",AVERAGE(R42:V42),R42*F42+T42*H42+V42*J42),1))</f>
        <v>#DIV/0!</v>
      </c>
      <c r="S43" s="3514"/>
      <c r="T43" s="3514"/>
      <c r="U43" s="3514"/>
      <c r="V43" s="3514"/>
      <c r="W43" s="3514"/>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2022-11</v>
      </c>
      <c r="D52" s="2268">
        <f>EDATE(C52,-1)</f>
        <v>44835</v>
      </c>
      <c r="E52" s="2268">
        <f t="shared" ref="E52:O52" si="16">EDATE(D52,-1)</f>
        <v>44805</v>
      </c>
      <c r="F52" s="2268">
        <f t="shared" si="16"/>
        <v>44774</v>
      </c>
      <c r="G52" s="2268">
        <f t="shared" si="16"/>
        <v>44743</v>
      </c>
      <c r="H52" s="2268">
        <f t="shared" si="16"/>
        <v>44713</v>
      </c>
      <c r="I52" s="2268">
        <f t="shared" si="16"/>
        <v>44682</v>
      </c>
      <c r="J52" s="2268">
        <f t="shared" si="16"/>
        <v>44652</v>
      </c>
      <c r="K52" s="2268">
        <f t="shared" si="16"/>
        <v>44621</v>
      </c>
      <c r="L52" s="2268">
        <f t="shared" si="16"/>
        <v>44593</v>
      </c>
      <c r="M52" s="2268">
        <f t="shared" si="16"/>
        <v>44562</v>
      </c>
      <c r="N52" s="2268">
        <f t="shared" si="16"/>
        <v>44531</v>
      </c>
      <c r="O52" s="2268">
        <f t="shared" si="16"/>
        <v>44501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2274</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2275</v>
      </c>
      <c r="C76" s="2210" t="s">
        <v>2276</v>
      </c>
      <c r="D76" s="2210" t="s">
        <v>2277</v>
      </c>
      <c r="E76" s="2210" t="s">
        <v>2278</v>
      </c>
      <c r="F76" s="2210" t="s">
        <v>2279</v>
      </c>
      <c r="G76" s="2210" t="s">
        <v>2280</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2273</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1867</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22" t="s">
        <v>780</v>
      </c>
      <c r="D4" s="3423"/>
      <c r="E4" s="3422" t="s">
        <v>781</v>
      </c>
      <c r="F4" s="3423"/>
      <c r="G4" s="3422" t="s">
        <v>782</v>
      </c>
      <c r="H4" s="3423"/>
      <c r="I4" s="3422" t="s">
        <v>783</v>
      </c>
      <c r="J4" s="3423"/>
      <c r="K4" s="470" t="s">
        <v>784</v>
      </c>
      <c r="L4" s="1853"/>
      <c r="M4" s="1854"/>
      <c r="N4" s="1854"/>
      <c r="O4" s="1854"/>
      <c r="P4" s="3424" t="s">
        <v>785</v>
      </c>
      <c r="Q4" s="3425"/>
      <c r="R4" s="3408" t="s">
        <v>781</v>
      </c>
      <c r="S4" s="3409"/>
      <c r="T4" s="3408" t="s">
        <v>782</v>
      </c>
      <c r="U4" s="3409"/>
      <c r="V4" s="3430" t="s">
        <v>783</v>
      </c>
      <c r="W4" s="3430"/>
      <c r="X4" s="1377"/>
      <c r="Y4" s="3408" t="s">
        <v>785</v>
      </c>
      <c r="Z4" s="3409"/>
      <c r="AA4" s="3403" t="s">
        <v>781</v>
      </c>
      <c r="AB4" s="3404" t="s">
        <v>782</v>
      </c>
      <c r="AC4" s="3403" t="s">
        <v>783</v>
      </c>
    </row>
    <row r="5" spans="1:29" ht="15">
      <c r="A5" s="471"/>
      <c r="B5" s="472"/>
      <c r="C5" s="3433" t="s">
        <v>2627</v>
      </c>
      <c r="D5" s="3434"/>
      <c r="E5" s="3433" t="s">
        <v>2628</v>
      </c>
      <c r="F5" s="3434"/>
      <c r="G5" s="3433" t="s">
        <v>2629</v>
      </c>
      <c r="H5" s="3434"/>
      <c r="I5" s="3433" t="s">
        <v>2630</v>
      </c>
      <c r="J5" s="3434"/>
      <c r="K5" s="470"/>
      <c r="L5" s="1853"/>
      <c r="M5" s="1854"/>
      <c r="N5" s="1854"/>
      <c r="O5" s="1854"/>
      <c r="P5" s="3426"/>
      <c r="Q5" s="3427"/>
      <c r="R5" s="3410"/>
      <c r="S5" s="3411"/>
      <c r="T5" s="3410"/>
      <c r="U5" s="3411"/>
      <c r="V5" s="3430"/>
      <c r="W5" s="3430"/>
      <c r="X5" s="1377"/>
      <c r="Y5" s="3410"/>
      <c r="Z5" s="3411"/>
      <c r="AA5" s="3404"/>
      <c r="AB5" s="3404"/>
      <c r="AC5" s="3404"/>
    </row>
    <row r="6" spans="1:29" ht="15.75" thickBot="1">
      <c r="A6" s="473"/>
      <c r="B6" s="474"/>
      <c r="C6" s="3431" t="s">
        <v>2631</v>
      </c>
      <c r="D6" s="3432"/>
      <c r="E6" s="3435" t="s">
        <v>2631</v>
      </c>
      <c r="F6" s="3436"/>
      <c r="G6" s="3431" t="s">
        <v>2631</v>
      </c>
      <c r="H6" s="3432"/>
      <c r="I6" s="3431" t="s">
        <v>2631</v>
      </c>
      <c r="J6" s="3432"/>
      <c r="K6" s="470" t="s">
        <v>511</v>
      </c>
      <c r="L6" s="1853"/>
      <c r="M6" s="1854"/>
      <c r="N6" s="1854"/>
      <c r="O6" s="1854"/>
      <c r="P6" s="3428"/>
      <c r="Q6" s="3429"/>
      <c r="R6" s="3410"/>
      <c r="S6" s="3411"/>
      <c r="T6" s="3412"/>
      <c r="U6" s="3413"/>
      <c r="V6" s="3430"/>
      <c r="W6" s="3430"/>
      <c r="X6" s="1377"/>
      <c r="Y6" s="3412"/>
      <c r="Z6" s="3413"/>
      <c r="AA6" s="3405"/>
      <c r="AB6" s="3405"/>
      <c r="AC6" s="3405"/>
    </row>
    <row r="7" spans="1:29" s="1106" customFormat="1" ht="15.75" thickBot="1">
      <c r="A7" s="2362"/>
      <c r="B7" s="2369" t="s">
        <v>512</v>
      </c>
      <c r="C7" s="475">
        <f>'数据-取费表'!B2</f>
        <v>44895</v>
      </c>
      <c r="D7" s="476">
        <v>100</v>
      </c>
      <c r="E7" s="477"/>
      <c r="F7" s="478">
        <f>SUMIF(48:48,YEAR(E7)&amp;"-"&amp;MONTH(E7),49:49)</f>
        <v>0</v>
      </c>
      <c r="G7" s="479"/>
      <c r="H7" s="476">
        <f>SUMIF(48:48,YEAR(G7)&amp;"-"&amp;MONTH(G7),49:49)</f>
        <v>0</v>
      </c>
      <c r="I7" s="479"/>
      <c r="J7" s="476">
        <f>SUMIF(48:48,YEAR(I7)&amp;"-"&amp;MONTH(I7),49:49)</f>
        <v>0</v>
      </c>
      <c r="K7" s="92"/>
      <c r="L7" s="1855"/>
      <c r="M7" s="1752"/>
      <c r="N7" s="1752"/>
      <c r="O7" s="1752"/>
      <c r="P7" s="3406" t="s">
        <v>513</v>
      </c>
      <c r="Q7" s="3415"/>
      <c r="R7" s="1378" t="s">
        <v>8</v>
      </c>
      <c r="S7" s="1379">
        <f t="shared" ref="S7:S14" si="0">F7</f>
        <v>0</v>
      </c>
      <c r="T7" s="1378" t="s">
        <v>8</v>
      </c>
      <c r="U7" s="1379">
        <f t="shared" ref="U7:U14" si="1">H7</f>
        <v>0</v>
      </c>
      <c r="V7" s="1378" t="s">
        <v>8</v>
      </c>
      <c r="W7" s="1379">
        <f t="shared" ref="W7:W14" si="2">J7</f>
        <v>0</v>
      </c>
      <c r="X7" s="1380"/>
      <c r="Y7" s="3406" t="s">
        <v>513</v>
      </c>
      <c r="Z7" s="3407"/>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06" t="s">
        <v>516</v>
      </c>
      <c r="Q8" s="3407"/>
      <c r="R8" s="1378" t="s">
        <v>8</v>
      </c>
      <c r="S8" s="1379">
        <f t="shared" si="0"/>
        <v>0</v>
      </c>
      <c r="T8" s="1378" t="s">
        <v>8</v>
      </c>
      <c r="U8" s="1379">
        <f t="shared" si="1"/>
        <v>0</v>
      </c>
      <c r="V8" s="1378" t="s">
        <v>8</v>
      </c>
      <c r="W8" s="1379">
        <f t="shared" si="2"/>
        <v>0</v>
      </c>
      <c r="X8" s="1380"/>
      <c r="Y8" s="3406" t="s">
        <v>516</v>
      </c>
      <c r="Z8" s="3407"/>
      <c r="AA8" s="1042" t="e">
        <f t="shared" ref="AA8:AA36" si="3">D8/F8</f>
        <v>#DIV/0!</v>
      </c>
      <c r="AB8" s="1042" t="e">
        <f t="shared" ref="AB8:AB36" si="4">D8/H8</f>
        <v>#DIV/0!</v>
      </c>
      <c r="AC8" s="1042" t="e">
        <f t="shared" ref="AC8:AC36" si="5">D8/J8</f>
        <v>#DIV/0!</v>
      </c>
    </row>
    <row r="9" spans="1:29" s="1106" customFormat="1" ht="15">
      <c r="A9" s="2364"/>
      <c r="B9" s="2371" t="s">
        <v>2471</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414" t="s">
        <v>518</v>
      </c>
      <c r="Q9" s="824" t="str">
        <f t="shared" ref="Q9:Q14" si="6">B9</f>
        <v>用途</v>
      </c>
      <c r="R9" s="1378" t="s">
        <v>8</v>
      </c>
      <c r="S9" s="1379">
        <f t="shared" si="0"/>
        <v>100</v>
      </c>
      <c r="T9" s="1378" t="s">
        <v>8</v>
      </c>
      <c r="U9" s="1379">
        <f t="shared" si="1"/>
        <v>100</v>
      </c>
      <c r="V9" s="1378" t="s">
        <v>8</v>
      </c>
      <c r="W9" s="1379">
        <f t="shared" si="2"/>
        <v>100</v>
      </c>
      <c r="X9" s="1380"/>
      <c r="Y9" s="3362"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414"/>
      <c r="Q11" s="824">
        <f t="shared" si="6"/>
        <v>111</v>
      </c>
      <c r="R11" s="1378" t="s">
        <v>8</v>
      </c>
      <c r="S11" s="1379">
        <f t="shared" si="0"/>
        <v>100</v>
      </c>
      <c r="T11" s="1378" t="s">
        <v>8</v>
      </c>
      <c r="U11" s="1379">
        <f t="shared" si="1"/>
        <v>100</v>
      </c>
      <c r="V11" s="1378" t="s">
        <v>8</v>
      </c>
      <c r="W11" s="1379">
        <f t="shared" si="2"/>
        <v>100</v>
      </c>
      <c r="X11" s="1380"/>
      <c r="Y11" s="3362"/>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414"/>
      <c r="Q12" s="824">
        <f t="shared" si="6"/>
        <v>111</v>
      </c>
      <c r="R12" s="1378" t="s">
        <v>8</v>
      </c>
      <c r="S12" s="1379">
        <f t="shared" si="0"/>
        <v>100</v>
      </c>
      <c r="T12" s="1378" t="s">
        <v>8</v>
      </c>
      <c r="U12" s="1379">
        <f t="shared" si="1"/>
        <v>100</v>
      </c>
      <c r="V12" s="1378" t="s">
        <v>8</v>
      </c>
      <c r="W12" s="1379">
        <f t="shared" si="2"/>
        <v>100</v>
      </c>
      <c r="X12" s="1380"/>
      <c r="Y12" s="3362"/>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414"/>
      <c r="Q13" s="824">
        <f t="shared" si="6"/>
        <v>111</v>
      </c>
      <c r="R13" s="1378" t="s">
        <v>8</v>
      </c>
      <c r="S13" s="1379">
        <f t="shared" si="0"/>
        <v>100</v>
      </c>
      <c r="T13" s="1378" t="s">
        <v>8</v>
      </c>
      <c r="U13" s="1379">
        <f t="shared" si="1"/>
        <v>100</v>
      </c>
      <c r="V13" s="1378" t="s">
        <v>8</v>
      </c>
      <c r="W13" s="1379">
        <f t="shared" si="2"/>
        <v>100</v>
      </c>
      <c r="X13" s="1380"/>
      <c r="Y13" s="3362"/>
      <c r="Z13" s="1042">
        <f t="shared" si="7"/>
        <v>111</v>
      </c>
      <c r="AA13" s="1042">
        <f t="shared" si="3"/>
        <v>1</v>
      </c>
      <c r="AB13" s="1042">
        <f t="shared" si="4"/>
        <v>1</v>
      </c>
      <c r="AC13" s="1042">
        <f t="shared" si="5"/>
        <v>1</v>
      </c>
    </row>
    <row r="14" spans="1:29" ht="85.5">
      <c r="A14" s="2360" t="s">
        <v>2469</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16" t="s">
        <v>523</v>
      </c>
      <c r="Q14" s="1381" t="str">
        <f t="shared" si="6"/>
        <v>交通便捷度</v>
      </c>
      <c r="R14" s="1382" t="s">
        <v>8</v>
      </c>
      <c r="S14" s="1383">
        <f t="shared" si="0"/>
        <v>100</v>
      </c>
      <c r="T14" s="1382" t="s">
        <v>8</v>
      </c>
      <c r="U14" s="1383">
        <f t="shared" si="1"/>
        <v>100</v>
      </c>
      <c r="V14" s="1382" t="s">
        <v>8</v>
      </c>
      <c r="W14" s="1383">
        <f t="shared" si="2"/>
        <v>100</v>
      </c>
      <c r="X14" s="1377"/>
      <c r="Y14" s="3416"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17"/>
      <c r="Q15" s="1381"/>
      <c r="R15" s="1382"/>
      <c r="S15" s="1383"/>
      <c r="T15" s="1382"/>
      <c r="U15" s="1383"/>
      <c r="V15" s="1382"/>
      <c r="W15" s="1383"/>
      <c r="X15" s="1377"/>
      <c r="Y15" s="3417"/>
      <c r="Z15" s="1384"/>
      <c r="AA15" s="1384">
        <v>1</v>
      </c>
      <c r="AB15" s="1384">
        <v>1</v>
      </c>
      <c r="AC15" s="1384">
        <v>1</v>
      </c>
    </row>
    <row r="16" spans="1:29" ht="42.75">
      <c r="A16" s="471"/>
      <c r="B16" s="2215" t="s">
        <v>2263</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17"/>
      <c r="Q16" s="1381" t="str">
        <f>B16</f>
        <v>公共配套设施</v>
      </c>
      <c r="R16" s="1382" t="s">
        <v>8</v>
      </c>
      <c r="S16" s="1383">
        <f>F16</f>
        <v>100</v>
      </c>
      <c r="T16" s="1382" t="s">
        <v>8</v>
      </c>
      <c r="U16" s="1383">
        <f>H16</f>
        <v>100</v>
      </c>
      <c r="V16" s="1382" t="s">
        <v>8</v>
      </c>
      <c r="W16" s="1383">
        <f>J16</f>
        <v>100</v>
      </c>
      <c r="X16" s="1377"/>
      <c r="Y16" s="3417"/>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17"/>
      <c r="Q17" s="1381"/>
      <c r="R17" s="1382"/>
      <c r="S17" s="1383"/>
      <c r="T17" s="1382"/>
      <c r="U17" s="1383"/>
      <c r="V17" s="1382"/>
      <c r="W17" s="1383"/>
      <c r="X17" s="1377"/>
      <c r="Y17" s="3417"/>
      <c r="Z17" s="1384"/>
      <c r="AA17" s="1384">
        <v>1</v>
      </c>
      <c r="AB17" s="1384">
        <v>1</v>
      </c>
      <c r="AC17" s="1384">
        <v>1</v>
      </c>
    </row>
    <row r="18" spans="1:29" ht="28.5">
      <c r="A18" s="471"/>
      <c r="B18" s="2203" t="s">
        <v>2275</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17"/>
      <c r="Q18" s="1381" t="str">
        <f>B18</f>
        <v>基础设施水平</v>
      </c>
      <c r="R18" s="1382" t="s">
        <v>8</v>
      </c>
      <c r="S18" s="1383">
        <f>F18</f>
        <v>100</v>
      </c>
      <c r="T18" s="1382" t="s">
        <v>8</v>
      </c>
      <c r="U18" s="1383">
        <f>H18</f>
        <v>100</v>
      </c>
      <c r="V18" s="1382" t="s">
        <v>8</v>
      </c>
      <c r="W18" s="1383">
        <f>J18</f>
        <v>100</v>
      </c>
      <c r="X18" s="1377"/>
      <c r="Y18" s="3417"/>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17"/>
      <c r="Q19" s="1381"/>
      <c r="R19" s="1382"/>
      <c r="S19" s="1383"/>
      <c r="T19" s="1382"/>
      <c r="U19" s="1383"/>
      <c r="V19" s="1382"/>
      <c r="W19" s="1383"/>
      <c r="X19" s="1377"/>
      <c r="Y19" s="3417"/>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17"/>
      <c r="Q20" s="1381" t="str">
        <f>B20</f>
        <v>自然及人文环境</v>
      </c>
      <c r="R20" s="1382" t="s">
        <v>8</v>
      </c>
      <c r="S20" s="1383">
        <f>F20</f>
        <v>100</v>
      </c>
      <c r="T20" s="1382" t="s">
        <v>8</v>
      </c>
      <c r="U20" s="1383">
        <f>H20</f>
        <v>100</v>
      </c>
      <c r="V20" s="1382" t="s">
        <v>8</v>
      </c>
      <c r="W20" s="1383">
        <f>J20</f>
        <v>100</v>
      </c>
      <c r="X20" s="1377"/>
      <c r="Y20" s="3417"/>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17"/>
      <c r="Q21" s="1381"/>
      <c r="R21" s="1382"/>
      <c r="S21" s="1383"/>
      <c r="T21" s="1382"/>
      <c r="U21" s="1383"/>
      <c r="V21" s="1382"/>
      <c r="W21" s="1383"/>
      <c r="X21" s="1377"/>
      <c r="Y21" s="3417"/>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17"/>
      <c r="Q22" s="1381" t="str">
        <f>B22</f>
        <v>楼层</v>
      </c>
      <c r="R22" s="1382" t="s">
        <v>8</v>
      </c>
      <c r="S22" s="1383">
        <f>F22</f>
        <v>100</v>
      </c>
      <c r="T22" s="1382" t="s">
        <v>8</v>
      </c>
      <c r="U22" s="1383">
        <f>H22</f>
        <v>100</v>
      </c>
      <c r="V22" s="1382" t="s">
        <v>8</v>
      </c>
      <c r="W22" s="1383">
        <f>J22</f>
        <v>100</v>
      </c>
      <c r="X22" s="1377"/>
      <c r="Y22" s="3417"/>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17"/>
      <c r="Q23" s="1381">
        <f>B23</f>
        <v>111</v>
      </c>
      <c r="R23" s="1382" t="s">
        <v>8</v>
      </c>
      <c r="S23" s="1383">
        <f>F23</f>
        <v>100</v>
      </c>
      <c r="T23" s="1382" t="s">
        <v>8</v>
      </c>
      <c r="U23" s="1383">
        <f>H23</f>
        <v>100</v>
      </c>
      <c r="V23" s="1382" t="s">
        <v>8</v>
      </c>
      <c r="W23" s="1383">
        <f>J23</f>
        <v>100</v>
      </c>
      <c r="X23" s="1377"/>
      <c r="Y23" s="3417"/>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17"/>
      <c r="Q24" s="1381">
        <f t="shared" ref="Q24:Q36" si="11">B24</f>
        <v>111</v>
      </c>
      <c r="R24" s="1382" t="s">
        <v>8</v>
      </c>
      <c r="S24" s="1383">
        <f>F24</f>
        <v>100</v>
      </c>
      <c r="T24" s="1382" t="s">
        <v>8</v>
      </c>
      <c r="U24" s="1383">
        <f>H24</f>
        <v>100</v>
      </c>
      <c r="V24" s="1382" t="s">
        <v>8</v>
      </c>
      <c r="W24" s="1383">
        <f>J24</f>
        <v>100</v>
      </c>
      <c r="X24" s="1377"/>
      <c r="Y24" s="3417"/>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17"/>
      <c r="Q25" s="824">
        <f t="shared" si="11"/>
        <v>111</v>
      </c>
      <c r="R25" s="1378" t="s">
        <v>8</v>
      </c>
      <c r="S25" s="1379">
        <f>F25</f>
        <v>100</v>
      </c>
      <c r="T25" s="1378" t="s">
        <v>8</v>
      </c>
      <c r="U25" s="1379">
        <f>H25</f>
        <v>100</v>
      </c>
      <c r="V25" s="1378" t="s">
        <v>8</v>
      </c>
      <c r="W25" s="1379">
        <f>J25</f>
        <v>100</v>
      </c>
      <c r="X25" s="1380"/>
      <c r="Y25" s="3417"/>
      <c r="Z25" s="1042">
        <f>Q25</f>
        <v>111</v>
      </c>
      <c r="AA25" s="1384">
        <f>D25/F25</f>
        <v>1</v>
      </c>
      <c r="AB25" s="1384">
        <f>D25/H25</f>
        <v>1</v>
      </c>
      <c r="AC25" s="1384">
        <f>D25/J25</f>
        <v>1</v>
      </c>
    </row>
    <row r="26" spans="1:29" ht="15">
      <c r="A26" s="2357" t="s">
        <v>2470</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18"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19"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19"/>
      <c r="Q27" s="825" t="str">
        <f t="shared" si="11"/>
        <v>项目停车位配比</v>
      </c>
      <c r="R27" s="1385" t="s">
        <v>8</v>
      </c>
      <c r="S27" s="1386">
        <f t="shared" si="12"/>
        <v>100</v>
      </c>
      <c r="T27" s="1385" t="s">
        <v>8</v>
      </c>
      <c r="U27" s="1386">
        <f t="shared" si="13"/>
        <v>100</v>
      </c>
      <c r="V27" s="1385" t="s">
        <v>8</v>
      </c>
      <c r="W27" s="1386">
        <f t="shared" si="14"/>
        <v>100</v>
      </c>
      <c r="X27" s="1387"/>
      <c r="Y27" s="3419"/>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19"/>
      <c r="Q28" s="1381" t="str">
        <f t="shared" si="11"/>
        <v>公共部分装修</v>
      </c>
      <c r="R28" s="1382" t="s">
        <v>8</v>
      </c>
      <c r="S28" s="1383">
        <f t="shared" si="12"/>
        <v>100</v>
      </c>
      <c r="T28" s="1382" t="s">
        <v>8</v>
      </c>
      <c r="U28" s="1383">
        <f t="shared" si="13"/>
        <v>100</v>
      </c>
      <c r="V28" s="1382" t="s">
        <v>8</v>
      </c>
      <c r="W28" s="1383">
        <f t="shared" si="14"/>
        <v>100</v>
      </c>
      <c r="X28" s="1377"/>
      <c r="Y28" s="3419"/>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19"/>
      <c r="Q29" s="1381" t="str">
        <f t="shared" si="11"/>
        <v>成新率</v>
      </c>
      <c r="R29" s="1382" t="s">
        <v>8</v>
      </c>
      <c r="S29" s="1383" t="e">
        <f t="shared" si="12"/>
        <v>#N/A</v>
      </c>
      <c r="T29" s="1382" t="s">
        <v>8</v>
      </c>
      <c r="U29" s="1383" t="e">
        <f t="shared" si="13"/>
        <v>#N/A</v>
      </c>
      <c r="V29" s="1382" t="s">
        <v>8</v>
      </c>
      <c r="W29" s="1383" t="e">
        <f t="shared" si="14"/>
        <v>#N/A</v>
      </c>
      <c r="X29" s="1377"/>
      <c r="Y29" s="3419"/>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19"/>
      <c r="Q30" s="1381" t="str">
        <f t="shared" si="11"/>
        <v>物业等级</v>
      </c>
      <c r="R30" s="1382" t="s">
        <v>8</v>
      </c>
      <c r="S30" s="1383">
        <f t="shared" si="12"/>
        <v>100</v>
      </c>
      <c r="T30" s="1382" t="s">
        <v>8</v>
      </c>
      <c r="U30" s="1383">
        <f t="shared" si="13"/>
        <v>100</v>
      </c>
      <c r="V30" s="1382" t="s">
        <v>8</v>
      </c>
      <c r="W30" s="1383">
        <f t="shared" si="14"/>
        <v>100</v>
      </c>
      <c r="X30" s="1377"/>
      <c r="Y30" s="3419"/>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19"/>
      <c r="Q31" s="824" t="str">
        <f t="shared" si="11"/>
        <v>停车位面积</v>
      </c>
      <c r="R31" s="1378" t="s">
        <v>8</v>
      </c>
      <c r="S31" s="1379" t="e">
        <f t="shared" si="12"/>
        <v>#N/A</v>
      </c>
      <c r="T31" s="1378" t="s">
        <v>8</v>
      </c>
      <c r="U31" s="1379" t="e">
        <f t="shared" si="13"/>
        <v>#N/A</v>
      </c>
      <c r="V31" s="1378" t="s">
        <v>8</v>
      </c>
      <c r="W31" s="1379" t="e">
        <f t="shared" si="14"/>
        <v>#N/A</v>
      </c>
      <c r="X31" s="1380"/>
      <c r="Y31" s="3419"/>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19" t="s">
        <v>533</v>
      </c>
      <c r="Q32" s="1381" t="str">
        <f t="shared" si="11"/>
        <v>车位类型</v>
      </c>
      <c r="R32" s="1382" t="s">
        <v>8</v>
      </c>
      <c r="S32" s="1383">
        <f t="shared" si="12"/>
        <v>100</v>
      </c>
      <c r="T32" s="1382" t="s">
        <v>8</v>
      </c>
      <c r="U32" s="1383">
        <f t="shared" si="13"/>
        <v>100</v>
      </c>
      <c r="V32" s="1382" t="s">
        <v>8</v>
      </c>
      <c r="W32" s="1383">
        <f t="shared" si="14"/>
        <v>100</v>
      </c>
      <c r="X32" s="1377"/>
      <c r="Y32" s="3419"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19"/>
      <c r="Q33" s="1381" t="str">
        <f t="shared" si="11"/>
        <v>是否直接入户</v>
      </c>
      <c r="R33" s="1382" t="s">
        <v>8</v>
      </c>
      <c r="S33" s="1383">
        <f t="shared" si="12"/>
        <v>100</v>
      </c>
      <c r="T33" s="1382" t="s">
        <v>8</v>
      </c>
      <c r="U33" s="1383">
        <f t="shared" si="13"/>
        <v>100</v>
      </c>
      <c r="V33" s="1382" t="s">
        <v>8</v>
      </c>
      <c r="W33" s="1383">
        <f t="shared" si="14"/>
        <v>100</v>
      </c>
      <c r="X33" s="1377"/>
      <c r="Y33" s="3419"/>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19"/>
      <c r="Q34" s="1381">
        <f t="shared" si="11"/>
        <v>111</v>
      </c>
      <c r="R34" s="1382" t="s">
        <v>8</v>
      </c>
      <c r="S34" s="1383">
        <f t="shared" si="12"/>
        <v>100</v>
      </c>
      <c r="T34" s="1382" t="s">
        <v>8</v>
      </c>
      <c r="U34" s="1383">
        <f t="shared" si="13"/>
        <v>100</v>
      </c>
      <c r="V34" s="1382" t="s">
        <v>8</v>
      </c>
      <c r="W34" s="1383">
        <f t="shared" si="14"/>
        <v>100</v>
      </c>
      <c r="X34" s="1377"/>
      <c r="Y34" s="3419"/>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19"/>
      <c r="Q35" s="825">
        <f t="shared" si="11"/>
        <v>111</v>
      </c>
      <c r="R35" s="1385" t="s">
        <v>8</v>
      </c>
      <c r="S35" s="1386">
        <f t="shared" si="12"/>
        <v>100</v>
      </c>
      <c r="T35" s="1385" t="s">
        <v>8</v>
      </c>
      <c r="U35" s="1386">
        <f t="shared" si="13"/>
        <v>100</v>
      </c>
      <c r="V35" s="1385" t="s">
        <v>8</v>
      </c>
      <c r="W35" s="1386">
        <f t="shared" si="14"/>
        <v>100</v>
      </c>
      <c r="X35" s="1387"/>
      <c r="Y35" s="3419"/>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19"/>
      <c r="Q36" s="1381">
        <f t="shared" si="11"/>
        <v>111</v>
      </c>
      <c r="R36" s="1382" t="s">
        <v>8</v>
      </c>
      <c r="S36" s="1383">
        <f t="shared" si="12"/>
        <v>100</v>
      </c>
      <c r="T36" s="1382" t="s">
        <v>8</v>
      </c>
      <c r="U36" s="1383">
        <f t="shared" si="13"/>
        <v>100</v>
      </c>
      <c r="V36" s="1382" t="s">
        <v>8</v>
      </c>
      <c r="W36" s="1383">
        <f t="shared" si="14"/>
        <v>100</v>
      </c>
      <c r="X36" s="1377"/>
      <c r="Y36" s="3419"/>
      <c r="Z36" s="1384">
        <f t="shared" si="15"/>
        <v>111</v>
      </c>
      <c r="AA36" s="1384">
        <f t="shared" si="3"/>
        <v>1</v>
      </c>
      <c r="AB36" s="1384">
        <f t="shared" si="4"/>
        <v>1</v>
      </c>
      <c r="AC36" s="1384">
        <f t="shared" si="5"/>
        <v>1</v>
      </c>
    </row>
    <row r="37" spans="1:29" ht="15">
      <c r="A37" s="1617" t="s">
        <v>1868</v>
      </c>
      <c r="B37" s="1618" t="s">
        <v>1869</v>
      </c>
      <c r="C37" s="2234" t="s">
        <v>1</v>
      </c>
      <c r="D37" s="564"/>
      <c r="E37" s="565"/>
      <c r="F37" s="566"/>
      <c r="G37" s="567"/>
      <c r="H37" s="568"/>
      <c r="I37" s="565"/>
      <c r="J37" s="568"/>
      <c r="K37" s="1410"/>
      <c r="L37" s="1863"/>
      <c r="M37" s="1854"/>
      <c r="N37" s="1854"/>
      <c r="O37" s="1854"/>
      <c r="P37" s="3414" t="str">
        <f>A37</f>
        <v>成交单价</v>
      </c>
      <c r="Q37" s="3414"/>
      <c r="R37" s="3430">
        <f>E37</f>
        <v>0</v>
      </c>
      <c r="S37" s="3430"/>
      <c r="T37" s="3430">
        <f>G37</f>
        <v>0</v>
      </c>
      <c r="U37" s="3430"/>
      <c r="V37" s="3430">
        <f>I37</f>
        <v>0</v>
      </c>
      <c r="W37" s="3430"/>
      <c r="X37" s="806"/>
      <c r="Y37" s="1389"/>
      <c r="Z37" s="806"/>
      <c r="AA37" s="806"/>
      <c r="AB37" s="806"/>
      <c r="AC37" s="806"/>
    </row>
    <row r="38" spans="1:29" ht="15.75" thickBot="1">
      <c r="A38" s="569" t="s">
        <v>2475</v>
      </c>
      <c r="B38" s="819"/>
      <c r="C38" s="2235" t="e">
        <f>R39</f>
        <v>#DIV/0!</v>
      </c>
      <c r="D38" s="2709" t="s">
        <v>2698</v>
      </c>
      <c r="E38" s="2236" t="e">
        <f>R38</f>
        <v>#DIV/0!</v>
      </c>
      <c r="F38" s="2710"/>
      <c r="G38" s="2235" t="e">
        <f>T38</f>
        <v>#DIV/0!</v>
      </c>
      <c r="H38" s="2710"/>
      <c r="I38" s="2236" t="e">
        <f>V38</f>
        <v>#DIV/0!</v>
      </c>
      <c r="J38" s="2710"/>
      <c r="K38" s="2717">
        <f>F38+H38+J38</f>
        <v>0</v>
      </c>
      <c r="L38" s="1863"/>
      <c r="M38" s="1854"/>
      <c r="N38" s="1854"/>
      <c r="O38" s="1854"/>
      <c r="P38" s="3414" t="str">
        <f>A38</f>
        <v>比较价格（元/平方米）</v>
      </c>
      <c r="Q38" s="3414"/>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806"/>
      <c r="Y38" s="806"/>
      <c r="Z38" s="806"/>
      <c r="AA38" s="806"/>
      <c r="AB38" s="806"/>
      <c r="AC38" s="806"/>
    </row>
    <row r="39" spans="1:29" ht="15.75" thickBot="1">
      <c r="A39" s="573" t="s">
        <v>2633</v>
      </c>
      <c r="B39" s="574"/>
      <c r="C39" s="474" t="e">
        <f>R39</f>
        <v>#DIV/0!</v>
      </c>
      <c r="D39" s="474"/>
      <c r="E39" s="474"/>
      <c r="F39" s="474"/>
      <c r="G39" s="474"/>
      <c r="H39" s="474"/>
      <c r="I39" s="474"/>
      <c r="J39" s="474"/>
      <c r="K39" s="1411"/>
      <c r="L39" s="1863"/>
      <c r="M39" s="1854"/>
      <c r="N39" s="1854"/>
      <c r="O39" s="1854"/>
      <c r="P39" s="3420" t="str">
        <f>A39</f>
        <v>估价对象XX用房的比较价格（楼面单价，元/平方米）</v>
      </c>
      <c r="Q39" s="3421"/>
      <c r="R39" s="3514" t="e">
        <f>IF(F1="售价",ROUND(IF(D38="简单平均",AVERAGE(R38:W38),R38*F38+T38*H38+V38*J38),0),ROUND(IF(D38="简单平均",AVERAGE(R38:V38),R38*F38+T38*H38+V38*J38),1))</f>
        <v>#DIV/0!</v>
      </c>
      <c r="S39" s="3514"/>
      <c r="T39" s="3514"/>
      <c r="U39" s="3514"/>
      <c r="V39" s="3514"/>
      <c r="W39" s="3514"/>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2022-11</v>
      </c>
      <c r="D48" s="2268">
        <f>EDATE(C48,-1)</f>
        <v>44835</v>
      </c>
      <c r="E48" s="2268">
        <f t="shared" ref="E48:O48" si="16">EDATE(D48,-1)</f>
        <v>44805</v>
      </c>
      <c r="F48" s="2268">
        <f t="shared" si="16"/>
        <v>44774</v>
      </c>
      <c r="G48" s="2268">
        <f t="shared" si="16"/>
        <v>44743</v>
      </c>
      <c r="H48" s="2268">
        <f t="shared" si="16"/>
        <v>44713</v>
      </c>
      <c r="I48" s="2268">
        <f t="shared" si="16"/>
        <v>44682</v>
      </c>
      <c r="J48" s="2268">
        <f t="shared" si="16"/>
        <v>44652</v>
      </c>
      <c r="K48" s="2268">
        <f t="shared" si="16"/>
        <v>44621</v>
      </c>
      <c r="L48" s="2268">
        <f t="shared" si="16"/>
        <v>44593</v>
      </c>
      <c r="M48" s="2268">
        <f t="shared" si="16"/>
        <v>44562</v>
      </c>
      <c r="N48" s="2268">
        <f t="shared" si="16"/>
        <v>44531</v>
      </c>
      <c r="O48" s="2268">
        <f t="shared" si="16"/>
        <v>44501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2274</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2275</v>
      </c>
      <c r="C67" s="2210" t="s">
        <v>2276</v>
      </c>
      <c r="D67" s="2210" t="s">
        <v>2277</v>
      </c>
      <c r="E67" s="2210" t="s">
        <v>2278</v>
      </c>
      <c r="F67" s="2210" t="s">
        <v>2279</v>
      </c>
      <c r="G67" s="2210" t="s">
        <v>2280</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22" t="s">
        <v>780</v>
      </c>
      <c r="D4" s="3423"/>
      <c r="E4" s="3448" t="s">
        <v>781</v>
      </c>
      <c r="F4" s="3449"/>
      <c r="G4" s="3422" t="s">
        <v>782</v>
      </c>
      <c r="H4" s="3423"/>
      <c r="I4" s="3422" t="s">
        <v>783</v>
      </c>
      <c r="J4" s="3423"/>
      <c r="K4" s="470" t="s">
        <v>784</v>
      </c>
      <c r="L4" s="1853"/>
      <c r="M4" s="1854"/>
      <c r="N4" s="1854"/>
      <c r="O4" s="1854"/>
      <c r="P4" s="3424" t="s">
        <v>785</v>
      </c>
      <c r="Q4" s="3425"/>
      <c r="R4" s="3408" t="s">
        <v>781</v>
      </c>
      <c r="S4" s="3409"/>
      <c r="T4" s="3408" t="s">
        <v>782</v>
      </c>
      <c r="U4" s="3409"/>
      <c r="V4" s="3430" t="s">
        <v>783</v>
      </c>
      <c r="W4" s="3430"/>
      <c r="X4" s="1377"/>
      <c r="Y4" s="3408" t="s">
        <v>785</v>
      </c>
      <c r="Z4" s="3409"/>
      <c r="AA4" s="3403" t="s">
        <v>781</v>
      </c>
      <c r="AB4" s="3404" t="s">
        <v>782</v>
      </c>
      <c r="AC4" s="3403" t="s">
        <v>783</v>
      </c>
    </row>
    <row r="5" spans="1:29" ht="15">
      <c r="A5" s="471"/>
      <c r="B5" s="472"/>
      <c r="C5" s="3433" t="s">
        <v>2627</v>
      </c>
      <c r="D5" s="3434"/>
      <c r="E5" s="3450" t="s">
        <v>2628</v>
      </c>
      <c r="F5" s="3451"/>
      <c r="G5" s="3433" t="s">
        <v>2629</v>
      </c>
      <c r="H5" s="3434"/>
      <c r="I5" s="3433" t="s">
        <v>2630</v>
      </c>
      <c r="J5" s="3434"/>
      <c r="K5" s="470"/>
      <c r="L5" s="1853"/>
      <c r="M5" s="1854"/>
      <c r="N5" s="1854"/>
      <c r="O5" s="1854"/>
      <c r="P5" s="3426"/>
      <c r="Q5" s="3427"/>
      <c r="R5" s="3410"/>
      <c r="S5" s="3411"/>
      <c r="T5" s="3410"/>
      <c r="U5" s="3411"/>
      <c r="V5" s="3430"/>
      <c r="W5" s="3430"/>
      <c r="X5" s="1377"/>
      <c r="Y5" s="3410"/>
      <c r="Z5" s="3411"/>
      <c r="AA5" s="3404"/>
      <c r="AB5" s="3404"/>
      <c r="AC5" s="3404"/>
    </row>
    <row r="6" spans="1:29" ht="15.75" thickBot="1">
      <c r="A6" s="473"/>
      <c r="B6" s="474"/>
      <c r="C6" s="3431" t="s">
        <v>2631</v>
      </c>
      <c r="D6" s="3432"/>
      <c r="E6" s="3452" t="s">
        <v>2631</v>
      </c>
      <c r="F6" s="3453"/>
      <c r="G6" s="3431" t="s">
        <v>2631</v>
      </c>
      <c r="H6" s="3432"/>
      <c r="I6" s="3431" t="s">
        <v>2631</v>
      </c>
      <c r="J6" s="3432"/>
      <c r="K6" s="470" t="s">
        <v>511</v>
      </c>
      <c r="L6" s="1853"/>
      <c r="M6" s="1854"/>
      <c r="N6" s="1854"/>
      <c r="O6" s="1854"/>
      <c r="P6" s="3428"/>
      <c r="Q6" s="3429"/>
      <c r="R6" s="3410"/>
      <c r="S6" s="3411"/>
      <c r="T6" s="3412"/>
      <c r="U6" s="3413"/>
      <c r="V6" s="3430"/>
      <c r="W6" s="3430"/>
      <c r="X6" s="1377"/>
      <c r="Y6" s="3412"/>
      <c r="Z6" s="3413"/>
      <c r="AA6" s="3405"/>
      <c r="AB6" s="3405"/>
      <c r="AC6" s="3405"/>
    </row>
    <row r="7" spans="1:29" s="1106" customFormat="1" ht="15.75" thickBot="1">
      <c r="A7" s="2362"/>
      <c r="B7" s="2369" t="s">
        <v>512</v>
      </c>
      <c r="C7" s="475">
        <f>'数据-取费表'!B2</f>
        <v>44895</v>
      </c>
      <c r="D7" s="476">
        <v>100</v>
      </c>
      <c r="E7" s="477"/>
      <c r="F7" s="478">
        <f>SUMIF(46:46,YEAR(E7)&amp;"-"&amp;MONTH(E7),47:47)</f>
        <v>0</v>
      </c>
      <c r="G7" s="479"/>
      <c r="H7" s="476">
        <f>SUMIF(46:46,YEAR(G7)&amp;"-"&amp;MONTH(G7),47:47)</f>
        <v>0</v>
      </c>
      <c r="I7" s="479"/>
      <c r="J7" s="476">
        <f>SUMIF(46:46,YEAR(I7)&amp;"-"&amp;MONTH(I7),47:47)</f>
        <v>0</v>
      </c>
      <c r="K7" s="92"/>
      <c r="L7" s="1855"/>
      <c r="M7" s="1752"/>
      <c r="N7" s="1752"/>
      <c r="O7" s="1752"/>
      <c r="P7" s="3406" t="s">
        <v>513</v>
      </c>
      <c r="Q7" s="3415"/>
      <c r="R7" s="1378" t="s">
        <v>8</v>
      </c>
      <c r="S7" s="1379">
        <f t="shared" ref="S7:S14" si="0">F7</f>
        <v>0</v>
      </c>
      <c r="T7" s="1378" t="s">
        <v>8</v>
      </c>
      <c r="U7" s="1379">
        <f t="shared" ref="U7:U14" si="1">H7</f>
        <v>0</v>
      </c>
      <c r="V7" s="1378" t="s">
        <v>8</v>
      </c>
      <c r="W7" s="1379">
        <f t="shared" ref="W7:W14" si="2">J7</f>
        <v>0</v>
      </c>
      <c r="X7" s="1380"/>
      <c r="Y7" s="3406" t="s">
        <v>513</v>
      </c>
      <c r="Z7" s="3407"/>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06" t="s">
        <v>516</v>
      </c>
      <c r="Q8" s="3407"/>
      <c r="R8" s="1378" t="s">
        <v>8</v>
      </c>
      <c r="S8" s="1379">
        <f t="shared" si="0"/>
        <v>0</v>
      </c>
      <c r="T8" s="1378" t="s">
        <v>8</v>
      </c>
      <c r="U8" s="1379">
        <f t="shared" si="1"/>
        <v>0</v>
      </c>
      <c r="V8" s="1378" t="s">
        <v>8</v>
      </c>
      <c r="W8" s="1379">
        <f t="shared" si="2"/>
        <v>0</v>
      </c>
      <c r="X8" s="1380"/>
      <c r="Y8" s="3406" t="s">
        <v>516</v>
      </c>
      <c r="Z8" s="3407"/>
      <c r="AA8" s="1042" t="e">
        <f t="shared" ref="AA8:AA34" si="3">D8/F8</f>
        <v>#DIV/0!</v>
      </c>
      <c r="AB8" s="1042" t="e">
        <f t="shared" ref="AB8:AB34" si="4">D8/H8</f>
        <v>#DIV/0!</v>
      </c>
      <c r="AC8" s="1042" t="e">
        <f t="shared" ref="AC8:AC34" si="5">D8/J8</f>
        <v>#DIV/0!</v>
      </c>
    </row>
    <row r="9" spans="1:29" s="1106" customFormat="1" ht="15">
      <c r="A9" s="2364"/>
      <c r="B9" s="2371" t="s">
        <v>2471</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414" t="s">
        <v>518</v>
      </c>
      <c r="Q9" s="824" t="str">
        <f t="shared" ref="Q9:Q14" si="6">B9</f>
        <v>用途</v>
      </c>
      <c r="R9" s="1378" t="s">
        <v>8</v>
      </c>
      <c r="S9" s="1379">
        <f t="shared" si="0"/>
        <v>100</v>
      </c>
      <c r="T9" s="1378" t="s">
        <v>8</v>
      </c>
      <c r="U9" s="1379">
        <f t="shared" si="1"/>
        <v>100</v>
      </c>
      <c r="V9" s="1378" t="s">
        <v>8</v>
      </c>
      <c r="W9" s="1379">
        <f t="shared" si="2"/>
        <v>100</v>
      </c>
      <c r="X9" s="1380"/>
      <c r="Y9" s="3362"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414"/>
      <c r="Q10" s="824" t="str">
        <f t="shared" si="6"/>
        <v>土地使用年限（年）</v>
      </c>
      <c r="R10" s="1378" t="s">
        <v>8</v>
      </c>
      <c r="S10" s="1379">
        <f t="shared" si="0"/>
        <v>100</v>
      </c>
      <c r="T10" s="1378" t="s">
        <v>8</v>
      </c>
      <c r="U10" s="1379">
        <f t="shared" si="1"/>
        <v>100</v>
      </c>
      <c r="V10" s="1378" t="s">
        <v>8</v>
      </c>
      <c r="W10" s="1379">
        <f t="shared" si="2"/>
        <v>100</v>
      </c>
      <c r="X10" s="1380"/>
      <c r="Y10" s="3362"/>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414"/>
      <c r="Q11" s="824">
        <f t="shared" si="6"/>
        <v>111</v>
      </c>
      <c r="R11" s="1378" t="s">
        <v>8</v>
      </c>
      <c r="S11" s="1379">
        <f t="shared" si="0"/>
        <v>100</v>
      </c>
      <c r="T11" s="1378" t="s">
        <v>8</v>
      </c>
      <c r="U11" s="1379">
        <f t="shared" si="1"/>
        <v>100</v>
      </c>
      <c r="V11" s="1378" t="s">
        <v>8</v>
      </c>
      <c r="W11" s="1379">
        <f t="shared" si="2"/>
        <v>100</v>
      </c>
      <c r="X11" s="1380"/>
      <c r="Y11" s="3362"/>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414"/>
      <c r="Q12" s="824">
        <f t="shared" si="6"/>
        <v>111</v>
      </c>
      <c r="R12" s="1378" t="s">
        <v>8</v>
      </c>
      <c r="S12" s="1379">
        <f t="shared" si="0"/>
        <v>100</v>
      </c>
      <c r="T12" s="1378" t="s">
        <v>8</v>
      </c>
      <c r="U12" s="1379">
        <f t="shared" si="1"/>
        <v>100</v>
      </c>
      <c r="V12" s="1378" t="s">
        <v>8</v>
      </c>
      <c r="W12" s="1379">
        <f t="shared" si="2"/>
        <v>100</v>
      </c>
      <c r="X12" s="1380"/>
      <c r="Y12" s="3362"/>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414"/>
      <c r="Q13" s="824">
        <f t="shared" si="6"/>
        <v>111</v>
      </c>
      <c r="R13" s="1378" t="s">
        <v>8</v>
      </c>
      <c r="S13" s="1379">
        <f t="shared" si="0"/>
        <v>100</v>
      </c>
      <c r="T13" s="1378" t="s">
        <v>8</v>
      </c>
      <c r="U13" s="1379">
        <f t="shared" si="1"/>
        <v>100</v>
      </c>
      <c r="V13" s="1378" t="s">
        <v>8</v>
      </c>
      <c r="W13" s="1379">
        <f t="shared" si="2"/>
        <v>100</v>
      </c>
      <c r="X13" s="1380"/>
      <c r="Y13" s="3362"/>
      <c r="Z13" s="1042">
        <f t="shared" si="7"/>
        <v>111</v>
      </c>
      <c r="AA13" s="1042">
        <f t="shared" si="3"/>
        <v>1</v>
      </c>
      <c r="AB13" s="1042">
        <f t="shared" si="4"/>
        <v>1</v>
      </c>
      <c r="AC13" s="1042">
        <f t="shared" si="5"/>
        <v>1</v>
      </c>
    </row>
    <row r="14" spans="1:29" ht="85.5">
      <c r="A14" s="2360" t="s">
        <v>2469</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16" t="s">
        <v>523</v>
      </c>
      <c r="Q14" s="1381" t="str">
        <f t="shared" si="6"/>
        <v>交通便捷度</v>
      </c>
      <c r="R14" s="1382" t="s">
        <v>8</v>
      </c>
      <c r="S14" s="1383">
        <f t="shared" si="0"/>
        <v>100</v>
      </c>
      <c r="T14" s="1382" t="s">
        <v>8</v>
      </c>
      <c r="U14" s="1383">
        <f t="shared" si="1"/>
        <v>100</v>
      </c>
      <c r="V14" s="1382" t="s">
        <v>8</v>
      </c>
      <c r="W14" s="1383">
        <f t="shared" si="2"/>
        <v>100</v>
      </c>
      <c r="X14" s="1377"/>
      <c r="Y14" s="3416"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17"/>
      <c r="Q15" s="1381"/>
      <c r="R15" s="1382"/>
      <c r="S15" s="1383"/>
      <c r="T15" s="1382"/>
      <c r="U15" s="1383"/>
      <c r="V15" s="1382"/>
      <c r="W15" s="1383"/>
      <c r="X15" s="1377"/>
      <c r="Y15" s="3417"/>
      <c r="Z15" s="1384"/>
      <c r="AA15" s="1384">
        <v>1</v>
      </c>
      <c r="AB15" s="1384">
        <v>1</v>
      </c>
      <c r="AC15" s="1384">
        <v>1</v>
      </c>
    </row>
    <row r="16" spans="1:29" ht="42.75">
      <c r="A16" s="487"/>
      <c r="B16" s="2215" t="s">
        <v>2263</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17"/>
      <c r="Q16" s="1381" t="str">
        <f>B16</f>
        <v>公共配套设施</v>
      </c>
      <c r="R16" s="1382" t="s">
        <v>8</v>
      </c>
      <c r="S16" s="1383">
        <f>F16</f>
        <v>100</v>
      </c>
      <c r="T16" s="1382" t="s">
        <v>8</v>
      </c>
      <c r="U16" s="1383">
        <f>H16</f>
        <v>100</v>
      </c>
      <c r="V16" s="1382" t="s">
        <v>8</v>
      </c>
      <c r="W16" s="1383">
        <f>J16</f>
        <v>100</v>
      </c>
      <c r="X16" s="1377"/>
      <c r="Y16" s="3417"/>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17"/>
      <c r="Q17" s="1381"/>
      <c r="R17" s="1382"/>
      <c r="S17" s="1383"/>
      <c r="T17" s="1382"/>
      <c r="U17" s="1383"/>
      <c r="V17" s="1382"/>
      <c r="W17" s="1383"/>
      <c r="X17" s="1377"/>
      <c r="Y17" s="3417"/>
      <c r="Z17" s="1384"/>
      <c r="AA17" s="1384">
        <v>1</v>
      </c>
      <c r="AB17" s="1384">
        <v>1</v>
      </c>
      <c r="AC17" s="1384">
        <v>1</v>
      </c>
    </row>
    <row r="18" spans="1:29" ht="28.5">
      <c r="A18" s="487"/>
      <c r="B18" s="2203" t="s">
        <v>2275</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17"/>
      <c r="Q18" s="1381" t="str">
        <f>B18</f>
        <v>基础设施水平</v>
      </c>
      <c r="R18" s="1382" t="s">
        <v>8</v>
      </c>
      <c r="S18" s="1383">
        <f>F18</f>
        <v>100</v>
      </c>
      <c r="T18" s="1382" t="s">
        <v>8</v>
      </c>
      <c r="U18" s="1383">
        <f>H18</f>
        <v>100</v>
      </c>
      <c r="V18" s="1382" t="s">
        <v>8</v>
      </c>
      <c r="W18" s="1383">
        <f>J18</f>
        <v>100</v>
      </c>
      <c r="X18" s="1377"/>
      <c r="Y18" s="3417"/>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17"/>
      <c r="Q19" s="1381"/>
      <c r="R19" s="1382"/>
      <c r="S19" s="1383"/>
      <c r="T19" s="1382"/>
      <c r="U19" s="1383"/>
      <c r="V19" s="1382"/>
      <c r="W19" s="1383"/>
      <c r="X19" s="1377"/>
      <c r="Y19" s="3417"/>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17"/>
      <c r="Q20" s="1381" t="str">
        <f>B20</f>
        <v>自然及人文环境</v>
      </c>
      <c r="R20" s="1382" t="s">
        <v>8</v>
      </c>
      <c r="S20" s="1383">
        <f>F20</f>
        <v>100</v>
      </c>
      <c r="T20" s="1382" t="s">
        <v>8</v>
      </c>
      <c r="U20" s="1383">
        <f>H20</f>
        <v>100</v>
      </c>
      <c r="V20" s="1382" t="s">
        <v>8</v>
      </c>
      <c r="W20" s="1383">
        <f>J20</f>
        <v>100</v>
      </c>
      <c r="X20" s="1377"/>
      <c r="Y20" s="3417"/>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17"/>
      <c r="Q21" s="1381"/>
      <c r="R21" s="1382"/>
      <c r="S21" s="1383"/>
      <c r="T21" s="1382"/>
      <c r="U21" s="1383"/>
      <c r="V21" s="1382"/>
      <c r="W21" s="1383"/>
      <c r="X21" s="1377"/>
      <c r="Y21" s="3417"/>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17"/>
      <c r="Q22" s="1381" t="str">
        <f>B22</f>
        <v>楼层</v>
      </c>
      <c r="R22" s="1382" t="s">
        <v>8</v>
      </c>
      <c r="S22" s="1383">
        <f>F22</f>
        <v>100</v>
      </c>
      <c r="T22" s="1382" t="s">
        <v>8</v>
      </c>
      <c r="U22" s="1383">
        <f>H22</f>
        <v>100</v>
      </c>
      <c r="V22" s="1382" t="s">
        <v>8</v>
      </c>
      <c r="W22" s="1383">
        <f>J22</f>
        <v>100</v>
      </c>
      <c r="X22" s="1377"/>
      <c r="Y22" s="3417"/>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17"/>
      <c r="Q23" s="1381">
        <f>B23</f>
        <v>111</v>
      </c>
      <c r="R23" s="1382" t="s">
        <v>8</v>
      </c>
      <c r="S23" s="1383">
        <f>F23</f>
        <v>100</v>
      </c>
      <c r="T23" s="1382" t="s">
        <v>8</v>
      </c>
      <c r="U23" s="1383">
        <f>H23</f>
        <v>100</v>
      </c>
      <c r="V23" s="1382" t="s">
        <v>8</v>
      </c>
      <c r="W23" s="1383">
        <f>J23</f>
        <v>100</v>
      </c>
      <c r="X23" s="1377"/>
      <c r="Y23" s="3417"/>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17"/>
      <c r="Q24" s="1381">
        <f t="shared" ref="Q24:Q34" si="11">B24</f>
        <v>111</v>
      </c>
      <c r="R24" s="1382" t="s">
        <v>8</v>
      </c>
      <c r="S24" s="1383">
        <f>F24</f>
        <v>100</v>
      </c>
      <c r="T24" s="1382" t="s">
        <v>8</v>
      </c>
      <c r="U24" s="1383">
        <f>H24</f>
        <v>100</v>
      </c>
      <c r="V24" s="1382" t="s">
        <v>8</v>
      </c>
      <c r="W24" s="1383">
        <f>J24</f>
        <v>100</v>
      </c>
      <c r="X24" s="1377"/>
      <c r="Y24" s="3417"/>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17"/>
      <c r="Q25" s="824">
        <f t="shared" si="11"/>
        <v>111</v>
      </c>
      <c r="R25" s="1378" t="s">
        <v>8</v>
      </c>
      <c r="S25" s="1379">
        <f>F25</f>
        <v>100</v>
      </c>
      <c r="T25" s="1378" t="s">
        <v>8</v>
      </c>
      <c r="U25" s="1379">
        <f>H25</f>
        <v>100</v>
      </c>
      <c r="V25" s="1378" t="s">
        <v>8</v>
      </c>
      <c r="W25" s="1379">
        <f>J25</f>
        <v>100</v>
      </c>
      <c r="X25" s="1380"/>
      <c r="Y25" s="3417"/>
      <c r="Z25" s="1042">
        <f>Q25</f>
        <v>111</v>
      </c>
      <c r="AA25" s="1384">
        <f>D25/F25</f>
        <v>1</v>
      </c>
      <c r="AB25" s="1384">
        <f>D25/H25</f>
        <v>1</v>
      </c>
      <c r="AC25" s="1384">
        <f>D25/J25</f>
        <v>1</v>
      </c>
    </row>
    <row r="26" spans="1:29" ht="15">
      <c r="A26" s="2357" t="s">
        <v>2470</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18"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19"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19"/>
      <c r="Q27" s="825" t="str">
        <f t="shared" si="11"/>
        <v>成新率</v>
      </c>
      <c r="R27" s="1385" t="s">
        <v>8</v>
      </c>
      <c r="S27" s="1386" t="e">
        <f t="shared" si="12"/>
        <v>#N/A</v>
      </c>
      <c r="T27" s="1385" t="s">
        <v>8</v>
      </c>
      <c r="U27" s="1386" t="e">
        <f t="shared" si="13"/>
        <v>#N/A</v>
      </c>
      <c r="V27" s="1385" t="s">
        <v>8</v>
      </c>
      <c r="W27" s="1386" t="e">
        <f t="shared" si="14"/>
        <v>#N/A</v>
      </c>
      <c r="X27" s="1387"/>
      <c r="Y27" s="3419"/>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19"/>
      <c r="Q28" s="1381" t="str">
        <f t="shared" si="11"/>
        <v>物业等级</v>
      </c>
      <c r="R28" s="1382" t="s">
        <v>8</v>
      </c>
      <c r="S28" s="1383">
        <f t="shared" si="12"/>
        <v>100</v>
      </c>
      <c r="T28" s="1382" t="s">
        <v>8</v>
      </c>
      <c r="U28" s="1383">
        <f t="shared" si="13"/>
        <v>100</v>
      </c>
      <c r="V28" s="1382" t="s">
        <v>8</v>
      </c>
      <c r="W28" s="1383">
        <f t="shared" si="14"/>
        <v>100</v>
      </c>
      <c r="X28" s="1377"/>
      <c r="Y28" s="3419"/>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19"/>
      <c r="Q29" s="1381" t="str">
        <f t="shared" si="11"/>
        <v>有无电梯</v>
      </c>
      <c r="R29" s="1382" t="s">
        <v>8</v>
      </c>
      <c r="S29" s="1383">
        <f t="shared" si="12"/>
        <v>100</v>
      </c>
      <c r="T29" s="1382" t="s">
        <v>8</v>
      </c>
      <c r="U29" s="1383">
        <f t="shared" si="13"/>
        <v>100</v>
      </c>
      <c r="V29" s="1382" t="s">
        <v>8</v>
      </c>
      <c r="W29" s="1383">
        <f t="shared" si="14"/>
        <v>100</v>
      </c>
      <c r="X29" s="1377"/>
      <c r="Y29" s="3419"/>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19"/>
      <c r="Q30" s="1381" t="str">
        <f t="shared" si="11"/>
        <v>建筑面积</v>
      </c>
      <c r="R30" s="1382" t="s">
        <v>8</v>
      </c>
      <c r="S30" s="1383" t="e">
        <f t="shared" si="12"/>
        <v>#N/A</v>
      </c>
      <c r="T30" s="1382" t="s">
        <v>8</v>
      </c>
      <c r="U30" s="1383" t="e">
        <f t="shared" si="13"/>
        <v>#N/A</v>
      </c>
      <c r="V30" s="1382" t="s">
        <v>8</v>
      </c>
      <c r="W30" s="1383" t="e">
        <f t="shared" si="14"/>
        <v>#N/A</v>
      </c>
      <c r="X30" s="1377"/>
      <c r="Y30" s="3419"/>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19"/>
      <c r="Q31" s="824" t="str">
        <f t="shared" si="11"/>
        <v>是否封闭</v>
      </c>
      <c r="R31" s="1378" t="s">
        <v>8</v>
      </c>
      <c r="S31" s="1379">
        <f t="shared" si="12"/>
        <v>100</v>
      </c>
      <c r="T31" s="1378" t="s">
        <v>8</v>
      </c>
      <c r="U31" s="1379">
        <f t="shared" si="13"/>
        <v>100</v>
      </c>
      <c r="V31" s="1378" t="s">
        <v>8</v>
      </c>
      <c r="W31" s="1379">
        <f t="shared" si="14"/>
        <v>100</v>
      </c>
      <c r="X31" s="1380"/>
      <c r="Y31" s="3419"/>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19" t="s">
        <v>533</v>
      </c>
      <c r="Q32" s="1381">
        <f t="shared" si="11"/>
        <v>111</v>
      </c>
      <c r="R32" s="1382" t="s">
        <v>8</v>
      </c>
      <c r="S32" s="1383">
        <f t="shared" si="12"/>
        <v>100</v>
      </c>
      <c r="T32" s="1382" t="s">
        <v>8</v>
      </c>
      <c r="U32" s="1383">
        <f t="shared" si="13"/>
        <v>100</v>
      </c>
      <c r="V32" s="1382" t="s">
        <v>8</v>
      </c>
      <c r="W32" s="1383">
        <f t="shared" si="14"/>
        <v>100</v>
      </c>
      <c r="X32" s="1377"/>
      <c r="Y32" s="3419"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19"/>
      <c r="Q33" s="1381">
        <f t="shared" si="11"/>
        <v>111</v>
      </c>
      <c r="R33" s="1382" t="s">
        <v>8</v>
      </c>
      <c r="S33" s="1383">
        <f t="shared" si="12"/>
        <v>100</v>
      </c>
      <c r="T33" s="1382" t="s">
        <v>8</v>
      </c>
      <c r="U33" s="1383">
        <f t="shared" si="13"/>
        <v>100</v>
      </c>
      <c r="V33" s="1382" t="s">
        <v>8</v>
      </c>
      <c r="W33" s="1383">
        <f t="shared" si="14"/>
        <v>100</v>
      </c>
      <c r="X33" s="1377"/>
      <c r="Y33" s="3419"/>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19"/>
      <c r="Q34" s="1381">
        <f t="shared" si="11"/>
        <v>111</v>
      </c>
      <c r="R34" s="1382" t="s">
        <v>8</v>
      </c>
      <c r="S34" s="1383">
        <f t="shared" si="12"/>
        <v>100</v>
      </c>
      <c r="T34" s="1382" t="s">
        <v>8</v>
      </c>
      <c r="U34" s="1383">
        <f t="shared" si="13"/>
        <v>100</v>
      </c>
      <c r="V34" s="1382" t="s">
        <v>8</v>
      </c>
      <c r="W34" s="1383">
        <f t="shared" si="14"/>
        <v>100</v>
      </c>
      <c r="X34" s="1377"/>
      <c r="Y34" s="3419"/>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414" t="str">
        <f>A35</f>
        <v>成交单价（元/平方米）</v>
      </c>
      <c r="Q35" s="3414"/>
      <c r="R35" s="3430">
        <f>E35</f>
        <v>0</v>
      </c>
      <c r="S35" s="3430"/>
      <c r="T35" s="3430">
        <f>G35</f>
        <v>0</v>
      </c>
      <c r="U35" s="3430"/>
      <c r="V35" s="3430">
        <f>I35</f>
        <v>0</v>
      </c>
      <c r="W35" s="3430"/>
      <c r="X35" s="806"/>
      <c r="Y35" s="1389"/>
      <c r="Z35" s="806"/>
      <c r="AA35" s="806"/>
      <c r="AB35" s="806"/>
      <c r="AC35" s="806"/>
    </row>
    <row r="36" spans="1:29" ht="15.75" thickBot="1">
      <c r="A36" s="569" t="s">
        <v>2475</v>
      </c>
      <c r="B36" s="819"/>
      <c r="C36" s="2235" t="e">
        <f>R37</f>
        <v>#DIV/0!</v>
      </c>
      <c r="D36" s="2709" t="s">
        <v>2699</v>
      </c>
      <c r="E36" s="2236" t="e">
        <f>R36</f>
        <v>#DIV/0!</v>
      </c>
      <c r="F36" s="2710"/>
      <c r="G36" s="2235" t="e">
        <f>T36</f>
        <v>#DIV/0!</v>
      </c>
      <c r="H36" s="2710"/>
      <c r="I36" s="2236" t="e">
        <f>V36</f>
        <v>#DIV/0!</v>
      </c>
      <c r="J36" s="2710"/>
      <c r="K36" s="2717">
        <f>F36+H36+J36</f>
        <v>0</v>
      </c>
      <c r="L36" s="1863"/>
      <c r="M36" s="1854"/>
      <c r="N36" s="1854"/>
      <c r="O36" s="1854"/>
      <c r="P36" s="3414" t="str">
        <f>A36</f>
        <v>比较价格（元/平方米）</v>
      </c>
      <c r="Q36" s="3414"/>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806"/>
      <c r="Y36" s="806"/>
      <c r="Z36" s="806"/>
      <c r="AA36" s="806"/>
      <c r="AB36" s="806"/>
      <c r="AC36" s="806"/>
    </row>
    <row r="37" spans="1:29" ht="15.75" thickBot="1">
      <c r="A37" s="573" t="s">
        <v>2633</v>
      </c>
      <c r="B37" s="574"/>
      <c r="C37" s="474" t="e">
        <f>R37</f>
        <v>#DIV/0!</v>
      </c>
      <c r="D37" s="474"/>
      <c r="E37" s="474"/>
      <c r="F37" s="474"/>
      <c r="G37" s="474"/>
      <c r="H37" s="474"/>
      <c r="I37" s="474"/>
      <c r="J37" s="474"/>
      <c r="K37" s="1411"/>
      <c r="L37" s="1863"/>
      <c r="M37" s="1854"/>
      <c r="N37" s="1854"/>
      <c r="O37" s="1854"/>
      <c r="P37" s="3420" t="str">
        <f>A37</f>
        <v>估价对象XX用房的比较价格（楼面单价，元/平方米）</v>
      </c>
      <c r="Q37" s="3421"/>
      <c r="R37" s="3514" t="e">
        <f>IF(F1="售价",ROUND(IF(D36="简单平均",AVERAGE(R36:W36),R36*F36+T36*H36+V36*J36),0),ROUND(IF(D36="简单平均",AVERAGE(R36:V36),R36*F36+T36*H36+V36*J36),1))</f>
        <v>#DIV/0!</v>
      </c>
      <c r="S37" s="3514"/>
      <c r="T37" s="3514"/>
      <c r="U37" s="3514"/>
      <c r="V37" s="3514"/>
      <c r="W37" s="3514"/>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2022-11</v>
      </c>
      <c r="D46" s="2268">
        <f>EDATE(C46,-1)</f>
        <v>44835</v>
      </c>
      <c r="E46" s="2268">
        <f t="shared" ref="E46:O46" si="16">EDATE(D46,-1)</f>
        <v>44805</v>
      </c>
      <c r="F46" s="2268">
        <f t="shared" si="16"/>
        <v>44774</v>
      </c>
      <c r="G46" s="2268">
        <f t="shared" si="16"/>
        <v>44743</v>
      </c>
      <c r="H46" s="2268">
        <f t="shared" si="16"/>
        <v>44713</v>
      </c>
      <c r="I46" s="2268">
        <f t="shared" si="16"/>
        <v>44682</v>
      </c>
      <c r="J46" s="2268">
        <f t="shared" si="16"/>
        <v>44652</v>
      </c>
      <c r="K46" s="2268">
        <f t="shared" si="16"/>
        <v>44621</v>
      </c>
      <c r="L46" s="2268">
        <f t="shared" si="16"/>
        <v>44593</v>
      </c>
      <c r="M46" s="2268">
        <f t="shared" si="16"/>
        <v>44562</v>
      </c>
      <c r="N46" s="2268">
        <f t="shared" si="16"/>
        <v>44531</v>
      </c>
      <c r="O46" s="2268">
        <f t="shared" si="16"/>
        <v>44501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2274</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2275</v>
      </c>
      <c r="C65" s="2210" t="s">
        <v>2276</v>
      </c>
      <c r="D65" s="2210" t="s">
        <v>2277</v>
      </c>
      <c r="E65" s="2210" t="s">
        <v>2278</v>
      </c>
      <c r="F65" s="2210" t="s">
        <v>2279</v>
      </c>
      <c r="G65" s="2210" t="s">
        <v>2280</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ColWidth="8.875" defaultRowHeight="13.5"/>
  <cols>
    <col min="1" max="1" width="4.875" style="2391" customWidth="1"/>
    <col min="2" max="2" width="13.1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625" style="2397" customWidth="1"/>
    <col min="14" max="256" width="9" style="2397"/>
    <col min="257" max="257" width="4.875" style="2389" customWidth="1"/>
    <col min="258" max="258" width="13.1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625" style="2389" customWidth="1"/>
    <col min="270" max="512" width="9" style="2389"/>
    <col min="513" max="513" width="4.875" style="2389" customWidth="1"/>
    <col min="514" max="514" width="13.1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625" style="2389" customWidth="1"/>
    <col min="526" max="768" width="9" style="2389"/>
    <col min="769" max="769" width="4.875" style="2389" customWidth="1"/>
    <col min="770" max="770" width="13.1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625" style="2389" customWidth="1"/>
    <col min="782" max="1024" width="9" style="2389"/>
    <col min="1025" max="1025" width="4.875" style="2389" customWidth="1"/>
    <col min="1026" max="1026" width="13.1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625" style="2389" customWidth="1"/>
    <col min="1038" max="1280" width="9" style="2389"/>
    <col min="1281" max="1281" width="4.875" style="2389" customWidth="1"/>
    <col min="1282" max="1282" width="13.1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625" style="2389" customWidth="1"/>
    <col min="1294" max="1536" width="9" style="2389"/>
    <col min="1537" max="1537" width="4.875" style="2389" customWidth="1"/>
    <col min="1538" max="1538" width="13.1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625" style="2389" customWidth="1"/>
    <col min="1550" max="1792" width="9" style="2389"/>
    <col min="1793" max="1793" width="4.875" style="2389" customWidth="1"/>
    <col min="1794" max="1794" width="13.1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625" style="2389" customWidth="1"/>
    <col min="1806" max="2048" width="9" style="2389"/>
    <col min="2049" max="2049" width="4.875" style="2389" customWidth="1"/>
    <col min="2050" max="2050" width="13.1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625" style="2389" customWidth="1"/>
    <col min="2062" max="2304" width="9" style="2389"/>
    <col min="2305" max="2305" width="4.875" style="2389" customWidth="1"/>
    <col min="2306" max="2306" width="13.1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625" style="2389" customWidth="1"/>
    <col min="2318" max="2560" width="9" style="2389"/>
    <col min="2561" max="2561" width="4.875" style="2389" customWidth="1"/>
    <col min="2562" max="2562" width="13.1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625" style="2389" customWidth="1"/>
    <col min="2574" max="2816" width="9" style="2389"/>
    <col min="2817" max="2817" width="4.875" style="2389" customWidth="1"/>
    <col min="2818" max="2818" width="13.1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625" style="2389" customWidth="1"/>
    <col min="2830" max="3072" width="9" style="2389"/>
    <col min="3073" max="3073" width="4.875" style="2389" customWidth="1"/>
    <col min="3074" max="3074" width="13.1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625" style="2389" customWidth="1"/>
    <col min="3086" max="3328" width="9" style="2389"/>
    <col min="3329" max="3329" width="4.875" style="2389" customWidth="1"/>
    <col min="3330" max="3330" width="13.1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625" style="2389" customWidth="1"/>
    <col min="3342" max="3584" width="9" style="2389"/>
    <col min="3585" max="3585" width="4.875" style="2389" customWidth="1"/>
    <col min="3586" max="3586" width="13.1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625" style="2389" customWidth="1"/>
    <col min="3598" max="3840" width="9" style="2389"/>
    <col min="3841" max="3841" width="4.875" style="2389" customWidth="1"/>
    <col min="3842" max="3842" width="13.1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625" style="2389" customWidth="1"/>
    <col min="3854" max="4096" width="9" style="2389"/>
    <col min="4097" max="4097" width="4.875" style="2389" customWidth="1"/>
    <col min="4098" max="4098" width="13.1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625" style="2389" customWidth="1"/>
    <col min="4110" max="4352" width="9" style="2389"/>
    <col min="4353" max="4353" width="4.875" style="2389" customWidth="1"/>
    <col min="4354" max="4354" width="13.1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625" style="2389" customWidth="1"/>
    <col min="4366" max="4608" width="9" style="2389"/>
    <col min="4609" max="4609" width="4.875" style="2389" customWidth="1"/>
    <col min="4610" max="4610" width="13.1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625" style="2389" customWidth="1"/>
    <col min="4622" max="4864" width="9" style="2389"/>
    <col min="4865" max="4865" width="4.875" style="2389" customWidth="1"/>
    <col min="4866" max="4866" width="13.1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625" style="2389" customWidth="1"/>
    <col min="4878" max="5120" width="9" style="2389"/>
    <col min="5121" max="5121" width="4.875" style="2389" customWidth="1"/>
    <col min="5122" max="5122" width="13.1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625" style="2389" customWidth="1"/>
    <col min="5134" max="5376" width="9" style="2389"/>
    <col min="5377" max="5377" width="4.875" style="2389" customWidth="1"/>
    <col min="5378" max="5378" width="13.1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625" style="2389" customWidth="1"/>
    <col min="5390" max="5632" width="9" style="2389"/>
    <col min="5633" max="5633" width="4.875" style="2389" customWidth="1"/>
    <col min="5634" max="5634" width="13.1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625" style="2389" customWidth="1"/>
    <col min="5646" max="5888" width="9" style="2389"/>
    <col min="5889" max="5889" width="4.875" style="2389" customWidth="1"/>
    <col min="5890" max="5890" width="13.1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625" style="2389" customWidth="1"/>
    <col min="5902" max="6144" width="9" style="2389"/>
    <col min="6145" max="6145" width="4.875" style="2389" customWidth="1"/>
    <col min="6146" max="6146" width="13.1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625" style="2389" customWidth="1"/>
    <col min="6158" max="6400" width="9" style="2389"/>
    <col min="6401" max="6401" width="4.875" style="2389" customWidth="1"/>
    <col min="6402" max="6402" width="13.1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625" style="2389" customWidth="1"/>
    <col min="6414" max="6656" width="9" style="2389"/>
    <col min="6657" max="6657" width="4.875" style="2389" customWidth="1"/>
    <col min="6658" max="6658" width="13.1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625" style="2389" customWidth="1"/>
    <col min="6670" max="6912" width="9" style="2389"/>
    <col min="6913" max="6913" width="4.875" style="2389" customWidth="1"/>
    <col min="6914" max="6914" width="13.1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625" style="2389" customWidth="1"/>
    <col min="6926" max="7168" width="9" style="2389"/>
    <col min="7169" max="7169" width="4.875" style="2389" customWidth="1"/>
    <col min="7170" max="7170" width="13.1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625" style="2389" customWidth="1"/>
    <col min="7182" max="7424" width="9" style="2389"/>
    <col min="7425" max="7425" width="4.875" style="2389" customWidth="1"/>
    <col min="7426" max="7426" width="13.1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625" style="2389" customWidth="1"/>
    <col min="7438" max="7680" width="9" style="2389"/>
    <col min="7681" max="7681" width="4.875" style="2389" customWidth="1"/>
    <col min="7682" max="7682" width="13.1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625" style="2389" customWidth="1"/>
    <col min="7694" max="7936" width="9" style="2389"/>
    <col min="7937" max="7937" width="4.875" style="2389" customWidth="1"/>
    <col min="7938" max="7938" width="13.1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625" style="2389" customWidth="1"/>
    <col min="7950" max="8192" width="9" style="2389"/>
    <col min="8193" max="8193" width="4.875" style="2389" customWidth="1"/>
    <col min="8194" max="8194" width="13.1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625" style="2389" customWidth="1"/>
    <col min="8206" max="8448" width="9" style="2389"/>
    <col min="8449" max="8449" width="4.875" style="2389" customWidth="1"/>
    <col min="8450" max="8450" width="13.1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625" style="2389" customWidth="1"/>
    <col min="8462" max="8704" width="9" style="2389"/>
    <col min="8705" max="8705" width="4.875" style="2389" customWidth="1"/>
    <col min="8706" max="8706" width="13.1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625" style="2389" customWidth="1"/>
    <col min="8718" max="8960" width="9" style="2389"/>
    <col min="8961" max="8961" width="4.875" style="2389" customWidth="1"/>
    <col min="8962" max="8962" width="13.1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625" style="2389" customWidth="1"/>
    <col min="8974" max="9216" width="9" style="2389"/>
    <col min="9217" max="9217" width="4.875" style="2389" customWidth="1"/>
    <col min="9218" max="9218" width="13.1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625" style="2389" customWidth="1"/>
    <col min="9230" max="9472" width="9" style="2389"/>
    <col min="9473" max="9473" width="4.875" style="2389" customWidth="1"/>
    <col min="9474" max="9474" width="13.1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625" style="2389" customWidth="1"/>
    <col min="9486" max="9728" width="9" style="2389"/>
    <col min="9729" max="9729" width="4.875" style="2389" customWidth="1"/>
    <col min="9730" max="9730" width="13.1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625" style="2389" customWidth="1"/>
    <col min="9742" max="9984" width="9" style="2389"/>
    <col min="9985" max="9985" width="4.875" style="2389" customWidth="1"/>
    <col min="9986" max="9986" width="13.1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625" style="2389" customWidth="1"/>
    <col min="9998" max="10240" width="9" style="2389"/>
    <col min="10241" max="10241" width="4.875" style="2389" customWidth="1"/>
    <col min="10242" max="10242" width="13.1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625" style="2389" customWidth="1"/>
    <col min="10254" max="10496" width="9" style="2389"/>
    <col min="10497" max="10497" width="4.875" style="2389" customWidth="1"/>
    <col min="10498" max="10498" width="13.1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625" style="2389" customWidth="1"/>
    <col min="10510" max="10752" width="9" style="2389"/>
    <col min="10753" max="10753" width="4.875" style="2389" customWidth="1"/>
    <col min="10754" max="10754" width="13.1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625" style="2389" customWidth="1"/>
    <col min="10766" max="11008" width="9" style="2389"/>
    <col min="11009" max="11009" width="4.875" style="2389" customWidth="1"/>
    <col min="11010" max="11010" width="13.1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625" style="2389" customWidth="1"/>
    <col min="11022" max="11264" width="9" style="2389"/>
    <col min="11265" max="11265" width="4.875" style="2389" customWidth="1"/>
    <col min="11266" max="11266" width="13.1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625" style="2389" customWidth="1"/>
    <col min="11278" max="11520" width="9" style="2389"/>
    <col min="11521" max="11521" width="4.875" style="2389" customWidth="1"/>
    <col min="11522" max="11522" width="13.1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625" style="2389" customWidth="1"/>
    <col min="11534" max="11776" width="9" style="2389"/>
    <col min="11777" max="11777" width="4.875" style="2389" customWidth="1"/>
    <col min="11778" max="11778" width="13.1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625" style="2389" customWidth="1"/>
    <col min="11790" max="12032" width="9" style="2389"/>
    <col min="12033" max="12033" width="4.875" style="2389" customWidth="1"/>
    <col min="12034" max="12034" width="13.1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625" style="2389" customWidth="1"/>
    <col min="12046" max="12288" width="9" style="2389"/>
    <col min="12289" max="12289" width="4.875" style="2389" customWidth="1"/>
    <col min="12290" max="12290" width="13.1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625" style="2389" customWidth="1"/>
    <col min="12302" max="12544" width="9" style="2389"/>
    <col min="12545" max="12545" width="4.875" style="2389" customWidth="1"/>
    <col min="12546" max="12546" width="13.1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625" style="2389" customWidth="1"/>
    <col min="12558" max="12800" width="9" style="2389"/>
    <col min="12801" max="12801" width="4.875" style="2389" customWidth="1"/>
    <col min="12802" max="12802" width="13.1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625" style="2389" customWidth="1"/>
    <col min="12814" max="13056" width="9" style="2389"/>
    <col min="13057" max="13057" width="4.875" style="2389" customWidth="1"/>
    <col min="13058" max="13058" width="13.1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625" style="2389" customWidth="1"/>
    <col min="13070" max="13312" width="9" style="2389"/>
    <col min="13313" max="13313" width="4.875" style="2389" customWidth="1"/>
    <col min="13314" max="13314" width="13.1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625" style="2389" customWidth="1"/>
    <col min="13326" max="13568" width="9" style="2389"/>
    <col min="13569" max="13569" width="4.875" style="2389" customWidth="1"/>
    <col min="13570" max="13570" width="13.1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625" style="2389" customWidth="1"/>
    <col min="13582" max="13824" width="9" style="2389"/>
    <col min="13825" max="13825" width="4.875" style="2389" customWidth="1"/>
    <col min="13826" max="13826" width="13.1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625" style="2389" customWidth="1"/>
    <col min="13838" max="14080" width="9" style="2389"/>
    <col min="14081" max="14081" width="4.875" style="2389" customWidth="1"/>
    <col min="14082" max="14082" width="13.1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625" style="2389" customWidth="1"/>
    <col min="14094" max="14336" width="9" style="2389"/>
    <col min="14337" max="14337" width="4.875" style="2389" customWidth="1"/>
    <col min="14338" max="14338" width="13.1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625" style="2389" customWidth="1"/>
    <col min="14350" max="14592" width="9" style="2389"/>
    <col min="14593" max="14593" width="4.875" style="2389" customWidth="1"/>
    <col min="14594" max="14594" width="13.1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625" style="2389" customWidth="1"/>
    <col min="14606" max="14848" width="9" style="2389"/>
    <col min="14849" max="14849" width="4.875" style="2389" customWidth="1"/>
    <col min="14850" max="14850" width="13.1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625" style="2389" customWidth="1"/>
    <col min="14862" max="15104" width="9" style="2389"/>
    <col min="15105" max="15105" width="4.875" style="2389" customWidth="1"/>
    <col min="15106" max="15106" width="13.1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625" style="2389" customWidth="1"/>
    <col min="15118" max="15360" width="9" style="2389"/>
    <col min="15361" max="15361" width="4.875" style="2389" customWidth="1"/>
    <col min="15362" max="15362" width="13.1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625" style="2389" customWidth="1"/>
    <col min="15374" max="15616" width="9" style="2389"/>
    <col min="15617" max="15617" width="4.875" style="2389" customWidth="1"/>
    <col min="15618" max="15618" width="13.1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625" style="2389" customWidth="1"/>
    <col min="15630" max="15872" width="9" style="2389"/>
    <col min="15873" max="15873" width="4.875" style="2389" customWidth="1"/>
    <col min="15874" max="15874" width="13.1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625" style="2389" customWidth="1"/>
    <col min="15886" max="16128" width="9" style="2389"/>
    <col min="16129" max="16129" width="4.875" style="2389" customWidth="1"/>
    <col min="16130" max="16130" width="13.1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625" style="2389" customWidth="1"/>
    <col min="16142" max="16384" width="9" style="2389"/>
  </cols>
  <sheetData>
    <row r="1" spans="1:257" s="2443" customFormat="1" ht="14.25" thickBot="1">
      <c r="A1" s="2391"/>
      <c r="B1" s="2445" t="s">
        <v>2502</v>
      </c>
      <c r="C1" s="2449">
        <f>项目基本情况!D3</f>
        <v>44895</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2533</v>
      </c>
      <c r="C2" s="2450">
        <f>'数据-取费表'!B22</f>
        <v>2</v>
      </c>
      <c r="D2" s="2445" t="s">
        <v>2503</v>
      </c>
      <c r="E2" s="2448">
        <f ca="1">INDIRECT("I"&amp;$I$1)/100</f>
        <v>3.6499999999999998E-2</v>
      </c>
      <c r="G2" s="2390"/>
      <c r="H2" s="2390"/>
      <c r="I2" s="2390" t="s">
        <v>2504</v>
      </c>
      <c r="K2" s="2390"/>
      <c r="L2" s="2390"/>
      <c r="M2" s="2390"/>
      <c r="N2" s="2390" t="s">
        <v>2505</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2535</v>
      </c>
      <c r="C3" s="2447">
        <f>'数据-取费表'!B19</f>
        <v>0</v>
      </c>
      <c r="D3" s="2445" t="s">
        <v>2503</v>
      </c>
      <c r="E3" s="2448">
        <f ca="1">INDIRECT("J"&amp;$J$1)/100</f>
        <v>0</v>
      </c>
      <c r="G3" s="2392" t="s">
        <v>2506</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2534</v>
      </c>
      <c r="C4" s="2448">
        <f ca="1">N4/100</f>
        <v>1.4999999999999999E-2</v>
      </c>
      <c r="G4" s="2398" t="s">
        <v>2507</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2508</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2509</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2510</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2511</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2512</v>
      </c>
      <c r="C10" s="2417"/>
      <c r="D10" s="2417"/>
      <c r="E10" s="2417"/>
      <c r="F10" s="2417"/>
      <c r="G10" s="2417"/>
      <c r="H10" s="2417"/>
      <c r="I10" s="2391"/>
      <c r="J10" s="2391"/>
      <c r="K10" s="2417"/>
      <c r="L10" s="2418" t="s">
        <v>2513</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2514</v>
      </c>
      <c r="C11" s="2422" t="s">
        <v>2515</v>
      </c>
      <c r="D11" s="2423" t="s">
        <v>2516</v>
      </c>
      <c r="E11" s="2424"/>
      <c r="F11" s="2423" t="s">
        <v>2517</v>
      </c>
      <c r="G11" s="2425"/>
      <c r="H11" s="2424"/>
      <c r="I11" s="2423" t="s">
        <v>2518</v>
      </c>
      <c r="J11" s="2424"/>
      <c r="K11" s="2420"/>
      <c r="L11" s="2421" t="s">
        <v>2514</v>
      </c>
      <c r="M11" s="2422" t="s">
        <v>2515</v>
      </c>
      <c r="N11" s="2421" t="s">
        <v>2519</v>
      </c>
      <c r="O11" s="2423" t="s">
        <v>2520</v>
      </c>
      <c r="P11" s="2425"/>
      <c r="Q11" s="2425"/>
      <c r="R11" s="2425"/>
      <c r="S11" s="2425"/>
      <c r="T11" s="2424"/>
      <c r="U11" s="2423" t="s">
        <v>2521</v>
      </c>
      <c r="V11" s="2425"/>
      <c r="W11" s="2424"/>
      <c r="X11" s="2421" t="s">
        <v>2522</v>
      </c>
      <c r="Y11" s="2421" t="s">
        <v>2523</v>
      </c>
      <c r="Z11" s="2421" t="s">
        <v>2524</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2525</v>
      </c>
      <c r="E12" s="2429" t="s">
        <v>2526</v>
      </c>
      <c r="F12" s="2429" t="s">
        <v>2527</v>
      </c>
      <c r="G12" s="2429" t="s">
        <v>2528</v>
      </c>
      <c r="H12" s="2429" t="s">
        <v>2510</v>
      </c>
      <c r="I12" s="2430" t="s">
        <v>2529</v>
      </c>
      <c r="J12" s="2430" t="s">
        <v>2529</v>
      </c>
      <c r="K12" s="2420"/>
      <c r="L12" s="2427"/>
      <c r="M12" s="2428"/>
      <c r="N12" s="2427"/>
      <c r="O12" s="2430" t="s">
        <v>2530</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2531</v>
      </c>
      <c r="C13" s="2433">
        <v>44795</v>
      </c>
      <c r="D13" s="2434">
        <v>3.65</v>
      </c>
      <c r="E13" s="2434">
        <f>D13</f>
        <v>3.65</v>
      </c>
      <c r="F13" s="2434">
        <f>D13</f>
        <v>3.65</v>
      </c>
      <c r="G13" s="2434">
        <f>D13</f>
        <v>3.65</v>
      </c>
      <c r="H13" s="2434">
        <v>4.3</v>
      </c>
      <c r="I13" s="2434"/>
      <c r="J13" s="2434"/>
      <c r="K13" s="2431"/>
      <c r="L13" s="2432" t="s">
        <v>2531</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1"/>
      <c r="M18" s="2940">
        <v>41965</v>
      </c>
      <c r="N18" s="2941">
        <v>0.35</v>
      </c>
      <c r="O18" s="2941">
        <v>2.35</v>
      </c>
      <c r="P18" s="2941">
        <v>2.5499999999999998</v>
      </c>
      <c r="Q18" s="2941">
        <v>2.75</v>
      </c>
      <c r="R18" s="2941">
        <v>3.35</v>
      </c>
      <c r="S18" s="2941">
        <v>4</v>
      </c>
      <c r="T18" s="2941">
        <v>4.75</v>
      </c>
      <c r="U18" s="2942">
        <v>2.35</v>
      </c>
      <c r="V18" s="2942">
        <v>2.5499999999999998</v>
      </c>
      <c r="W18" s="2942">
        <v>2.75</v>
      </c>
      <c r="X18" s="2941"/>
      <c r="Y18" s="2942">
        <v>0.8</v>
      </c>
      <c r="Z18" s="2942">
        <v>1.35</v>
      </c>
    </row>
    <row r="19" spans="1:256" s="2943"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2728</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8"/>
      <c r="B22" s="2939"/>
      <c r="C22" s="2940">
        <v>42301</v>
      </c>
      <c r="D22" s="2941">
        <v>4.3499999999999996</v>
      </c>
      <c r="E22" s="2941">
        <v>4.3499999999999996</v>
      </c>
      <c r="F22" s="2941">
        <v>4.75</v>
      </c>
      <c r="G22" s="2941">
        <v>4.75</v>
      </c>
      <c r="H22" s="2941">
        <v>4.9000000000000004</v>
      </c>
      <c r="I22" s="2941"/>
      <c r="J22" s="2941"/>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2532</v>
      </c>
      <c r="Y42" s="2438" t="s">
        <v>2532</v>
      </c>
      <c r="Z42" s="2438" t="s">
        <v>2532</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2532</v>
      </c>
      <c r="Y43" s="2438" t="s">
        <v>2532</v>
      </c>
      <c r="Z43" s="2438" t="s">
        <v>2532</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2532</v>
      </c>
      <c r="Y44" s="2438" t="s">
        <v>2532</v>
      </c>
      <c r="Z44" s="2438" t="s">
        <v>2532</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2532</v>
      </c>
      <c r="Y45" s="2438" t="s">
        <v>2532</v>
      </c>
      <c r="Z45" s="2438" t="s">
        <v>2532</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2532</v>
      </c>
      <c r="Y46" s="2438" t="s">
        <v>2532</v>
      </c>
      <c r="Z46" s="2438" t="s">
        <v>2532</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2532</v>
      </c>
      <c r="Y47" s="2438" t="s">
        <v>2532</v>
      </c>
      <c r="Z47" s="2438" t="s">
        <v>2532</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2532</v>
      </c>
      <c r="Y48" s="2438" t="s">
        <v>2532</v>
      </c>
      <c r="Z48" s="2438" t="s">
        <v>2532</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2532</v>
      </c>
      <c r="Y49" s="2438" t="s">
        <v>2532</v>
      </c>
      <c r="Z49" s="2438" t="s">
        <v>2532</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2532</v>
      </c>
      <c r="Y50" s="2438" t="s">
        <v>2532</v>
      </c>
      <c r="Z50" s="2438" t="s">
        <v>2532</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2532</v>
      </c>
      <c r="V51" s="2438" t="s">
        <v>2532</v>
      </c>
      <c r="W51" s="2438" t="s">
        <v>2532</v>
      </c>
      <c r="X51" s="2438" t="s">
        <v>2532</v>
      </c>
      <c r="Y51" s="2438" t="s">
        <v>2532</v>
      </c>
      <c r="Z51" s="2438" t="s">
        <v>2532</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2532</v>
      </c>
      <c r="J64" s="2438" t="s">
        <v>2532</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4" t="s">
        <v>1829</v>
      </c>
      <c r="B1" s="3224"/>
      <c r="C1" s="3224"/>
      <c r="D1" s="3224"/>
      <c r="E1" s="3224"/>
      <c r="F1" s="3224"/>
      <c r="G1" s="3224"/>
      <c r="H1" s="3224"/>
      <c r="I1" s="3224"/>
      <c r="J1" s="3224"/>
      <c r="K1" s="3224"/>
      <c r="L1" s="3224"/>
      <c r="M1" s="3224"/>
      <c r="N1" s="3224"/>
      <c r="O1" s="3224"/>
      <c r="P1" s="3224"/>
      <c r="Q1" s="3224"/>
      <c r="R1" s="3224"/>
    </row>
    <row r="2" spans="1:18">
      <c r="A2" s="1583" t="s">
        <v>1831</v>
      </c>
      <c r="B2" s="1583"/>
      <c r="C2" s="1583"/>
      <c r="D2" s="1583"/>
      <c r="E2" s="1583"/>
      <c r="F2" s="1583"/>
      <c r="G2" s="1583"/>
      <c r="H2" s="1583"/>
      <c r="I2" s="1584"/>
      <c r="J2" s="1584"/>
      <c r="K2" s="1585" t="str">
        <f>"估价期日："&amp;TEXT(项目基本情况!D3,"yyyy年m月d日;;")</f>
        <v>估价期日：2022年11月30日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25" t="s">
        <v>1820</v>
      </c>
      <c r="B3" s="3225" t="s">
        <v>2446</v>
      </c>
      <c r="C3" s="3226" t="s">
        <v>1821</v>
      </c>
      <c r="D3" s="3225" t="s">
        <v>2450</v>
      </c>
      <c r="E3" s="3227" t="s">
        <v>1822</v>
      </c>
      <c r="F3" s="3227"/>
      <c r="G3" s="3227"/>
      <c r="H3" s="3227" t="s">
        <v>1823</v>
      </c>
      <c r="I3" s="3227"/>
      <c r="J3" s="3227"/>
      <c r="K3" s="3226" t="s">
        <v>1824</v>
      </c>
      <c r="L3" s="3226" t="s">
        <v>1825</v>
      </c>
      <c r="M3" s="3225" t="s">
        <v>2447</v>
      </c>
      <c r="N3" s="3225" t="str">
        <f>"（分摊）"&amp;项目基本情况!B16&amp;"国有建设用地使用权面积/㎡"</f>
        <v>（分摊）出让国有建设用地使用权面积/㎡</v>
      </c>
      <c r="O3" s="3225" t="s">
        <v>1854</v>
      </c>
      <c r="P3" s="3226" t="s">
        <v>1834</v>
      </c>
      <c r="Q3" s="3226" t="s">
        <v>1855</v>
      </c>
      <c r="R3" s="3226" t="s">
        <v>1826</v>
      </c>
    </row>
    <row r="4" spans="1:18" ht="36.75" customHeight="1">
      <c r="A4" s="3225"/>
      <c r="B4" s="3225"/>
      <c r="C4" s="3226"/>
      <c r="D4" s="3225"/>
      <c r="E4" s="1586" t="s">
        <v>1833</v>
      </c>
      <c r="F4" s="1586" t="s">
        <v>2459</v>
      </c>
      <c r="G4" s="1586" t="s">
        <v>1827</v>
      </c>
      <c r="H4" s="1586" t="s">
        <v>1828</v>
      </c>
      <c r="I4" s="1586" t="s">
        <v>2460</v>
      </c>
      <c r="J4" s="1586" t="s">
        <v>1827</v>
      </c>
      <c r="K4" s="3226"/>
      <c r="L4" s="3226"/>
      <c r="M4" s="3225"/>
      <c r="N4" s="3225"/>
      <c r="O4" s="3225"/>
      <c r="P4" s="3226"/>
      <c r="Q4" s="3226"/>
      <c r="R4" s="3226"/>
    </row>
    <row r="5" spans="1:18" ht="135" customHeight="1">
      <c r="A5" s="1714" t="s">
        <v>2370</v>
      </c>
      <c r="B5" s="2325" t="s">
        <v>2368</v>
      </c>
      <c r="C5" s="2242">
        <v>22</v>
      </c>
      <c r="D5" s="2241" t="s">
        <v>2369</v>
      </c>
      <c r="E5" s="1586" t="str">
        <f>项目基本情况!B12</f>
        <v>商服用地、城镇住宅用地</v>
      </c>
      <c r="F5" s="2241">
        <v>258</v>
      </c>
      <c r="G5" s="1586" t="str">
        <f>项目基本情况!B13</f>
        <v>商服用地、城镇住宅用地</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53757.04</v>
      </c>
      <c r="O5" s="1586">
        <f>项目基本情况!C21</f>
        <v>139768.29999999999</v>
      </c>
      <c r="P5" s="1586">
        <f ca="1">结果表!E42</f>
        <v>6042</v>
      </c>
      <c r="Q5" s="1586">
        <f ca="1">结果表!D42</f>
        <v>2324</v>
      </c>
      <c r="R5" s="1587">
        <f ca="1">结果表!C42</f>
        <v>32481</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588">
        <f ca="1">结果表!O39</f>
        <v>32481</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588"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588" t="str">
        <f>结果表!O41</f>
        <v>——</v>
      </c>
    </row>
    <row r="9" spans="1:18">
      <c r="A9" s="1589" t="s">
        <v>1832</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1819</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78" customWidth="1"/>
    <col min="2" max="3" width="21.375" style="1578" customWidth="1"/>
    <col min="4" max="4" width="19.875" style="1578" customWidth="1"/>
    <col min="5" max="16384" width="9" style="1578"/>
  </cols>
  <sheetData>
    <row r="1" spans="1:4">
      <c r="A1" s="3231" t="s">
        <v>1856</v>
      </c>
      <c r="B1" s="3231"/>
      <c r="C1" s="3231"/>
      <c r="D1" s="3231"/>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3" t="s">
        <v>1857</v>
      </c>
      <c r="B5" s="3233"/>
      <c r="C5" s="3233"/>
      <c r="D5" s="3233"/>
    </row>
    <row r="6" spans="1:4">
      <c r="A6" s="3231" t="s">
        <v>1835</v>
      </c>
      <c r="B6" s="3231"/>
      <c r="C6" s="3231"/>
      <c r="D6" s="3231"/>
    </row>
    <row r="7" spans="1:4" ht="33" customHeight="1">
      <c r="A7" s="3231" t="s">
        <v>2291</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1"/>
      <c r="C11" s="3231"/>
      <c r="D11" s="3231"/>
    </row>
    <row r="12" spans="1:4" ht="168" customHeight="1">
      <c r="A12" s="3233" t="s">
        <v>1859</v>
      </c>
      <c r="B12" s="3233"/>
      <c r="C12" s="3233"/>
      <c r="D12" s="3233"/>
    </row>
    <row r="13" spans="1:4">
      <c r="A13" s="3232" t="s">
        <v>2461</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2417</v>
      </c>
      <c r="B17" s="3231"/>
      <c r="C17" s="3231"/>
      <c r="D17" s="3231"/>
    </row>
    <row r="18" spans="1:4">
      <c r="A18" s="3231" t="s">
        <v>2409</v>
      </c>
      <c r="B18" s="3231"/>
      <c r="C18" s="3231"/>
      <c r="D18" s="3231"/>
    </row>
    <row r="19" spans="1:4">
      <c r="A19" s="2326" t="s">
        <v>2410</v>
      </c>
      <c r="B19" s="2326" t="s">
        <v>2411</v>
      </c>
      <c r="C19" s="2326" t="s">
        <v>2412</v>
      </c>
      <c r="D19" s="2326" t="s">
        <v>2413</v>
      </c>
    </row>
    <row r="20" spans="1:4">
      <c r="A20" s="2326" t="str">
        <f>项目基本情况!B4</f>
        <v>土地估价师</v>
      </c>
      <c r="B20" s="2326">
        <f>项目基本情况!C4</f>
        <v>0</v>
      </c>
      <c r="C20" s="2328"/>
      <c r="D20" s="1577" t="s">
        <v>2418</v>
      </c>
    </row>
    <row r="21" spans="1:4">
      <c r="A21" s="2326" t="str">
        <f>项目基本情况!D4</f>
        <v>土地估价师</v>
      </c>
      <c r="B21" s="2326">
        <f>项目基本情况!E4</f>
        <v>0</v>
      </c>
      <c r="C21" s="2328"/>
      <c r="D21" s="1577" t="s">
        <v>2419</v>
      </c>
    </row>
    <row r="23" spans="1:4">
      <c r="A23" s="3231" t="s">
        <v>2414</v>
      </c>
      <c r="B23" s="3231"/>
      <c r="C23" s="3231"/>
      <c r="D23" s="3231"/>
    </row>
    <row r="24" spans="1:4">
      <c r="A24" s="2326" t="s">
        <v>2410</v>
      </c>
      <c r="B24" s="2326" t="s">
        <v>2415</v>
      </c>
      <c r="C24" s="2326" t="s">
        <v>2412</v>
      </c>
      <c r="D24" s="2326" t="s">
        <v>2413</v>
      </c>
    </row>
    <row r="25" spans="1:4">
      <c r="A25" s="2329" t="s">
        <v>2416</v>
      </c>
      <c r="B25" s="2326" t="s">
        <v>930</v>
      </c>
      <c r="C25" s="2328"/>
      <c r="D25" s="1577" t="s">
        <v>2419</v>
      </c>
    </row>
    <row r="29" spans="1:4">
      <c r="D29" s="2327" t="s">
        <v>1830</v>
      </c>
    </row>
    <row r="30" spans="1:4">
      <c r="D30" s="233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850</v>
      </c>
    </row>
    <row r="13" spans="1:7">
      <c r="A13" s="1062" t="s">
        <v>52</v>
      </c>
    </row>
    <row r="15" spans="1:7" ht="14.25">
      <c r="A15" s="3242" t="s">
        <v>53</v>
      </c>
      <c r="B15" s="3243" t="s">
        <v>825</v>
      </c>
      <c r="C15" s="3239"/>
    </row>
    <row r="16" spans="1:7" ht="14.25">
      <c r="A16" s="3242"/>
      <c r="B16" s="3240" t="s">
        <v>54</v>
      </c>
      <c r="C16" s="1063" t="s">
        <v>53</v>
      </c>
    </row>
    <row r="17" spans="1:3" ht="14.25">
      <c r="A17" s="3242"/>
      <c r="B17" s="3240"/>
      <c r="C17" s="1063" t="s">
        <v>55</v>
      </c>
    </row>
    <row r="18" spans="1:3" ht="14.25">
      <c r="A18" s="3242"/>
      <c r="B18" s="3240"/>
      <c r="C18" s="1063" t="s">
        <v>56</v>
      </c>
    </row>
    <row r="19" spans="1:3" ht="14.25">
      <c r="A19" s="3242"/>
      <c r="B19" s="3238" t="s">
        <v>57</v>
      </c>
      <c r="C19" s="3239"/>
    </row>
    <row r="20" spans="1:3" ht="14.25">
      <c r="A20" s="1064" t="s">
        <v>58</v>
      </c>
      <c r="B20" s="1065"/>
      <c r="C20" s="1066"/>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067" t="s">
        <v>816</v>
      </c>
    </row>
    <row r="25" spans="1:3" ht="14.25">
      <c r="A25" s="3241"/>
      <c r="B25" s="3245"/>
      <c r="C25" s="1067" t="s">
        <v>817</v>
      </c>
    </row>
    <row r="26" spans="1:3" ht="14.25">
      <c r="A26" s="3241"/>
      <c r="B26" s="3245"/>
      <c r="C26" s="1067" t="s">
        <v>818</v>
      </c>
    </row>
    <row r="27" spans="1:3" ht="14.25">
      <c r="A27" s="3241"/>
      <c r="B27" s="3245"/>
      <c r="C27" s="1067" t="s">
        <v>819</v>
      </c>
    </row>
    <row r="28" spans="1:3" ht="14.25">
      <c r="A28" s="3241"/>
      <c r="B28" s="3245"/>
      <c r="C28" s="1067" t="s">
        <v>820</v>
      </c>
    </row>
    <row r="29" spans="1:3" ht="14.25">
      <c r="A29" s="3241"/>
      <c r="B29" s="3245"/>
      <c r="C29" s="1067" t="s">
        <v>821</v>
      </c>
    </row>
    <row r="30" spans="1:3" ht="14.25">
      <c r="A30" s="3241"/>
      <c r="B30" s="3245"/>
      <c r="C30" s="1067" t="s">
        <v>822</v>
      </c>
    </row>
    <row r="31" spans="1:3" ht="14.25">
      <c r="A31" s="3241"/>
      <c r="B31" s="3245"/>
      <c r="C31" s="1067" t="s">
        <v>823</v>
      </c>
    </row>
    <row r="32" spans="1:3" ht="14.25">
      <c r="A32" s="3241"/>
      <c r="B32" s="3245"/>
      <c r="C32" s="1067" t="s">
        <v>1445</v>
      </c>
    </row>
    <row r="33" spans="1:3" ht="14.25">
      <c r="A33" s="3241"/>
      <c r="B33" s="3235" t="s">
        <v>1451</v>
      </c>
      <c r="C33" s="1067" t="s">
        <v>1446</v>
      </c>
    </row>
    <row r="34" spans="1:3" ht="14.25">
      <c r="A34" s="3241"/>
      <c r="B34" s="3236"/>
      <c r="C34" s="1072" t="s">
        <v>1447</v>
      </c>
    </row>
    <row r="35" spans="1:3" ht="14.25">
      <c r="A35" s="3241"/>
      <c r="B35" s="3236"/>
      <c r="C35" s="1073" t="s">
        <v>1448</v>
      </c>
    </row>
    <row r="36" spans="1:3" ht="14.25">
      <c r="A36" s="3241"/>
      <c r="B36" s="3236"/>
      <c r="C36" s="1073" t="s">
        <v>1449</v>
      </c>
    </row>
    <row r="37" spans="1:3" ht="14.25">
      <c r="A37" s="3241"/>
      <c r="B37" s="3237"/>
      <c r="C37" s="1074" t="s">
        <v>1450</v>
      </c>
    </row>
    <row r="38" spans="1:3">
      <c r="A38" s="1068" t="s">
        <v>824</v>
      </c>
    </row>
    <row r="41" spans="1:3">
      <c r="A41" s="1068" t="s">
        <v>68</v>
      </c>
    </row>
    <row r="42" spans="1:3" ht="14.25">
      <c r="A42" s="1069" t="s">
        <v>832</v>
      </c>
    </row>
    <row r="43" spans="1:3" ht="14.25">
      <c r="A43" s="1070" t="s">
        <v>69</v>
      </c>
    </row>
    <row r="44" spans="1:3" ht="14.25">
      <c r="A44" s="1069" t="s">
        <v>831</v>
      </c>
    </row>
    <row r="45" spans="1:3" ht="14.25">
      <c r="A45" s="1071" t="s">
        <v>833</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51" customWidth="1"/>
    <col min="2" max="2" width="22.625" style="2551" bestFit="1" customWidth="1"/>
    <col min="3" max="3" width="25.625" style="2551" bestFit="1" customWidth="1"/>
    <col min="4" max="4" width="22.625" style="2551"/>
    <col min="5" max="5" width="22.62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1702</v>
      </c>
      <c r="B2" s="2721">
        <f ca="1">TODAY()</f>
        <v>44938</v>
      </c>
      <c r="C2" s="2722" t="s">
        <v>1703</v>
      </c>
      <c r="D2" s="2722"/>
      <c r="E2" s="2719"/>
      <c r="F2" s="2719"/>
      <c r="G2" s="2719"/>
    </row>
    <row r="3" spans="1:7" ht="20.25" customHeight="1">
      <c r="A3" s="2739" t="s">
        <v>1704</v>
      </c>
      <c r="B3" s="2724" t="s">
        <v>1705</v>
      </c>
      <c r="C3" s="2725" t="s">
        <v>1706</v>
      </c>
      <c r="D3" s="2740" t="s">
        <v>1707</v>
      </c>
      <c r="E3" s="2724" t="s">
        <v>1708</v>
      </c>
      <c r="F3" s="2724" t="s">
        <v>1706</v>
      </c>
      <c r="G3" s="2719"/>
    </row>
    <row r="4" spans="1:7" ht="20.25" customHeight="1">
      <c r="A4" s="2724" t="s">
        <v>1709</v>
      </c>
      <c r="B4" s="2724" t="str">
        <f ca="1">IF(C4&lt;B2,"已过期",1119970066)</f>
        <v>已过期</v>
      </c>
      <c r="C4" s="2727">
        <v>44876</v>
      </c>
      <c r="D4" s="2733" t="s">
        <v>1709</v>
      </c>
      <c r="E4" s="2724">
        <f ca="1">IF(F4&lt;B2,"已过期",96010014)</f>
        <v>96010014</v>
      </c>
      <c r="F4" s="2726">
        <v>47118</v>
      </c>
      <c r="G4" s="2719"/>
    </row>
    <row r="5" spans="1:7" ht="20.25" customHeight="1">
      <c r="A5" s="2724" t="s">
        <v>1710</v>
      </c>
      <c r="B5" s="2724" t="str">
        <f ca="1">IF(C5&lt;B2,"已过期",1119970111)</f>
        <v>已过期</v>
      </c>
      <c r="C5" s="2727">
        <v>44876</v>
      </c>
      <c r="D5" s="2733" t="s">
        <v>1710</v>
      </c>
      <c r="E5" s="2724">
        <f ca="1">IF(F5&lt;B2,"已过期",94010078)</f>
        <v>94010078</v>
      </c>
      <c r="F5" s="2726">
        <v>46387</v>
      </c>
      <c r="G5" s="2719"/>
    </row>
    <row r="6" spans="1:7" ht="20.25" customHeight="1">
      <c r="A6" s="2724" t="s">
        <v>1711</v>
      </c>
      <c r="B6" s="2724">
        <f ca="1">IF(C6&lt;B2,"已过期",1120050019)</f>
        <v>1120050019</v>
      </c>
      <c r="C6" s="2727">
        <v>45410</v>
      </c>
      <c r="D6" s="2733" t="s">
        <v>1711</v>
      </c>
      <c r="E6" s="2724">
        <f ca="1">IF(F6&lt;B2,"已过期",2002110030)</f>
        <v>2002110030</v>
      </c>
      <c r="F6" s="2726">
        <v>46387</v>
      </c>
      <c r="G6" s="2719"/>
    </row>
    <row r="7" spans="1:7" ht="20.25" customHeight="1">
      <c r="A7" s="2724" t="s">
        <v>1712</v>
      </c>
      <c r="B7" s="2724" t="str">
        <f ca="1">IF(C7&lt;B2,"已过期",1120000080)</f>
        <v>已过期</v>
      </c>
      <c r="C7" s="2727">
        <v>44876</v>
      </c>
      <c r="D7" s="2733" t="s">
        <v>1712</v>
      </c>
      <c r="E7" s="2724">
        <f ca="1">IF(F7&lt;B2,"已过期",2000110082)</f>
        <v>2000110082</v>
      </c>
      <c r="F7" s="2726">
        <v>46387</v>
      </c>
      <c r="G7" s="2719"/>
    </row>
    <row r="8" spans="1:7" ht="20.25" customHeight="1">
      <c r="A8" s="2724" t="s">
        <v>1713</v>
      </c>
      <c r="B8" s="2724" t="str">
        <f ca="1">IF(C8&lt;B2,"已过期",1419970001)</f>
        <v>已过期</v>
      </c>
      <c r="C8" s="2727">
        <v>44899</v>
      </c>
      <c r="D8" s="2733" t="s">
        <v>1713</v>
      </c>
      <c r="E8" s="2724">
        <f ca="1">IF(F8&lt;B2,"已过期",2002110125)</f>
        <v>2002110125</v>
      </c>
      <c r="F8" s="2726">
        <v>47118</v>
      </c>
      <c r="G8" s="2719"/>
    </row>
    <row r="9" spans="1:7" ht="20.25" customHeight="1">
      <c r="A9" s="2724" t="s">
        <v>1714</v>
      </c>
      <c r="B9" s="2724">
        <f ca="1">IF(C9&lt;B2,"已过期",1120060040)</f>
        <v>1120060040</v>
      </c>
      <c r="C9" s="2727">
        <v>45592</v>
      </c>
      <c r="D9" s="2733" t="s">
        <v>1714</v>
      </c>
      <c r="E9" s="2724">
        <f ca="1">IF(F9&lt;B2,"已过期",2004110096)</f>
        <v>2004110096</v>
      </c>
      <c r="F9" s="2726">
        <v>47118</v>
      </c>
      <c r="G9" s="2719"/>
    </row>
    <row r="10" spans="1:7" ht="20.25" customHeight="1">
      <c r="A10" s="2724" t="s">
        <v>1715</v>
      </c>
      <c r="B10" s="2724" t="str">
        <f ca="1">IF(C10&lt;B2,"已过期",1120100036)</f>
        <v>已过期</v>
      </c>
      <c r="C10" s="2727">
        <v>44675</v>
      </c>
      <c r="D10" s="2733" t="s">
        <v>1715</v>
      </c>
      <c r="E10" s="2724">
        <f ca="1">IF(F10&lt;B2,"已过期",2010110070)</f>
        <v>2010110070</v>
      </c>
      <c r="F10" s="2726">
        <v>47907</v>
      </c>
      <c r="G10" s="2719"/>
    </row>
    <row r="11" spans="1:7" ht="20.25" customHeight="1">
      <c r="A11" s="2724" t="s">
        <v>1716</v>
      </c>
      <c r="B11" s="2724" t="str">
        <f ca="1">IF(C11&lt;B2,"已过期",1120070131)</f>
        <v>已过期</v>
      </c>
      <c r="C11" s="2727">
        <v>44849</v>
      </c>
      <c r="D11" s="2733" t="s">
        <v>1716</v>
      </c>
      <c r="E11" s="2724">
        <f ca="1">IF(F11&lt;B2,"已过期",2014110011)</f>
        <v>2014110011</v>
      </c>
      <c r="F11" s="2726">
        <v>49302</v>
      </c>
      <c r="G11" s="2719"/>
    </row>
    <row r="12" spans="1:7" ht="20.25" customHeight="1">
      <c r="A12" s="2724" t="s">
        <v>2674</v>
      </c>
      <c r="B12" s="2724" t="str">
        <f ca="1">IF(C12&lt;B2,"已过期",1120040230)</f>
        <v>已过期</v>
      </c>
      <c r="C12" s="2727">
        <v>44864</v>
      </c>
      <c r="D12" s="2733" t="s">
        <v>2675</v>
      </c>
      <c r="E12" s="2724">
        <f ca="1">IF(F12&lt;B2,"已过期",98030020)</f>
        <v>98030020</v>
      </c>
      <c r="F12" s="2726">
        <v>47118</v>
      </c>
      <c r="G12" s="2719"/>
    </row>
    <row r="13" spans="1:7" ht="20.25" customHeight="1">
      <c r="A13" s="2724"/>
      <c r="B13" s="2724"/>
      <c r="C13" s="2727"/>
      <c r="D13" s="2733" t="s">
        <v>1717</v>
      </c>
      <c r="E13" s="2724">
        <f ca="1">IF(F13&lt;B2,"已过期",2011110090)</f>
        <v>2011110090</v>
      </c>
      <c r="F13" s="2726">
        <v>48302</v>
      </c>
      <c r="G13" s="2719"/>
    </row>
    <row r="14" spans="1:7" ht="20.25" customHeight="1">
      <c r="A14" s="2724" t="s">
        <v>1718</v>
      </c>
      <c r="B14" s="2724" t="str">
        <f ca="1">IF(C14&lt;B2,"已过期",1120020033)</f>
        <v>已过期</v>
      </c>
      <c r="C14" s="2727">
        <v>44339</v>
      </c>
      <c r="D14" s="2733" t="s">
        <v>1718</v>
      </c>
      <c r="E14" s="2724">
        <f ca="1">IF(F14&lt;B2,"已过期",2000110137)</f>
        <v>2000110137</v>
      </c>
      <c r="F14" s="2726">
        <v>46387</v>
      </c>
      <c r="G14" s="2719"/>
    </row>
    <row r="15" spans="1:7" ht="20.25" customHeight="1">
      <c r="A15" s="2724" t="s">
        <v>2687</v>
      </c>
      <c r="B15" s="2724">
        <f ca="1">IF(C15&lt;B2,"已过期",1119980106)</f>
        <v>1119980106</v>
      </c>
      <c r="C15" s="2727">
        <v>44969</v>
      </c>
      <c r="D15" s="2733"/>
      <c r="E15" s="2724"/>
      <c r="F15" s="2724"/>
      <c r="G15" s="2719"/>
    </row>
    <row r="16" spans="1:7" ht="20.25" customHeight="1">
      <c r="A16" s="2723" t="s">
        <v>2888</v>
      </c>
      <c r="B16" s="2723">
        <v>1120210056</v>
      </c>
      <c r="C16" s="2727">
        <v>45410</v>
      </c>
      <c r="D16" s="2733"/>
      <c r="E16" s="2724"/>
      <c r="F16" s="2724"/>
      <c r="G16" s="2719"/>
    </row>
    <row r="17" spans="1:7" ht="20.25" customHeight="1">
      <c r="A17" s="2723" t="s">
        <v>1844</v>
      </c>
      <c r="B17" s="2723" t="s">
        <v>1844</v>
      </c>
      <c r="C17" s="2727"/>
      <c r="D17" s="2734" t="s">
        <v>1844</v>
      </c>
      <c r="E17" s="2724" t="s">
        <v>1844</v>
      </c>
      <c r="F17" s="2726"/>
      <c r="G17" s="2719"/>
    </row>
    <row r="18" spans="1:7" ht="20.25" customHeight="1">
      <c r="A18" s="3249" t="s">
        <v>1719</v>
      </c>
      <c r="B18" s="3250"/>
      <c r="C18" s="3250"/>
      <c r="D18" s="3250"/>
      <c r="E18" s="3250"/>
      <c r="F18" s="3250"/>
      <c r="G18" s="2719"/>
    </row>
    <row r="19" spans="1:7" ht="20.25" customHeight="1">
      <c r="A19" s="3246" t="s">
        <v>1720</v>
      </c>
      <c r="B19" s="3246"/>
      <c r="C19" s="3247"/>
      <c r="D19" s="3248" t="s">
        <v>1721</v>
      </c>
      <c r="E19" s="3246"/>
      <c r="F19" s="3246"/>
      <c r="G19" s="2719"/>
    </row>
    <row r="20" spans="1:7" s="2550" customFormat="1" ht="20.25" customHeight="1">
      <c r="A20" s="2728" t="s">
        <v>1722</v>
      </c>
      <c r="B20" s="2724" t="s">
        <v>1723</v>
      </c>
      <c r="C20" s="2725" t="s">
        <v>1724</v>
      </c>
      <c r="D20" s="2733" t="s">
        <v>1722</v>
      </c>
      <c r="E20" s="2724" t="s">
        <v>1723</v>
      </c>
      <c r="F20" s="2724" t="s">
        <v>1724</v>
      </c>
      <c r="G20" s="2720"/>
    </row>
    <row r="21" spans="1:7" s="2550" customFormat="1" ht="20.25" customHeight="1">
      <c r="A21" s="2729" t="s">
        <v>1725</v>
      </c>
      <c r="B21" s="2729" t="s">
        <v>1726</v>
      </c>
      <c r="C21" s="2735">
        <v>44820</v>
      </c>
      <c r="D21" s="2737" t="s">
        <v>1727</v>
      </c>
      <c r="E21" s="2729" t="s">
        <v>2889</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Z22" sqref="Z22"/>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835</v>
      </c>
      <c r="B1" s="5" t="s">
        <v>132</v>
      </c>
      <c r="C1" s="1368"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2262</v>
      </c>
      <c r="R1" s="2200" t="s">
        <v>2256</v>
      </c>
      <c r="S1" s="6" t="s">
        <v>146</v>
      </c>
      <c r="T1" s="7" t="s">
        <v>147</v>
      </c>
      <c r="U1" s="6" t="s">
        <v>148</v>
      </c>
      <c r="V1" s="6" t="s">
        <v>149</v>
      </c>
      <c r="W1" s="923" t="s">
        <v>852</v>
      </c>
    </row>
    <row r="2" spans="1:23">
      <c r="A2" s="8" t="s">
        <v>73</v>
      </c>
      <c r="B2" s="8" t="s">
        <v>150</v>
      </c>
      <c r="C2" s="1369" t="s">
        <v>1508</v>
      </c>
      <c r="D2" s="9" t="s">
        <v>74</v>
      </c>
      <c r="E2" s="9" t="s">
        <v>127</v>
      </c>
      <c r="F2" s="9" t="s">
        <v>128</v>
      </c>
      <c r="G2" s="9">
        <v>40</v>
      </c>
      <c r="H2" s="9" t="s">
        <v>129</v>
      </c>
      <c r="I2" s="9" t="s">
        <v>130</v>
      </c>
      <c r="J2" s="9" t="s">
        <v>131</v>
      </c>
      <c r="K2" s="9" t="s">
        <v>75</v>
      </c>
      <c r="L2" s="9" t="s">
        <v>75</v>
      </c>
      <c r="M2" s="9" t="s">
        <v>75</v>
      </c>
      <c r="N2" s="9" t="s">
        <v>75</v>
      </c>
      <c r="O2" s="9" t="s">
        <v>75</v>
      </c>
      <c r="P2" s="924" t="s">
        <v>858</v>
      </c>
      <c r="Q2" s="9" t="s">
        <v>75</v>
      </c>
      <c r="R2" s="924" t="s">
        <v>2257</v>
      </c>
      <c r="S2" s="9" t="s">
        <v>75</v>
      </c>
      <c r="T2" s="9" t="s">
        <v>76</v>
      </c>
      <c r="U2" s="9" t="s">
        <v>75</v>
      </c>
      <c r="V2" s="9" t="s">
        <v>77</v>
      </c>
      <c r="W2" s="9" t="s">
        <v>853</v>
      </c>
    </row>
    <row r="3" spans="1:23">
      <c r="A3" s="8" t="s">
        <v>78</v>
      </c>
      <c r="B3" s="10" t="s">
        <v>151</v>
      </c>
      <c r="C3" s="1369" t="s">
        <v>1509</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2258</v>
      </c>
      <c r="S3" s="9" t="s">
        <v>84</v>
      </c>
      <c r="T3" s="9" t="s">
        <v>85</v>
      </c>
      <c r="U3" s="9" t="s">
        <v>84</v>
      </c>
      <c r="V3" s="9" t="s">
        <v>86</v>
      </c>
      <c r="W3" s="9" t="s">
        <v>854</v>
      </c>
    </row>
    <row r="4" spans="1:23">
      <c r="A4" s="8" t="s">
        <v>87</v>
      </c>
      <c r="B4" s="8" t="s">
        <v>152</v>
      </c>
      <c r="C4" s="1369" t="s">
        <v>1510</v>
      </c>
      <c r="D4" s="9" t="s">
        <v>1785</v>
      </c>
      <c r="E4" s="9" t="s">
        <v>88</v>
      </c>
      <c r="F4" s="9" t="s">
        <v>89</v>
      </c>
      <c r="G4" s="9">
        <v>70</v>
      </c>
      <c r="H4" s="9" t="s">
        <v>90</v>
      </c>
      <c r="I4" s="9" t="s">
        <v>91</v>
      </c>
      <c r="K4" s="9" t="s">
        <v>92</v>
      </c>
      <c r="L4" s="9" t="s">
        <v>92</v>
      </c>
      <c r="M4" s="9" t="s">
        <v>92</v>
      </c>
      <c r="N4" s="9" t="s">
        <v>92</v>
      </c>
      <c r="O4" s="9" t="s">
        <v>92</v>
      </c>
      <c r="P4" s="924" t="s">
        <v>742</v>
      </c>
      <c r="Q4" s="9" t="s">
        <v>92</v>
      </c>
      <c r="R4" s="924" t="s">
        <v>2259</v>
      </c>
      <c r="S4" s="9" t="s">
        <v>92</v>
      </c>
      <c r="T4" s="9" t="s">
        <v>93</v>
      </c>
      <c r="U4" s="9" t="s">
        <v>92</v>
      </c>
      <c r="W4" s="9" t="s">
        <v>855</v>
      </c>
    </row>
    <row r="5" spans="1:23">
      <c r="A5" s="8" t="s">
        <v>94</v>
      </c>
      <c r="B5" s="8" t="s">
        <v>153</v>
      </c>
      <c r="C5" s="1369" t="s">
        <v>1511</v>
      </c>
      <c r="F5" s="9" t="s">
        <v>95</v>
      </c>
      <c r="H5" s="9" t="s">
        <v>70</v>
      </c>
      <c r="I5" s="9" t="s">
        <v>96</v>
      </c>
      <c r="K5" s="9" t="s">
        <v>97</v>
      </c>
      <c r="L5" s="9" t="s">
        <v>97</v>
      </c>
      <c r="M5" s="9" t="s">
        <v>97</v>
      </c>
      <c r="N5" s="9" t="s">
        <v>97</v>
      </c>
      <c r="O5" s="9" t="s">
        <v>97</v>
      </c>
      <c r="P5" s="924" t="s">
        <v>529</v>
      </c>
      <c r="Q5" s="9" t="s">
        <v>97</v>
      </c>
      <c r="R5" s="924" t="s">
        <v>2260</v>
      </c>
      <c r="S5" s="9" t="s">
        <v>97</v>
      </c>
      <c r="T5" s="9" t="s">
        <v>98</v>
      </c>
      <c r="U5" s="9" t="s">
        <v>97</v>
      </c>
      <c r="W5" s="9" t="s">
        <v>856</v>
      </c>
    </row>
    <row r="6" spans="1:23">
      <c r="A6" s="8" t="s">
        <v>99</v>
      </c>
      <c r="B6" s="1041" t="s">
        <v>1440</v>
      </c>
      <c r="C6" s="1370" t="s">
        <v>1512</v>
      </c>
      <c r="F6" s="9" t="s">
        <v>71</v>
      </c>
      <c r="H6" s="9" t="s">
        <v>72</v>
      </c>
      <c r="I6" s="9" t="s">
        <v>100</v>
      </c>
      <c r="K6" s="9" t="s">
        <v>101</v>
      </c>
      <c r="L6" s="9" t="s">
        <v>101</v>
      </c>
      <c r="M6" s="9" t="s">
        <v>101</v>
      </c>
      <c r="N6" s="9" t="s">
        <v>101</v>
      </c>
      <c r="O6" s="9" t="s">
        <v>101</v>
      </c>
      <c r="P6" s="924" t="s">
        <v>859</v>
      </c>
      <c r="Q6" s="9" t="s">
        <v>101</v>
      </c>
      <c r="R6" s="924" t="s">
        <v>2261</v>
      </c>
      <c r="S6" s="9" t="s">
        <v>101</v>
      </c>
      <c r="T6" s="9"/>
      <c r="U6" s="9" t="s">
        <v>101</v>
      </c>
      <c r="W6" s="9" t="s">
        <v>857</v>
      </c>
    </row>
    <row r="7" spans="1:23">
      <c r="A7" s="8" t="s">
        <v>102</v>
      </c>
      <c r="B7" s="8" t="s">
        <v>103</v>
      </c>
      <c r="C7" s="1369" t="s">
        <v>1513</v>
      </c>
      <c r="F7" s="9" t="s">
        <v>154</v>
      </c>
      <c r="H7" s="9" t="s">
        <v>104</v>
      </c>
      <c r="I7" s="9" t="s">
        <v>105</v>
      </c>
    </row>
    <row r="8" spans="1:23">
      <c r="A8" s="8" t="s">
        <v>106</v>
      </c>
      <c r="B8" s="8" t="s">
        <v>107</v>
      </c>
      <c r="C8" s="1369" t="s">
        <v>1514</v>
      </c>
      <c r="F8" s="9" t="s">
        <v>155</v>
      </c>
      <c r="H8" s="9"/>
      <c r="I8" s="9" t="s">
        <v>108</v>
      </c>
    </row>
    <row r="9" spans="1:23">
      <c r="A9" s="8" t="s">
        <v>109</v>
      </c>
      <c r="B9" s="8" t="s">
        <v>156</v>
      </c>
      <c r="C9" s="1369" t="s">
        <v>1515</v>
      </c>
      <c r="F9" s="9" t="s">
        <v>110</v>
      </c>
      <c r="H9" s="9"/>
    </row>
    <row r="10" spans="1:23">
      <c r="A10" s="8" t="s">
        <v>111</v>
      </c>
      <c r="B10" s="8" t="s">
        <v>157</v>
      </c>
      <c r="C10" s="1369" t="s">
        <v>1516</v>
      </c>
      <c r="F10" s="9" t="s">
        <v>6</v>
      </c>
    </row>
    <row r="11" spans="1:23">
      <c r="A11" s="8" t="s">
        <v>112</v>
      </c>
      <c r="B11" s="8" t="s">
        <v>158</v>
      </c>
      <c r="C11" s="1369" t="s">
        <v>1517</v>
      </c>
    </row>
    <row r="12" spans="1:23">
      <c r="A12" s="8" t="s">
        <v>113</v>
      </c>
      <c r="B12" s="8" t="s">
        <v>159</v>
      </c>
      <c r="C12" s="1369" t="s">
        <v>1518</v>
      </c>
    </row>
    <row r="13" spans="1:23">
      <c r="A13" s="8" t="s">
        <v>114</v>
      </c>
      <c r="B13" s="8" t="s">
        <v>160</v>
      </c>
      <c r="C13" s="1369" t="s">
        <v>1519</v>
      </c>
    </row>
    <row r="14" spans="1:23">
      <c r="A14" s="8" t="s">
        <v>115</v>
      </c>
      <c r="B14" s="8" t="s">
        <v>161</v>
      </c>
      <c r="C14" s="1371" t="s">
        <v>1691</v>
      </c>
    </row>
    <row r="15" spans="1:23">
      <c r="A15" s="8" t="s">
        <v>116</v>
      </c>
      <c r="B15" s="8" t="s">
        <v>1480</v>
      </c>
      <c r="C15" s="1371"/>
    </row>
    <row r="16" spans="1:23">
      <c r="A16" s="8" t="s">
        <v>117</v>
      </c>
      <c r="B16" s="8" t="s">
        <v>1481</v>
      </c>
      <c r="C16" s="1371"/>
    </row>
    <row r="17" spans="1:3">
      <c r="A17" s="8" t="s">
        <v>118</v>
      </c>
      <c r="B17" s="8" t="s">
        <v>1482</v>
      </c>
      <c r="C17" s="1371"/>
    </row>
    <row r="18" spans="1:3">
      <c r="A18" s="8" t="s">
        <v>119</v>
      </c>
      <c r="B18" s="2514" t="s">
        <v>2651</v>
      </c>
      <c r="C18" s="1371"/>
    </row>
    <row r="19" spans="1:3">
      <c r="A19" s="8" t="s">
        <v>120</v>
      </c>
      <c r="B19" s="2514" t="s">
        <v>2658</v>
      </c>
      <c r="C19" s="1371"/>
    </row>
    <row r="20" spans="1:3">
      <c r="A20" s="8" t="s">
        <v>121</v>
      </c>
      <c r="B20" s="2514" t="s">
        <v>2700</v>
      </c>
      <c r="C20" s="1371"/>
    </row>
    <row r="21" spans="1:3">
      <c r="A21" s="8" t="s">
        <v>122</v>
      </c>
      <c r="B21" s="8" t="s">
        <v>2880</v>
      </c>
      <c r="C21" s="1371"/>
    </row>
    <row r="22" spans="1:3">
      <c r="A22" s="8" t="s">
        <v>123</v>
      </c>
      <c r="B22" s="3207" t="s">
        <v>3747</v>
      </c>
      <c r="C22" s="1371"/>
    </row>
    <row r="23" spans="1:3">
      <c r="A23" s="8" t="s">
        <v>124</v>
      </c>
      <c r="B23" s="8" t="s">
        <v>1441</v>
      </c>
      <c r="C23" s="1371"/>
    </row>
    <row r="24" spans="1:3">
      <c r="A24" s="8" t="s">
        <v>12</v>
      </c>
      <c r="B24" s="8" t="s">
        <v>1441</v>
      </c>
      <c r="C24" s="1371"/>
    </row>
    <row r="25" spans="1:3">
      <c r="A25" s="8" t="s">
        <v>125</v>
      </c>
      <c r="B25" s="8" t="s">
        <v>1441</v>
      </c>
      <c r="C25" s="1371"/>
    </row>
    <row r="26" spans="1:3">
      <c r="A26" s="8" t="s">
        <v>126</v>
      </c>
      <c r="B26" s="8" t="s">
        <v>1441</v>
      </c>
      <c r="C26" s="1371"/>
    </row>
    <row r="27" spans="1:3">
      <c r="A27" s="8" t="s">
        <v>1441</v>
      </c>
      <c r="B27" s="8" t="s">
        <v>1441</v>
      </c>
      <c r="C27" s="1371"/>
    </row>
    <row r="28" spans="1:3">
      <c r="A28" s="8" t="s">
        <v>1441</v>
      </c>
      <c r="B28" s="8" t="s">
        <v>1441</v>
      </c>
      <c r="C28" s="1371"/>
    </row>
    <row r="29" spans="1:3">
      <c r="A29" s="8" t="s">
        <v>1441</v>
      </c>
      <c r="B29" s="8" t="s">
        <v>1441</v>
      </c>
      <c r="C29" s="1371"/>
    </row>
    <row r="30" spans="1:3">
      <c r="A30" s="8" t="s">
        <v>1441</v>
      </c>
      <c r="B30" s="8" t="s">
        <v>1441</v>
      </c>
      <c r="C30" s="1371"/>
    </row>
    <row r="31" spans="1:3">
      <c r="A31" s="8" t="s">
        <v>1441</v>
      </c>
      <c r="B31" s="8" t="s">
        <v>1441</v>
      </c>
      <c r="C31" s="1371"/>
    </row>
    <row r="32" spans="1:3">
      <c r="A32" s="8" t="s">
        <v>1441</v>
      </c>
      <c r="B32" s="8" t="s">
        <v>1441</v>
      </c>
      <c r="C32" s="1371"/>
    </row>
    <row r="33" spans="1:3">
      <c r="A33" s="8" t="s">
        <v>1441</v>
      </c>
      <c r="B33" s="8" t="s">
        <v>1441</v>
      </c>
      <c r="C33" s="1371"/>
    </row>
    <row r="34" spans="1:3">
      <c r="A34" s="8" t="s">
        <v>1441</v>
      </c>
      <c r="B34" s="8" t="s">
        <v>1441</v>
      </c>
      <c r="C34" s="1371"/>
    </row>
    <row r="35" spans="1:3">
      <c r="A35" s="8" t="s">
        <v>1441</v>
      </c>
      <c r="B35" s="8" t="s">
        <v>1441</v>
      </c>
      <c r="C35" s="1371"/>
    </row>
    <row r="36" spans="1:3">
      <c r="A36" s="8" t="s">
        <v>1441</v>
      </c>
      <c r="B36" s="8" t="s">
        <v>1441</v>
      </c>
      <c r="C36" s="1371"/>
    </row>
    <row r="37" spans="1:3">
      <c r="A37" s="8" t="s">
        <v>1441</v>
      </c>
      <c r="B37" s="8" t="s">
        <v>1441</v>
      </c>
      <c r="C37" s="1371"/>
    </row>
    <row r="38" spans="1:3">
      <c r="A38" s="8" t="s">
        <v>1441</v>
      </c>
      <c r="B38" s="8" t="s">
        <v>1441</v>
      </c>
      <c r="C38" s="1371"/>
    </row>
    <row r="39" spans="1:3">
      <c r="A39" s="8" t="s">
        <v>1441</v>
      </c>
      <c r="B39" s="8" t="s">
        <v>1441</v>
      </c>
      <c r="C39" s="1371"/>
    </row>
    <row r="40" spans="1:3">
      <c r="A40" s="8" t="s">
        <v>1441</v>
      </c>
      <c r="B40" s="8" t="s">
        <v>1441</v>
      </c>
      <c r="C40" s="1371"/>
    </row>
    <row r="41" spans="1:3">
      <c r="A41" s="8" t="s">
        <v>1441</v>
      </c>
      <c r="B41" s="8" t="s">
        <v>1441</v>
      </c>
      <c r="C41" s="1371"/>
    </row>
    <row r="42" spans="1:3">
      <c r="A42" s="8" t="s">
        <v>1441</v>
      </c>
      <c r="B42" s="8" t="s">
        <v>1441</v>
      </c>
      <c r="C42" s="1371"/>
    </row>
    <row r="43" spans="1:3">
      <c r="A43" s="8" t="s">
        <v>1441</v>
      </c>
      <c r="B43" s="8" t="s">
        <v>1441</v>
      </c>
      <c r="C43" s="1371"/>
    </row>
    <row r="44" spans="1:3">
      <c r="A44" s="8" t="s">
        <v>1441</v>
      </c>
      <c r="B44" s="8" t="s">
        <v>1441</v>
      </c>
      <c r="C44" s="1371"/>
    </row>
    <row r="45" spans="1:3">
      <c r="A45" s="8" t="s">
        <v>1441</v>
      </c>
      <c r="B45" s="8" t="s">
        <v>1441</v>
      </c>
      <c r="C45" s="1371"/>
    </row>
    <row r="46" spans="1:3">
      <c r="A46" s="8" t="s">
        <v>1441</v>
      </c>
      <c r="B46" s="8" t="s">
        <v>1441</v>
      </c>
      <c r="C46" s="1371"/>
    </row>
    <row r="47" spans="1:3">
      <c r="A47" s="8" t="s">
        <v>1441</v>
      </c>
      <c r="B47" s="8" t="s">
        <v>1441</v>
      </c>
      <c r="C47" s="1371"/>
    </row>
    <row r="48" spans="1:3">
      <c r="A48" s="8" t="s">
        <v>1441</v>
      </c>
      <c r="B48" s="8" t="s">
        <v>1441</v>
      </c>
      <c r="C48" s="1371"/>
    </row>
    <row r="49" spans="1:5">
      <c r="A49" s="8" t="s">
        <v>1441</v>
      </c>
      <c r="B49" s="8" t="s">
        <v>1441</v>
      </c>
      <c r="C49" s="1371"/>
    </row>
    <row r="50" spans="1:5">
      <c r="A50" s="8" t="s">
        <v>1441</v>
      </c>
      <c r="B50" s="8" t="s">
        <v>1441</v>
      </c>
      <c r="C50" s="1371"/>
    </row>
    <row r="51" spans="1:5">
      <c r="A51" s="1548" t="s">
        <v>1733</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1777</v>
      </c>
      <c r="B52" s="1550" t="s">
        <v>1778</v>
      </c>
      <c r="C52" s="1549" t="s">
        <v>1779</v>
      </c>
      <c r="D52" s="1549" t="s">
        <v>1780</v>
      </c>
      <c r="E52" s="1550"/>
    </row>
    <row r="53" spans="1:5">
      <c r="A53" s="3251" t="s">
        <v>1781</v>
      </c>
      <c r="B53" s="1549" t="s">
        <v>1787</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c r="D53" s="1550"/>
      <c r="E53" s="1550"/>
    </row>
    <row r="54" spans="1:5">
      <c r="A54" s="3251"/>
      <c r="B54" s="1549" t="s">
        <v>1788</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51"/>
      <c r="B55" s="1549" t="s">
        <v>1782</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51"/>
      <c r="B56" s="1549" t="s">
        <v>1783</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51"/>
      <c r="B57" s="1549" t="s">
        <v>1784</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1840</v>
      </c>
      <c r="B58" s="1549" t="s">
        <v>1841</v>
      </c>
      <c r="C58" s="11" t="s">
        <v>1842</v>
      </c>
      <c r="D58" s="1169"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不动产收益法-车位</vt:lpstr>
      <vt:lpstr>典型户型修正</vt:lpstr>
      <vt:lpstr>中指及市调</vt:lpstr>
      <vt:lpstr>商业</vt:lpstr>
      <vt:lpstr>车位</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2023-01-12T05:28:38Z</dcterms:modified>
</cp:coreProperties>
</file>