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bookViews>
    <workbookView xWindow="11625" yWindow="255" windowWidth="11385" windowHeight="937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租约）" sheetId="79"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成本法" sheetId="68"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市场租金案例" sheetId="80" r:id="rId47"/>
    <sheet name="市场售价案例" sheetId="81" r:id="rId48"/>
    <sheet name="基础数据" sheetId="77"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5" i="78" l="1"/>
  <c r="G6" i="78"/>
  <c r="G7" i="78"/>
  <c r="G8" i="78"/>
  <c r="G9" i="78"/>
  <c r="G10" i="78"/>
  <c r="G11" i="78"/>
  <c r="G12" i="78"/>
  <c r="G13" i="78"/>
  <c r="G14" i="78"/>
  <c r="G15" i="78"/>
  <c r="G4" i="78"/>
  <c r="G17" i="78"/>
  <c r="F6" i="78"/>
  <c r="F7" i="78"/>
  <c r="F8" i="78"/>
  <c r="F9" i="78"/>
  <c r="F10" i="78"/>
  <c r="F11" i="78"/>
  <c r="F12" i="78"/>
  <c r="F13" i="78"/>
  <c r="F14" i="78"/>
  <c r="F15" i="78"/>
  <c r="F5" i="78"/>
  <c r="E4" i="78"/>
  <c r="E16" i="78"/>
  <c r="D4" i="78"/>
  <c r="C18" i="78"/>
  <c r="F19" i="6"/>
  <c r="E19" i="6"/>
  <c r="C33" i="33"/>
  <c r="O9" i="80"/>
  <c r="O23" i="80"/>
  <c r="P36" i="80"/>
  <c r="P46" i="80"/>
  <c r="Q6" i="80"/>
  <c r="D5" i="9"/>
  <c r="G7" i="33"/>
  <c r="I7" i="33"/>
  <c r="C6" i="68"/>
  <c r="D3" i="39"/>
  <c r="F70" i="15"/>
  <c r="F52"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AH6" i="1"/>
  <c r="E15" i="4"/>
  <c r="F6" i="1"/>
  <c r="AE6" i="1"/>
  <c r="I3" i="78"/>
  <c r="I4" i="78"/>
  <c r="C36" i="79"/>
  <c r="C37" i="79"/>
  <c r="C38" i="79"/>
  <c r="C39" i="79"/>
  <c r="C40" i="79"/>
  <c r="C41" i="79"/>
  <c r="C42" i="79"/>
  <c r="C45" i="79"/>
  <c r="C48" i="79"/>
  <c r="C46" i="79"/>
  <c r="C49" i="79"/>
  <c r="C51" i="79"/>
  <c r="M50" i="79"/>
  <c r="P50" i="79"/>
  <c r="O50" i="79"/>
  <c r="M49" i="79"/>
  <c r="P49" i="79"/>
  <c r="O49" i="79"/>
  <c r="M48" i="79"/>
  <c r="P48" i="79"/>
  <c r="O48" i="79"/>
  <c r="M47" i="79"/>
  <c r="P47" i="79"/>
  <c r="O47" i="79"/>
  <c r="M46" i="79"/>
  <c r="P46" i="79"/>
  <c r="O46" i="79"/>
  <c r="M45" i="79"/>
  <c r="P45" i="79"/>
  <c r="O45" i="79"/>
  <c r="M44" i="79"/>
  <c r="P44" i="79"/>
  <c r="O44" i="79"/>
  <c r="M43" i="79"/>
  <c r="P43" i="79"/>
  <c r="O43" i="79"/>
  <c r="M42" i="79"/>
  <c r="P42" i="79"/>
  <c r="O42" i="79"/>
  <c r="M41" i="79"/>
  <c r="P41" i="79"/>
  <c r="O41" i="79"/>
  <c r="M40" i="79"/>
  <c r="P40" i="79"/>
  <c r="O40" i="79"/>
  <c r="M39" i="79"/>
  <c r="P39" i="79"/>
  <c r="O39" i="79"/>
  <c r="M38" i="79"/>
  <c r="P38" i="79"/>
  <c r="O38" i="79"/>
  <c r="C35" i="79"/>
  <c r="C13" i="79"/>
  <c r="C17" i="79"/>
  <c r="C18" i="79"/>
  <c r="Q22" i="79"/>
  <c r="Q19" i="79"/>
  <c r="C19" i="79"/>
  <c r="Q20" i="79"/>
  <c r="C20" i="79"/>
  <c r="C21" i="79"/>
  <c r="C22" i="79"/>
  <c r="C23" i="79"/>
  <c r="C24" i="79"/>
  <c r="C25" i="79"/>
  <c r="C26" i="79"/>
  <c r="C27" i="79"/>
  <c r="C29" i="79"/>
  <c r="C30" i="79"/>
  <c r="C31" i="79"/>
  <c r="D13" i="79"/>
  <c r="D17" i="79"/>
  <c r="D18" i="79"/>
  <c r="D19" i="79"/>
  <c r="D20" i="79"/>
  <c r="D21" i="79"/>
  <c r="D22" i="79"/>
  <c r="D23" i="79"/>
  <c r="D24" i="79"/>
  <c r="D25" i="79"/>
  <c r="D26" i="79"/>
  <c r="D27" i="79"/>
  <c r="D29" i="79"/>
  <c r="D30" i="79"/>
  <c r="D31" i="79"/>
  <c r="E13" i="79"/>
  <c r="E17" i="79"/>
  <c r="E18" i="79"/>
  <c r="E19" i="79"/>
  <c r="E20" i="79"/>
  <c r="E21" i="79"/>
  <c r="E22" i="79"/>
  <c r="E23" i="79"/>
  <c r="E24" i="79"/>
  <c r="E25" i="79"/>
  <c r="E26" i="79"/>
  <c r="E27" i="79"/>
  <c r="E29" i="79"/>
  <c r="E30" i="79"/>
  <c r="E31" i="79"/>
  <c r="F13" i="79"/>
  <c r="F17" i="79"/>
  <c r="F18" i="79"/>
  <c r="F19" i="79"/>
  <c r="F20" i="79"/>
  <c r="F21" i="79"/>
  <c r="F22" i="79"/>
  <c r="F23" i="79"/>
  <c r="F24" i="79"/>
  <c r="F25" i="79"/>
  <c r="F26" i="79"/>
  <c r="F27" i="79"/>
  <c r="F29" i="79"/>
  <c r="F30" i="79"/>
  <c r="F31" i="79"/>
  <c r="G13" i="79"/>
  <c r="G17" i="79"/>
  <c r="G18" i="79"/>
  <c r="G19" i="79"/>
  <c r="G20" i="79"/>
  <c r="G21" i="79"/>
  <c r="G22" i="79"/>
  <c r="G23" i="79"/>
  <c r="G24" i="79"/>
  <c r="G25" i="79"/>
  <c r="G26" i="79"/>
  <c r="G27" i="79"/>
  <c r="G29" i="79"/>
  <c r="G30" i="79"/>
  <c r="G31" i="79"/>
  <c r="H13" i="79"/>
  <c r="H17" i="79"/>
  <c r="H18" i="79"/>
  <c r="H19" i="79"/>
  <c r="H20" i="79"/>
  <c r="H21" i="79"/>
  <c r="H22" i="79"/>
  <c r="H23" i="79"/>
  <c r="H24" i="79"/>
  <c r="H25" i="79"/>
  <c r="H26" i="79"/>
  <c r="H27" i="79"/>
  <c r="H29" i="79"/>
  <c r="H30" i="79"/>
  <c r="H31" i="79"/>
  <c r="I13" i="79"/>
  <c r="I17" i="79"/>
  <c r="I18" i="79"/>
  <c r="I19" i="79"/>
  <c r="I20" i="79"/>
  <c r="I21" i="79"/>
  <c r="I22" i="79"/>
  <c r="I23" i="79"/>
  <c r="I24" i="79"/>
  <c r="I25" i="79"/>
  <c r="I26" i="79"/>
  <c r="I27" i="79"/>
  <c r="I29" i="79"/>
  <c r="I30" i="79"/>
  <c r="I31" i="79"/>
  <c r="J13" i="79"/>
  <c r="J17" i="79"/>
  <c r="J18" i="79"/>
  <c r="J19" i="79"/>
  <c r="J20" i="79"/>
  <c r="J21" i="79"/>
  <c r="J22" i="79"/>
  <c r="J23" i="79"/>
  <c r="J24" i="79"/>
  <c r="J25" i="79"/>
  <c r="J26" i="79"/>
  <c r="J27" i="79"/>
  <c r="J29" i="79"/>
  <c r="J30" i="79"/>
  <c r="J31" i="79"/>
  <c r="K13" i="79"/>
  <c r="K17" i="79"/>
  <c r="K18" i="79"/>
  <c r="K19" i="79"/>
  <c r="K20" i="79"/>
  <c r="K21" i="79"/>
  <c r="K22" i="79"/>
  <c r="K23" i="79"/>
  <c r="K24" i="79"/>
  <c r="K25" i="79"/>
  <c r="K26" i="79"/>
  <c r="K27" i="79"/>
  <c r="K29" i="79"/>
  <c r="K30" i="79"/>
  <c r="K31" i="79"/>
  <c r="L13" i="79"/>
  <c r="L17" i="79"/>
  <c r="L18" i="79"/>
  <c r="L19" i="79"/>
  <c r="L20" i="79"/>
  <c r="L21" i="79"/>
  <c r="L22" i="79"/>
  <c r="L23" i="79"/>
  <c r="L24" i="79"/>
  <c r="L25" i="79"/>
  <c r="L26" i="79"/>
  <c r="L27" i="79"/>
  <c r="L29" i="79"/>
  <c r="L30" i="79"/>
  <c r="L31" i="79"/>
  <c r="C4" i="79"/>
  <c r="M15" i="79"/>
  <c r="M17" i="79"/>
  <c r="M18" i="79"/>
  <c r="M19" i="79"/>
  <c r="M20" i="79"/>
  <c r="M21" i="79"/>
  <c r="M22" i="79"/>
  <c r="M23" i="79"/>
  <c r="M24" i="79"/>
  <c r="M25" i="79"/>
  <c r="M26" i="79"/>
  <c r="M27" i="79"/>
  <c r="C5" i="79"/>
  <c r="M29" i="79"/>
  <c r="M30" i="79"/>
  <c r="M31" i="79"/>
  <c r="C32" i="79"/>
  <c r="C33" i="79"/>
  <c r="D14" i="79"/>
  <c r="E14" i="79"/>
  <c r="F14" i="79"/>
  <c r="G14" i="79"/>
  <c r="H14" i="79"/>
  <c r="I14" i="79"/>
  <c r="J14" i="79"/>
  <c r="K14" i="79"/>
  <c r="L14" i="79"/>
  <c r="L12" i="79"/>
  <c r="K12" i="79"/>
  <c r="J12" i="79"/>
  <c r="I12" i="79"/>
  <c r="H12" i="79"/>
  <c r="G12" i="79"/>
  <c r="F12" i="79"/>
  <c r="E12" i="79"/>
  <c r="D12" i="79"/>
  <c r="C12" i="79"/>
  <c r="L3" i="78"/>
  <c r="C16" i="78"/>
  <c r="AH5" i="71"/>
  <c r="AG5" i="71"/>
  <c r="AE5" i="71"/>
  <c r="AF5" i="71"/>
  <c r="AD5" i="71"/>
  <c r="Q5" i="71"/>
  <c r="Q6" i="71"/>
  <c r="Q7" i="71"/>
  <c r="Q8" i="71"/>
  <c r="Q9" i="71"/>
  <c r="Q10" i="71"/>
  <c r="Q11" i="71"/>
  <c r="Q12" i="71"/>
  <c r="Q13" i="71"/>
  <c r="Q14" i="71"/>
  <c r="Q15" i="71"/>
  <c r="Q16" i="71"/>
  <c r="Q17" i="71"/>
  <c r="Q18" i="71"/>
  <c r="Q19" i="71"/>
  <c r="Q20" i="71"/>
  <c r="Q21" i="71"/>
  <c r="Q22" i="71"/>
  <c r="Q23" i="71"/>
  <c r="Q24" i="71"/>
  <c r="Q25" i="71"/>
  <c r="Q26" i="71"/>
  <c r="Q27" i="71"/>
  <c r="AB5" i="71"/>
  <c r="P5" i="71"/>
  <c r="P6" i="71"/>
  <c r="P7" i="71"/>
  <c r="P8" i="71"/>
  <c r="P9" i="71"/>
  <c r="P10" i="71"/>
  <c r="P11" i="71"/>
  <c r="P12" i="71"/>
  <c r="P13" i="71"/>
  <c r="P14" i="71"/>
  <c r="P15" i="71"/>
  <c r="P16" i="71"/>
  <c r="P17" i="71"/>
  <c r="P18" i="71"/>
  <c r="P19" i="71"/>
  <c r="P20" i="71"/>
  <c r="P21" i="71"/>
  <c r="P22" i="71"/>
  <c r="P23" i="71"/>
  <c r="P24" i="71"/>
  <c r="P25" i="71"/>
  <c r="P26" i="71"/>
  <c r="P27" i="71"/>
  <c r="AA5" i="71"/>
  <c r="O5" i="71"/>
  <c r="O6" i="71"/>
  <c r="O7" i="71"/>
  <c r="O8" i="71"/>
  <c r="O9" i="71"/>
  <c r="O10" i="71"/>
  <c r="O11" i="71"/>
  <c r="O12" i="71"/>
  <c r="O13" i="71"/>
  <c r="O14" i="71"/>
  <c r="O15" i="71"/>
  <c r="O16" i="71"/>
  <c r="O17" i="71"/>
  <c r="O18" i="71"/>
  <c r="O19" i="71"/>
  <c r="O20" i="71"/>
  <c r="O21" i="71"/>
  <c r="O22" i="71"/>
  <c r="O23" i="71"/>
  <c r="O24" i="71"/>
  <c r="O25" i="71"/>
  <c r="O26" i="71"/>
  <c r="O27" i="71"/>
  <c r="Y5" i="71"/>
  <c r="Z5" i="71"/>
  <c r="N5" i="71"/>
  <c r="N6" i="71"/>
  <c r="N7" i="71"/>
  <c r="N8" i="71"/>
  <c r="N9" i="71"/>
  <c r="N10" i="71"/>
  <c r="N11" i="71"/>
  <c r="N12" i="71"/>
  <c r="N13" i="71"/>
  <c r="N14" i="71"/>
  <c r="N15" i="71"/>
  <c r="N16" i="71"/>
  <c r="N17" i="71"/>
  <c r="N18" i="71"/>
  <c r="N19" i="71"/>
  <c r="N20" i="71"/>
  <c r="N21" i="71"/>
  <c r="N22" i="71"/>
  <c r="N23" i="71"/>
  <c r="N24" i="71"/>
  <c r="N25" i="71"/>
  <c r="N26" i="71"/>
  <c r="N27" i="71"/>
  <c r="X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M19" i="43"/>
  <c r="D13" i="71"/>
  <c r="AH11" i="71"/>
  <c r="AG11" i="71"/>
  <c r="AE11" i="71"/>
  <c r="AF11" i="71"/>
  <c r="AD11" i="71"/>
  <c r="B3" i="3"/>
  <c r="AY6" i="3"/>
  <c r="D3" i="6"/>
  <c r="D19" i="6"/>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A6" i="1"/>
  <c r="G1" i="68"/>
  <c r="D9" i="68"/>
  <c r="E9" i="68"/>
  <c r="C9" i="68"/>
  <c r="K6" i="1"/>
  <c r="F28" i="6"/>
  <c r="G28" i="6"/>
  <c r="E28" i="6"/>
  <c r="E20" i="6"/>
  <c r="E21" i="6"/>
  <c r="E22" i="6"/>
  <c r="E23" i="6"/>
  <c r="E24" i="6"/>
  <c r="E25" i="6"/>
  <c r="E26" i="6"/>
  <c r="E27" i="6"/>
  <c r="K19" i="6"/>
  <c r="S6" i="1"/>
  <c r="D10" i="68"/>
  <c r="E10" i="68"/>
  <c r="C10" i="68"/>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F26" i="71"/>
  <c r="F27" i="71"/>
  <c r="F28" i="71"/>
  <c r="V28" i="71"/>
  <c r="D25" i="71"/>
  <c r="AB24" i="71"/>
  <c r="Y24" i="71"/>
  <c r="Z24" i="71"/>
  <c r="AB23" i="71"/>
  <c r="Y23" i="71"/>
  <c r="Z23" i="71"/>
  <c r="AB22" i="71"/>
  <c r="Y22" i="71"/>
  <c r="Z22" i="71"/>
  <c r="F22" i="71"/>
  <c r="F23" i="71"/>
  <c r="F24" i="71"/>
  <c r="V24" i="71"/>
  <c r="D21" i="71"/>
  <c r="AB20" i="71"/>
  <c r="Y20" i="71"/>
  <c r="Z20" i="71"/>
  <c r="AB19" i="71"/>
  <c r="Y19" i="71"/>
  <c r="Z19" i="71"/>
  <c r="AB18" i="71"/>
  <c r="Y18" i="71"/>
  <c r="Z18" i="71"/>
  <c r="F18" i="71"/>
  <c r="F19" i="71"/>
  <c r="F20" i="71"/>
  <c r="V20" i="71"/>
  <c r="D17"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K8" i="1"/>
  <c r="M8" i="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91" i="33"/>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F29" i="6"/>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B41"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H27" i="33"/>
  <c r="F87" i="33"/>
  <c r="H25" i="33"/>
  <c r="F25" i="33"/>
  <c r="J23" i="33"/>
  <c r="F85" i="33"/>
  <c r="H23" i="33"/>
  <c r="F81" i="33"/>
  <c r="F19" i="33"/>
  <c r="S19" i="33"/>
  <c r="W19" i="33"/>
  <c r="F7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E4" i="4"/>
  <c r="B6" i="49"/>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I19" i="6"/>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H19"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AC7" i="33"/>
  <c r="V48" i="33"/>
  <c r="R49"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0" i="71"/>
  <c r="D11" i="71"/>
  <c r="D12" i="71"/>
  <c r="U12" i="71"/>
  <c r="S12" i="71"/>
  <c r="T12" i="71"/>
  <c r="AB10" i="71"/>
  <c r="X8" i="71"/>
  <c r="X7" i="71"/>
  <c r="AA8" i="71"/>
  <c r="AA7" i="71"/>
  <c r="X11" i="71"/>
  <c r="Z6" i="71"/>
  <c r="Y7" i="71"/>
  <c r="Z7" i="71"/>
  <c r="AB8" i="71"/>
  <c r="AB7" i="71"/>
  <c r="S8" i="71"/>
  <c r="C94" i="9"/>
  <c r="C92" i="9"/>
  <c r="C20" i="11"/>
  <c r="C28" i="11"/>
  <c r="C27" i="11"/>
  <c r="Y8" i="71"/>
  <c r="Z8" i="71"/>
  <c r="E7" i="49"/>
  <c r="AB3" i="71"/>
  <c r="X3" i="71"/>
  <c r="E10" i="49"/>
  <c r="E14" i="49"/>
  <c r="AF3" i="71"/>
  <c r="P24" i="43"/>
  <c r="B66" i="40"/>
  <c r="P21" i="43"/>
  <c r="P22" i="43"/>
  <c r="C14" i="12"/>
  <c r="B13" i="49"/>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P23" i="43"/>
  <c r="B71" i="39"/>
  <c r="D9"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8"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F8" i="15"/>
  <c r="F51" i="15"/>
  <c r="F7" i="15"/>
  <c r="F50" i="15"/>
  <c r="C49" i="15"/>
  <c r="F4" i="73"/>
  <c r="I1" i="73"/>
  <c r="B39" i="1"/>
  <c r="F11" i="15"/>
  <c r="C53" i="15"/>
  <c r="C48" i="15"/>
  <c r="C60" i="15"/>
  <c r="C14" i="15"/>
  <c r="C15" i="15"/>
  <c r="F16" i="15"/>
  <c r="C16" i="15"/>
  <c r="F43" i="15"/>
  <c r="C17" i="15"/>
  <c r="C18" i="15"/>
  <c r="C19" i="15"/>
  <c r="C20" i="15"/>
  <c r="D5" i="73"/>
  <c r="D4" i="73"/>
  <c r="K1" i="73"/>
  <c r="D3" i="73"/>
  <c r="G1" i="73"/>
  <c r="B40" i="1"/>
  <c r="F24" i="15"/>
  <c r="C23" i="15"/>
  <c r="F26" i="15"/>
  <c r="C26" i="15"/>
  <c r="C24" i="15"/>
  <c r="C27" i="15"/>
  <c r="C29" i="15"/>
  <c r="C57" i="15"/>
  <c r="C61" i="15"/>
  <c r="F35" i="15"/>
  <c r="F63" i="15"/>
  <c r="C62" i="15"/>
  <c r="C59" i="15"/>
  <c r="F36" i="15"/>
  <c r="F64" i="15"/>
  <c r="C64" i="15"/>
  <c r="F13" i="15"/>
  <c r="C13" i="15"/>
  <c r="C56" i="15"/>
  <c r="F37" i="15"/>
  <c r="F65" i="15"/>
  <c r="C65" i="15"/>
  <c r="F38" i="15"/>
  <c r="F66" i="15"/>
  <c r="C66" i="15"/>
  <c r="C58" i="15"/>
  <c r="C67" i="15"/>
  <c r="F40" i="15"/>
  <c r="F68" i="15"/>
  <c r="F41" i="15"/>
  <c r="F69" i="15"/>
  <c r="C68" i="15"/>
  <c r="F6" i="15"/>
  <c r="F9" i="15"/>
  <c r="C6" i="15"/>
  <c r="C10" i="15"/>
  <c r="C5" i="15"/>
  <c r="C32" i="15"/>
  <c r="C33" i="15"/>
  <c r="C34" i="15"/>
  <c r="C31" i="15"/>
  <c r="C36" i="15"/>
  <c r="C37" i="15"/>
  <c r="C38" i="15"/>
  <c r="C30" i="15"/>
  <c r="C39" i="15"/>
  <c r="F42" i="15"/>
  <c r="C40" i="15"/>
  <c r="C46" i="15"/>
  <c r="D2" i="33"/>
  <c r="M9" i="67"/>
  <c r="B10" i="76"/>
  <c r="M27" i="67"/>
  <c r="B8" i="76"/>
  <c r="M29" i="67"/>
  <c r="AO7" i="1"/>
  <c r="F20" i="31"/>
  <c r="M21" i="15"/>
  <c r="F5" i="73"/>
  <c r="D2" i="21"/>
  <c r="D6" i="73"/>
  <c r="M6" i="15"/>
  <c r="M8" i="15"/>
  <c r="M7" i="15"/>
  <c r="M9" i="15"/>
  <c r="J6" i="15"/>
  <c r="M11" i="15"/>
  <c r="J10" i="15"/>
  <c r="J5" i="15"/>
  <c r="J18" i="15"/>
  <c r="J19" i="15"/>
  <c r="J20" i="15"/>
  <c r="J17" i="15"/>
  <c r="J14" i="15"/>
  <c r="M22" i="15"/>
  <c r="J22" i="15"/>
  <c r="J15" i="15"/>
  <c r="J13" i="15"/>
  <c r="M23" i="15"/>
  <c r="J23" i="15"/>
  <c r="M24" i="15"/>
  <c r="J24" i="15"/>
  <c r="J16" i="15"/>
  <c r="J25" i="15"/>
  <c r="M28" i="15"/>
  <c r="M26" i="15"/>
  <c r="M27" i="15"/>
  <c r="J26" i="15"/>
  <c r="J29" i="15"/>
  <c r="J57" i="15"/>
  <c r="J55" i="15"/>
  <c r="J58" i="15"/>
  <c r="J59" i="15"/>
  <c r="J60" i="15"/>
  <c r="C76" i="15"/>
  <c r="L51" i="15"/>
  <c r="L57" i="15"/>
  <c r="L47" i="15"/>
  <c r="L58" i="15"/>
  <c r="L59" i="15"/>
  <c r="L60" i="15"/>
  <c r="L46" i="15"/>
  <c r="B2" i="15"/>
  <c r="AO6" i="1"/>
  <c r="E11" i="76"/>
  <c r="F7" i="73"/>
  <c r="F36" i="67"/>
  <c r="M6" i="67"/>
  <c r="AO12" i="1"/>
  <c r="F6" i="67"/>
  <c r="D34" i="9"/>
  <c r="C20" i="68"/>
  <c r="F22" i="68"/>
  <c r="C23" i="68"/>
  <c r="C24" i="68"/>
  <c r="C25" i="68"/>
  <c r="C22" i="68"/>
  <c r="C28" i="68"/>
  <c r="C27" i="68"/>
  <c r="C26" i="68"/>
  <c r="D22" i="68"/>
  <c r="C31" i="68"/>
  <c r="D37" i="68"/>
  <c r="C37" i="68"/>
  <c r="C38" i="68"/>
  <c r="C33" i="68"/>
  <c r="C39" i="68"/>
  <c r="C42" i="68"/>
  <c r="C43" i="68"/>
  <c r="C41" i="68"/>
  <c r="C46" i="68"/>
  <c r="C45" i="68"/>
  <c r="C44" i="68"/>
  <c r="D41" i="68"/>
  <c r="C49" i="68"/>
  <c r="C51" i="68"/>
  <c r="C52" i="68"/>
  <c r="B2" i="68"/>
  <c r="B3" i="68"/>
  <c r="B2" i="33"/>
  <c r="B3" i="33"/>
  <c r="D20" i="9"/>
  <c r="E9" i="76"/>
  <c r="F40" i="67"/>
  <c r="F42" i="67"/>
  <c r="M21" i="67"/>
  <c r="E2" i="68"/>
  <c r="F35" i="67"/>
  <c r="F7" i="67"/>
  <c r="D2" i="36"/>
  <c r="M24" i="67"/>
  <c r="F13" i="67"/>
  <c r="AO13" i="1"/>
  <c r="C76" i="67"/>
  <c r="B13" i="76"/>
  <c r="B9" i="76"/>
  <c r="M28" i="67"/>
  <c r="B7" i="76"/>
  <c r="D19" i="9"/>
  <c r="J15" i="67"/>
  <c r="AO8" i="1"/>
  <c r="F3" i="73"/>
  <c r="C19" i="9"/>
  <c r="L47" i="67"/>
  <c r="M29" i="15"/>
  <c r="F16" i="67"/>
  <c r="M22" i="67"/>
  <c r="F6" i="73"/>
  <c r="M8" i="67"/>
  <c r="D2" i="37"/>
  <c r="B3" i="15"/>
  <c r="C20" i="9"/>
  <c r="F9" i="67"/>
  <c r="AO9" i="1"/>
  <c r="B11" i="76"/>
  <c r="F37" i="67"/>
  <c r="AO11" i="1"/>
  <c r="D7" i="73"/>
  <c r="F8" i="67"/>
  <c r="E7" i="76"/>
  <c r="E10" i="76"/>
  <c r="AO10" i="1"/>
  <c r="M23" i="67"/>
  <c r="E2" i="69"/>
  <c r="E12" i="76"/>
  <c r="F38" i="67"/>
  <c r="E8" i="76"/>
  <c r="E13" i="76"/>
  <c r="D2" i="35"/>
  <c r="E6" i="76"/>
  <c r="B6" i="76"/>
  <c r="F43" i="67"/>
  <c r="F41" i="67"/>
  <c r="B12" i="76"/>
  <c r="M26" i="67"/>
  <c r="D35" i="9"/>
  <c r="F31" i="67"/>
  <c r="F31" i="15"/>
  <c r="E9" i="49"/>
  <c r="E13" i="49"/>
  <c r="B11" i="49"/>
  <c r="E21" i="49"/>
  <c r="E8" i="49"/>
  <c r="E11" i="49"/>
  <c r="E22" i="49"/>
  <c r="B4" i="49"/>
  <c r="C29" i="69"/>
  <c r="D27" i="69"/>
  <c r="R16" i="1"/>
  <c r="C12" i="12"/>
  <c r="C8" i="69"/>
  <c r="C5" i="69"/>
  <c r="F69" i="67"/>
  <c r="F71" i="67"/>
  <c r="B2" i="76"/>
  <c r="E2" i="76"/>
  <c r="E20" i="43"/>
  <c r="B2" i="35"/>
  <c r="B3" i="35"/>
  <c r="F66" i="67"/>
  <c r="B10" i="70"/>
  <c r="F51" i="67"/>
  <c r="B11" i="70"/>
  <c r="F65" i="67"/>
  <c r="B9" i="70"/>
  <c r="N59" i="15"/>
  <c r="M59" i="15"/>
  <c r="C103" i="9"/>
  <c r="G20" i="9"/>
  <c r="B2" i="37"/>
  <c r="B3" i="37"/>
  <c r="M59" i="67"/>
  <c r="L58" i="67"/>
  <c r="N59" i="67"/>
  <c r="L59" i="67"/>
  <c r="D22" i="9"/>
  <c r="G19" i="9"/>
  <c r="C21" i="9"/>
  <c r="C102" i="9"/>
  <c r="B8" i="70"/>
  <c r="D21" i="9"/>
  <c r="D102" i="9"/>
  <c r="Q71" i="67"/>
  <c r="B13" i="70"/>
  <c r="B2" i="36"/>
  <c r="B3" i="36"/>
  <c r="M7" i="67"/>
  <c r="J6" i="67"/>
  <c r="F50" i="67"/>
  <c r="Q71" i="15"/>
  <c r="C34" i="67"/>
  <c r="F63" i="67"/>
  <c r="C62" i="67"/>
  <c r="J20" i="67"/>
  <c r="F70" i="67"/>
  <c r="F68" i="67"/>
  <c r="D103" i="9"/>
  <c r="C6" i="67"/>
  <c r="B12" i="70"/>
  <c r="F64" i="67"/>
  <c r="F71" i="15"/>
  <c r="B6" i="70"/>
  <c r="B2" i="21"/>
  <c r="B3" i="21"/>
  <c r="B20" i="31"/>
  <c r="B7" i="70"/>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M28" i="43"/>
  <c r="O28" i="43"/>
  <c r="P28" i="43"/>
  <c r="N28" i="43"/>
  <c r="B3" i="76"/>
  <c r="C21" i="12"/>
  <c r="Q52" i="67"/>
  <c r="F1" i="67"/>
  <c r="Q52" i="15"/>
  <c r="B2" i="70"/>
  <c r="B3" i="70"/>
  <c r="J18" i="67"/>
  <c r="J5" i="67"/>
  <c r="C32" i="67"/>
  <c r="Q60" i="15"/>
  <c r="Q73" i="15"/>
  <c r="C39" i="69"/>
  <c r="C46" i="69"/>
  <c r="C45" i="69"/>
  <c r="J26" i="67"/>
  <c r="J29" i="67"/>
  <c r="J24" i="67"/>
  <c r="C22" i="12"/>
  <c r="C30" i="12"/>
  <c r="C28" i="12"/>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C41" i="11"/>
  <c r="C49" i="11"/>
  <c r="C51" i="11"/>
  <c r="Q49"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7" i="68"/>
  <c r="C56" i="68"/>
  <c r="J16" i="67"/>
  <c r="J25" i="67"/>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Q56" i="67"/>
  <c r="C43" i="67"/>
  <c r="Q47" i="67"/>
  <c r="Q53" i="67"/>
  <c r="Q65" i="67"/>
  <c r="D2" i="67"/>
  <c r="C83" i="67"/>
  <c r="C82" i="67"/>
  <c r="B3" i="67"/>
  <c r="B2" i="67"/>
  <c r="N58" i="9"/>
  <c r="P57" i="9"/>
  <c r="N59" i="9"/>
  <c r="Q66" i="15"/>
  <c r="Q75" i="15"/>
  <c r="Q57" i="15"/>
  <c r="Q62" i="15"/>
  <c r="Q66" i="67"/>
  <c r="Q57" i="67"/>
  <c r="Q62" i="67"/>
  <c r="Q75" i="67"/>
  <c r="N61" i="9"/>
  <c r="N60" i="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<sst xmlns="http://schemas.openxmlformats.org/spreadsheetml/2006/main" count="7589" uniqueCount="3278">
  <si>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</si>
  <si>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</si>
  <si>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</si>
  <si>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</si>
  <si>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</si>
  <si>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</si>
  <si>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</si>
  <si>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</si>
  <si>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</si>
  <si>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</si>
  <si>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</si>
  <si>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</si>
  <si>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</si>
  <si>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</si>
  <si>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</si>
  <si>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</si>
  <si>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</si>
  <si>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</si>
  <si>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</si>
  <si>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</si>
  <si>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</si>
  <si>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</si>
  <si>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</si>
  <si>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</si>
  <si>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</si>
  <si>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</si>
  <si>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</si>
  <si>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</si>
  <si>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</si>
  <si>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</si>
  <si>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</si>
  <si>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</si>
  <si>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</si>
  <si>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</si>
  <si>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</si>
  <si>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</si>
  <si>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</si>
  <si>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</si>
  <si>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</si>
  <si>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</si>
  <si>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</si>
  <si>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</si>
  <si>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</si>
  <si>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</si>
  <si>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</si>
  <si>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</si>
  <si>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</si>
  <si>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</si>
  <si>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</si>
  <si>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</si>
  <si>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</si>
  <si>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</si>
  <si>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</si>
  <si>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</si>
  <si>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</si>
  <si>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</si>
  <si>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</si>
  <si>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</si>
  <si>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</si>
  <si>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</si>
  <si>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</si>
  <si>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</si>
  <si>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</si>
  <si>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</si>
  <si>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</si>
  <si>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</si>
  <si>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</si>
  <si>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</si>
  <si>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</si>
  <si>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</si>
  <si>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</si>
  <si>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</si>
  <si>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</si>
  <si>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</si>
  <si>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</si>
  <si>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</si>
  <si>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</si>
  <si>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</si>
  <si>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</si>
  <si>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</si>
  <si>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</si>
  <si>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</si>
  <si>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</si>
  <si>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</si>
  <si>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</si>
  <si>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</si>
  <si>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</si>
  <si>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</si>
  <si>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</si>
  <si>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</si>
  <si>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</si>
  <si>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</si>
  <si>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</si>
  <si>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</si>
  <si>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</si>
  <si>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</si>
  <si>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</si>
  <si>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</si>
  <si>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</si>
  <si>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</si>
  <si>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</si>
  <si>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</si>
  <si>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</si>
  <si>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</si>
  <si>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</si>
  <si>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</si>
  <si>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</si>
  <si>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</si>
  <si>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</si>
  <si>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</si>
  <si>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</si>
  <si>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</si>
  <si>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</si>
  <si>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</si>
  <si>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</si>
  <si>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</si>
  <si>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</si>
  <si>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</si>
  <si>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</si>
  <si>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</si>
  <si>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</si>
  <si>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</si>
  <si>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</si>
  <si>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</si>
  <si>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</si>
  <si>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</si>
  <si>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</si>
  <si>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</si>
  <si>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</si>
  <si>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</si>
  <si>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</si>
  <si>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</si>
  <si>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</si>
  <si>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</si>
  <si>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</si>
  <si>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</si>
  <si>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</si>
  <si>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</si>
  <si>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</si>
  <si>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</si>
  <si>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</si>
  <si>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</si>
  <si>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</si>
  <si>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</si>
  <si>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</si>
  <si>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</si>
  <si>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</si>
  <si>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</si>
  <si>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</si>
  <si>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</si>
  <si>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</si>
  <si>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</si>
  <si>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</si>
  <si>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</si>
  <si>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</si>
  <si>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</si>
  <si>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</si>
  <si>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</si>
  <si>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</si>
  <si>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</si>
  <si>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</si>
  <si>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</si>
  <si>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</si>
  <si>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</si>
  <si>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</si>
  <si>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</si>
  <si>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</si>
  <si>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</si>
  <si>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</si>
  <si>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</si>
  <si>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</si>
  <si>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</si>
  <si>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</si>
  <si>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</si>
  <si>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</si>
  <si>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</si>
  <si>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</si>
  <si>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</si>
  <si>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</si>
  <si>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</si>
  <si>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</si>
  <si>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</si>
  <si>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</si>
  <si>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</si>
  <si>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</si>
  <si>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</si>
  <si>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</si>
  <si>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</si>
  <si>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</si>
  <si>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</si>
  <si>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</si>
  <si>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</si>
  <si>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</si>
  <si>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</si>
  <si>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</si>
  <si>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</si>
  <si>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</si>
  <si>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</si>
  <si>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</si>
  <si>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</si>
  <si>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</si>
  <si>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</si>
  <si>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</si>
  <si>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</si>
  <si>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</si>
  <si>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</si>
  <si>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</si>
  <si>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</si>
  <si>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</si>
  <si>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</si>
  <si>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</si>
  <si>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</si>
  <si>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</si>
  <si>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</si>
  <si>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</si>
  <si>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</si>
  <si>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</si>
  <si>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</si>
  <si>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</si>
  <si>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</si>
  <si>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</si>
  <si>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</si>
  <si>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</si>
  <si>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</si>
  <si>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</si>
  <si>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</si>
  <si>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</si>
  <si>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</si>
  <si>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</si>
  <si>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</si>
  <si>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</si>
  <si>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</si>
  <si>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</si>
  <si>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</si>
  <si>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</si>
  <si>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</si>
  <si>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</si>
  <si>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</si>
  <si>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</si>
  <si>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</si>
  <si>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</si>
  <si>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</si>
  <si>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</si>
  <si>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</si>
  <si>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</si>
  <si>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</si>
  <si>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</si>
  <si>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</si>
  <si>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</si>
  <si>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</si>
  <si>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</si>
  <si>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</si>
  <si>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</si>
  <si>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</si>
  <si>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</si>
  <si>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</si>
  <si>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</si>
  <si>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</si>
  <si>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</si>
  <si>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</si>
  <si>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</si>
  <si>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</si>
  <si>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</si>
  <si>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</si>
  <si>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</si>
  <si>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</si>
  <si>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</si>
  <si>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</si>
  <si>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</si>
  <si>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</si>
  <si>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</si>
  <si>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</si>
  <si>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</si>
  <si>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</si>
  <si>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</si>
  <si>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</si>
  <si>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</si>
  <si>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</si>
  <si>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</si>
  <si>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</si>
  <si>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</si>
  <si>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</si>
  <si>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</si>
  <si>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</si>
  <si>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</si>
  <si>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</si>
  <si>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</si>
  <si>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</si>
  <si>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</si>
  <si>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</si>
  <si>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</si>
  <si>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</si>
  <si>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</si>
  <si>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</si>
  <si>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</si>
  <si>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</si>
  <si>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</si>
  <si>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</si>
  <si>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</si>
  <si>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</si>
  <si>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</si>
  <si>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</si>
  <si>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</si>
  <si>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</si>
  <si>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</si>
  <si>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</si>
  <si>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</si>
  <si>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</si>
  <si>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</si>
  <si>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</si>
  <si>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</si>
  <si>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</si>
  <si>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</si>
  <si>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</si>
  <si>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</si>
  <si>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</si>
  <si>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</si>
  <si>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</si>
  <si>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</si>
  <si>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</si>
  <si>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</si>
  <si>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</si>
  <si>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</si>
  <si>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</si>
  <si>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</si>
  <si>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</si>
  <si>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</si>
  <si>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</si>
  <si>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</si>
  <si>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</si>
  <si>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</si>
  <si>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</si>
  <si>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</si>
  <si>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</si>
  <si>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</si>
  <si>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</si>
  <si>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</si>
  <si>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</si>
  <si>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</si>
  <si>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</si>
  <si>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</si>
  <si>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</si>
  <si>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</si>
  <si>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</si>
  <si>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</si>
  <si>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</si>
  <si>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</si>
  <si>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</si>
  <si>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</si>
  <si>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</si>
  <si>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</si>
  <si>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</si>
  <si>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</si>
  <si>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</si>
  <si>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</si>
  <si>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</si>
  <si>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</si>
  <si>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</si>
  <si>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</si>
  <si>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</si>
  <si>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</si>
  <si>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</si>
  <si>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</si>
  <si>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</si>
  <si>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</si>
  <si>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</si>
  <si>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</si>
  <si>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</si>
  <si>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</si>
  <si>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</si>
  <si>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</si>
  <si>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</si>
  <si>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</si>
  <si>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</si>
  <si>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</si>
  <si>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</si>
  <si>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</si>
  <si>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</si>
  <si>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</si>
  <si>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</si>
  <si>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</si>
  <si>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</si>
  <si>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</si>
  <si>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</si>
  <si>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</si>
  <si>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</si>
  <si>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</si>
  <si>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</si>
  <si>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</si>
  <si>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</si>
  <si>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</si>
  <si>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</si>
  <si>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</si>
  <si>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</si>
  <si>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</si>
  <si>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</si>
  <si>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</si>
  <si>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</si>
  <si>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</si>
  <si>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</si>
  <si>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</si>
  <si>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</si>
  <si>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</si>
  <si>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</si>
  <si>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</si>
  <si>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</si>
  <si>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</si>
  <si>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</si>
  <si>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</si>
  <si>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</si>
  <si>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</si>
  <si>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</si>
  <si>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</si>
  <si>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</si>
  <si>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</si>
  <si>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</si>
  <si>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</si>
  <si>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</si>
  <si>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</si>
  <si>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</si>
  <si>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</si>
  <si>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</si>
  <si>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</si>
  <si>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</si>
  <si>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</si>
  <si>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</si>
  <si>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</si>
  <si>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</si>
  <si>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</si>
  <si>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</si>
  <si>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</si>
  <si>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</si>
  <si>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</si>
  <si>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</si>
  <si>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</si>
  <si>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</si>
  <si>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</si>
  <si>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</si>
  <si>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</si>
  <si>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</si>
  <si>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</si>
  <si>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</si>
  <si>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</si>
  <si>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</si>
  <si>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</si>
  <si>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</si>
  <si>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</si>
  <si>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</si>
  <si>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</si>
  <si>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</si>
  <si>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</si>
  <si>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</si>
  <si>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</si>
  <si>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</si>
  <si>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</si>
  <si>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</si>
  <si>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</si>
  <si>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</si>
  <si>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</si>
  <si>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</si>
  <si>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</si>
  <si>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</si>
  <si>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</si>
  <si>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</si>
  <si>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</si>
  <si>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</si>
  <si>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</si>
  <si>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</si>
  <si>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</si>
  <si>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</si>
  <si>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</si>
  <si>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</si>
  <si>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</si>
  <si>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</si>
  <si>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</si>
  <si>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</si>
  <si>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</si>
  <si>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</si>
  <si>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</si>
  <si>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</si>
  <si>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</si>
  <si>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</si>
  <si>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</si>
  <si>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</si>
  <si>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</si>
  <si>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</si>
  <si>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</si>
  <si>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</si>
  <si>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</si>
  <si>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</si>
  <si>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</si>
  <si>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</si>
  <si>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</si>
  <si>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</si>
  <si>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</si>
  <si>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</si>
  <si>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</si>
  <si>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</si>
  <si>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</si>
  <si>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</si>
  <si>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</si>
  <si>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</si>
  <si>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</si>
  <si>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</si>
  <si>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</si>
  <si>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</si>
  <si>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</si>
  <si>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</si>
  <si>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</si>
  <si>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</si>
  <si>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</si>
  <si>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</si>
  <si>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</si>
  <si>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</si>
  <si>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</si>
  <si>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</si>
  <si>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</si>
  <si>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</si>
  <si>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</si>
  <si>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</si>
  <si>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</si>
  <si>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</si>
  <si>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</si>
  <si>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</si>
  <si>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</si>
  <si>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</si>
  <si>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</si>
  <si>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</si>
  <si>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</si>
  <si>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</si>
  <si>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</si>
  <si>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</si>
  <si>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</si>
  <si>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</si>
  <si>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</si>
  <si>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</si>
  <si>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</si>
  <si>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</si>
  <si>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</si>
  <si>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</si>
  <si>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</si>
  <si>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</si>
  <si>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</si>
  <si>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</si>
  <si>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</si>
  <si>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</si>
  <si>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</si>
  <si>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</si>
  <si>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</si>
  <si>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</si>
  <si>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</si>
  <si>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</si>
  <si>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</si>
  <si>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</si>
  <si>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</si>
  <si>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</si>
  <si>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</si>
  <si>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</si>
  <si>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</si>
  <si>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</si>
  <si>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</si>
  <si>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</si>
  <si>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</si>
  <si>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</si>
  <si>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</si>
  <si>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</si>
  <si>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</si>
  <si>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</si>
  <si>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</si>
  <si>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</si>
  <si>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</si>
  <si>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</si>
  <si>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</si>
  <si>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</si>
  <si>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</si>
  <si>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</si>
  <si>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</si>
  <si>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</si>
  <si>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</si>
  <si>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</si>
  <si>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</si>
  <si>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</si>
  <si>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</si>
  <si>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</si>
  <si>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</si>
  <si>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</si>
  <si>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</si>
  <si>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</si>
  <si>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</si>
  <si>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</si>
  <si>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</si>
  <si>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</si>
  <si>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</si>
  <si>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</si>
  <si>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</si>
  <si>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</si>
  <si>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</si>
  <si>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</si>
  <si>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</si>
  <si>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</si>
  <si>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</si>
  <si>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</si>
  <si>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</si>
  <si>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</si>
  <si>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</si>
  <si>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</si>
  <si>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</si>
  <si>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</si>
  <si>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</si>
  <si>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</si>
  <si>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</si>
  <si>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</si>
  <si>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</si>
  <si>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</si>
  <si>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</si>
  <si>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</si>
  <si>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</si>
  <si>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</si>
  <si>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</si>
  <si>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</si>
  <si>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</si>
  <si>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</si>
  <si>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</si>
  <si>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</si>
  <si>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</si>
  <si>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</si>
  <si>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</si>
  <si>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</si>
  <si>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</si>
  <si>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</si>
  <si>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</si>
  <si>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</si>
  <si>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</si>
  <si>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</si>
  <si>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</si>
  <si>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</si>
  <si>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</si>
  <si>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</si>
  <si>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</si>
  <si>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</si>
  <si>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</si>
  <si>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</si>
  <si>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</si>
  <si>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</si>
  <si>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</si>
  <si>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</si>
  <si>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</si>
  <si>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</si>
  <si>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</si>
  <si>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</si>
  <si>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</si>
  <si>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</si>
  <si>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</si>
  <si>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</si>
  <si>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</si>
  <si>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</si>
  <si>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</si>
  <si>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</si>
  <si>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</si>
  <si>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</si>
  <si>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</si>
  <si>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</si>
  <si>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</si>
  <si>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</si>
  <si>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</si>
  <si>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</si>
  <si>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</si>
  <si>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</si>
  <si>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</si>
  <si>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</si>
  <si>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</si>
  <si>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</si>
  <si>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</si>
  <si>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</si>
  <si>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</si>
  <si>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</si>
  <si>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</si>
  <si>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</si>
  <si>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</si>
  <si>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</si>
  <si>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</si>
  <si>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</si>
  <si>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</si>
  <si>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</si>
  <si>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</si>
  <si>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</si>
  <si>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</si>
  <si>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</si>
  <si>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</si>
  <si>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</si>
  <si>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</si>
  <si>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</si>
  <si>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</si>
  <si>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</si>
  <si>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</si>
  <si>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</si>
  <si>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</si>
  <si>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</si>
  <si>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</si>
  <si>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</si>
  <si>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</si>
  <si>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</si>
  <si>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</si>
  <si>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</si>
  <si>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</si>
  <si>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</si>
  <si>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</si>
  <si>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</si>
  <si>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</si>
  <si>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</si>
  <si>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</si>
  <si>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</si>
  <si>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</si>
  <si>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</si>
  <si>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</si>
  <si>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</si>
  <si>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</si>
  <si>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</si>
  <si>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</si>
  <si>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</si>
  <si>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</si>
  <si>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</si>
  <si>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</si>
  <si>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</si>
  <si>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</si>
  <si>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</si>
  <si>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</si>
  <si>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</si>
  <si>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</si>
  <si>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</si>
  <si>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</si>
  <si>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</si>
  <si>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</si>
  <si>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</si>
  <si>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</si>
  <si>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</si>
  <si>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</si>
  <si>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</si>
  <si>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</si>
  <si>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</si>
  <si>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</si>
  <si>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</si>
  <si>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</si>
  <si>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</si>
  <si>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</si>
  <si>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</si>
  <si>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</si>
  <si>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</si>
  <si>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</si>
  <si>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</si>
  <si>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</si>
  <si>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</si>
  <si>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</si>
  <si>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</si>
  <si>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</si>
  <si>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</si>
  <si>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</si>
  <si>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</si>
  <si>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</si>
  <si>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</si>
  <si>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</si>
  <si>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</si>
  <si>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</si>
  <si>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</si>
  <si>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</si>
  <si>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</si>
  <si>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</si>
  <si>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</si>
  <si>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</si>
  <si>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</si>
  <si>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</si>
  <si>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</si>
  <si>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</si>
  <si>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</si>
  <si>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</si>
  <si>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</si>
  <si>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</si>
  <si>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</si>
  <si>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</si>
  <si>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</si>
  <si>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</si>
  <si>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</si>
  <si>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</si>
  <si>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</si>
  <si>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</si>
  <si>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</si>
  <si>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</si>
  <si>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</si>
  <si>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</si>
  <si>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</si>
  <si>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</si>
  <si>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</si>
  <si>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</si>
  <si>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</si>
  <si>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</si>
  <si>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</si>
  <si>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</si>
  <si>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</si>
  <si>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</si>
  <si>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</si>
  <si>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</si>
  <si>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</si>
  <si>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</si>
  <si>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</si>
  <si>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</si>
  <si>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</si>
  <si>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</si>
  <si>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</si>
  <si>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</si>
  <si>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</si>
  <si>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</si>
  <si>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</si>
  <si>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</si>
  <si>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</si>
  <si>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</si>
  <si>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</si>
  <si>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</si>
  <si>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</si>
  <si>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</si>
  <si>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</si>
  <si>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</si>
  <si>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</si>
  <si>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</si>
  <si>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</si>
  <si>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</si>
  <si>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</si>
  <si>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</si>
  <si>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</si>
  <si>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</si>
  <si>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</si>
  <si>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</si>
  <si>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</si>
  <si>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</si>
  <si>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</si>
  <si>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</si>
  <si>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</si>
  <si>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</si>
  <si>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</si>
  <si>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</si>
  <si>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</si>
  <si>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</si>
  <si>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</si>
  <si>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</si>
  <si>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</si>
  <si>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</si>
  <si>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</si>
  <si>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</si>
  <si>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</si>
  <si>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</si>
  <si>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</si>
  <si>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</si>
  <si>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</si>
  <si>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</si>
  <si>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</si>
  <si>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</si>
  <si>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</si>
  <si>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</si>
  <si>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</si>
  <si>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</si>
  <si>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</si>
  <si>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</si>
  <si>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</si>
  <si>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</si>
  <si>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</si>
  <si>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</si>
  <si>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</si>
  <si>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</si>
  <si>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</si>
  <si>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</si>
  <si>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</si>
  <si>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</si>
  <si>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</si>
  <si>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</si>
  <si>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</si>
  <si>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</si>
  <si>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</si>
  <si>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</si>
  <si>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</si>
  <si>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</si>
  <si>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</si>
  <si>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</si>
  <si>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</si>
  <si>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</si>
  <si>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</si>
  <si>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</si>
  <si>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</si>
  <si>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</si>
  <si>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</si>
  <si>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</si>
  <si>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</si>
  <si>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</si>
  <si>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</si>
  <si>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</si>
  <si>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</si>
  <si>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</si>
  <si>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</si>
  <si>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</si>
  <si>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</si>
  <si>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</si>
  <si>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</si>
  <si>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</si>
  <si>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</si>
  <si>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</si>
  <si>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</si>
  <si>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</si>
  <si>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</si>
  <si>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</si>
  <si>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</si>
  <si>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</si>
  <si>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</si>
  <si>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</si>
  <si>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</si>
  <si>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</si>
  <si>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</si>
  <si>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</si>
  <si>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</si>
  <si>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</si>
  <si>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</si>
  <si>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</si>
  <si>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</si>
  <si>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</si>
  <si>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</si>
  <si>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</si>
  <si>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</si>
  <si>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</si>
  <si>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</si>
  <si>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</si>
  <si>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</si>
  <si>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</si>
  <si>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</si>
  <si>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</si>
  <si>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</si>
  <si>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</si>
  <si>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</si>
  <si>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</si>
  <si>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</si>
  <si>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</si>
  <si>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</si>
  <si>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</si>
  <si>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</si>
  <si>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</si>
  <si>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</si>
  <si>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</si>
  <si>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</si>
  <si>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</si>
  <si>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</si>
  <si>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</si>
  <si>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</si>
  <si>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</si>
  <si>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</si>
  <si>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</si>
  <si>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</si>
  <si>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</si>
  <si>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</si>
  <si>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</si>
  <si>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</si>
  <si>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</si>
  <si>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</si>
  <si>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</si>
  <si>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</si>
  <si>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</si>
  <si>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</si>
  <si>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</si>
  <si>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</si>
  <si>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</si>
  <si>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</si>
  <si>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</si>
  <si>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</si>
  <si>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</si>
  <si>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</si>
  <si>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</si>
  <si>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</si>
  <si>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</si>
  <si>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</si>
  <si>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</si>
  <si>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</si>
  <si>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</si>
  <si>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</si>
  <si>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</si>
  <si>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</si>
  <si>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</si>
  <si>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</si>
  <si>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</si>
  <si>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</si>
  <si>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</si>
  <si>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</si>
  <si>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</si>
  <si>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</si>
  <si>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</si>
  <si>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</si>
  <si>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</si>
  <si>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</si>
  <si>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</si>
  <si>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</si>
  <si>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</si>
  <si>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</si>
  <si>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</si>
  <si>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</si>
  <si>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</si>
  <si>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</si>
  <si>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</si>
  <si>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</si>
  <si>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</si>
  <si>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</si>
  <si>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</si>
  <si>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</si>
  <si>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</si>
  <si>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</si>
  <si>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</si>
  <si>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</si>
  <si>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</si>
  <si>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</si>
  <si>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</si>
  <si>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</si>
  <si>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</si>
  <si>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</si>
  <si>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</si>
  <si>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</si>
  <si>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</si>
  <si>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</si>
  <si>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</si>
  <si>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</si>
  <si>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</si>
  <si>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</si>
  <si>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</si>
  <si>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</si>
  <si>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</si>
  <si>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</si>
  <si>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</si>
  <si>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</si>
  <si>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</si>
  <si>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</si>
  <si>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</si>
  <si>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</si>
  <si>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</si>
  <si>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</si>
  <si>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</si>
  <si>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</si>
  <si>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</si>
  <si>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</si>
  <si>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</si>
  <si>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</si>
  <si>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</si>
  <si>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</si>
  <si>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</si>
  <si>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</si>
  <si>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</si>
  <si>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</si>
  <si>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</si>
  <si>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</si>
  <si>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</si>
  <si>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</si>
  <si>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</si>
  <si>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</si>
  <si>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</si>
  <si>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</si>
  <si>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</si>
  <si>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</si>
  <si>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</si>
  <si>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</si>
  <si>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</si>
  <si>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</si>
  <si>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</si>
  <si>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</si>
  <si>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</si>
  <si>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</si>
  <si>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</si>
  <si>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</si>
  <si>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</si>
  <si>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</si>
  <si>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</si>
  <si>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</si>
  <si>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</si>
  <si>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</si>
  <si>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</si>
  <si>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</si>
  <si>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</si>
  <si>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</si>
  <si>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</si>
  <si>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</si>
  <si>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</si>
  <si>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</si>
  <si>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</si>
  <si>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</si>
  <si>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</si>
  <si>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</si>
  <si>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</si>
  <si>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</si>
  <si>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</si>
  <si>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</si>
  <si>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</si>
  <si>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</si>
  <si>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</si>
  <si>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</si>
  <si>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</si>
  <si>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</si>
  <si>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</si>
  <si>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</si>
  <si>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</si>
  <si>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</si>
  <si>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</si>
  <si>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</si>
  <si>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</si>
  <si>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</si>
  <si>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</si>
  <si>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</si>
  <si>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</si>
  <si>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</si>
  <si>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</si>
  <si>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</si>
  <si>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</si>
  <si>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</si>
  <si>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</si>
  <si>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</si>
  <si>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</si>
  <si>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</si>
  <si>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</si>
  <si>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</si>
  <si>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</si>
  <si>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</si>
  <si>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</si>
  <si>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</si>
  <si>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</si>
  <si>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</si>
  <si>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</si>
  <si>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</si>
  <si>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</si>
  <si>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</si>
  <si>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</si>
  <si>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</si>
  <si>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</si>
  <si>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</si>
  <si>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</si>
  <si>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</si>
  <si>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</si>
  <si>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</si>
  <si>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</si>
  <si>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</si>
  <si>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</si>
  <si>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</si>
  <si>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</si>
  <si>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</si>
  <si>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</si>
  <si>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</si>
  <si>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</si>
  <si>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</si>
  <si>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</si>
  <si>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</si>
  <si>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</si>
  <si>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</si>
  <si>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</si>
  <si>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</si>
  <si>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</si>
  <si>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</si>
  <si>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</si>
  <si>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</si>
  <si>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</si>
  <si>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</si>
  <si>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</si>
  <si>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</si>
  <si>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</si>
  <si>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</si>
  <si>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</si>
  <si>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</si>
  <si>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</si>
  <si>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</si>
  <si>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</si>
  <si>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</si>
  <si>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</si>
  <si>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</si>
  <si>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</si>
  <si>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</si>
  <si>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</si>
  <si>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</si>
  <si>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</si>
  <si>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</si>
  <si>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</si>
  <si>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</si>
  <si>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</si>
  <si>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</si>
  <si>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</si>
  <si>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</si>
  <si>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</si>
  <si>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</si>
  <si>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</si>
  <si>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</si>
  <si>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</si>
  <si>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</si>
  <si>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</si>
  <si>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</si>
  <si>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</si>
  <si>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</si>
  <si>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</si>
  <si>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</si>
  <si>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</si>
  <si>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</si>
  <si>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</si>
  <si>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</si>
  <si>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</si>
  <si>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</si>
  <si>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</si>
  <si>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</si>
  <si>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</si>
  <si>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</si>
  <si>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</si>
  <si>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</si>
  <si>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</si>
  <si>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</si>
  <si>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</si>
  <si>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</si>
  <si>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</si>
  <si>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</si>
  <si>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</si>
  <si>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</si>
  <si>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</si>
  <si>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</si>
  <si>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</si>
  <si>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</si>
  <si>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</si>
  <si>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</si>
  <si>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</si>
  <si>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</si>
  <si>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</si>
  <si>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</si>
  <si>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</si>
  <si>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</si>
  <si>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</si>
  <si>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</si>
  <si>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</si>
  <si>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</si>
  <si>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</si>
  <si>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</si>
  <si>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</si>
  <si>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</si>
  <si>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</si>
  <si>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</si>
  <si>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</si>
  <si>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</si>
  <si>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</si>
  <si>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</si>
  <si>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</si>
  <si>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</si>
  <si>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</si>
  <si>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</si>
  <si>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</si>
  <si>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</si>
  <si>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</si>
  <si>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</si>
  <si>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</si>
  <si>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</si>
  <si>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</si>
  <si>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</si>
  <si>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</si>
  <si>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</si>
  <si>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</si>
  <si>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</si>
  <si>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</si>
  <si>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</si>
  <si>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</si>
  <si>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</si>
  <si>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</si>
  <si>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</si>
  <si>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</si>
  <si>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</si>
  <si>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</si>
  <si>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</si>
  <si>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</si>
  <si>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</si>
  <si>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</si>
  <si>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</si>
  <si>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</si>
  <si>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</si>
  <si>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</si>
  <si>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</si>
  <si>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</si>
  <si>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</si>
  <si>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</si>
  <si>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</si>
  <si>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</si>
  <si>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</si>
  <si>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</si>
  <si>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</si>
  <si>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</si>
  <si>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</si>
  <si>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</si>
  <si>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</si>
  <si>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</si>
  <si>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</si>
  <si>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</si>
  <si>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</si>
  <si>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</si>
  <si>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</si>
  <si>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</si>
  <si>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</si>
  <si>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</si>
  <si>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</si>
  <si>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</si>
  <si>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</si>
  <si>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</si>
  <si>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</si>
  <si>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</si>
  <si>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</si>
  <si>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</si>
  <si>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</si>
  <si>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</si>
  <si>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</si>
  <si>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</si>
  <si>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</si>
  <si>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</si>
  <si>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</si>
  <si>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</si>
  <si>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</si>
  <si>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</si>
  <si>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</si>
  <si>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</si>
  <si>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</si>
  <si>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</si>
  <si>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</si>
  <si>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</si>
  <si>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</si>
  <si>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</si>
  <si>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</si>
  <si>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</si>
  <si>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</si>
  <si>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</si>
  <si>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</si>
  <si>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</si>
  <si>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</si>
  <si>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</si>
  <si>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</si>
  <si>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</si>
  <si>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</si>
  <si>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</si>
  <si>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</si>
  <si>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</si>
  <si>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</si>
  <si>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</si>
  <si>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</si>
  <si>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</si>
  <si>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</si>
  <si>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</si>
  <si>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</si>
  <si>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</si>
  <si>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</si>
  <si>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</si>
  <si>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</si>
  <si>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</si>
  <si>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</si>
  <si>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</si>
  <si>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</si>
  <si>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</si>
  <si>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</si>
  <si>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</si>
  <si>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</si>
  <si>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</si>
  <si>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</si>
  <si>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</si>
  <si>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</si>
  <si>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</si>
  <si>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</si>
  <si>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</si>
  <si>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</si>
  <si>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</si>
  <si>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</si>
  <si>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</si>
  <si>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</si>
  <si>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</si>
  <si>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</si>
  <si>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</si>
  <si>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</si>
  <si>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</si>
  <si>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</si>
  <si>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</si>
  <si>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</si>
  <si>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</si>
  <si>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</si>
  <si>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</si>
  <si>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</si>
  <si>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</si>
  <si>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</si>
  <si>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</si>
  <si>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</si>
  <si>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</si>
  <si>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</si>
  <si>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</si>
  <si>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</si>
  <si>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</si>
  <si>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</si>
  <si>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</si>
  <si>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</si>
  <si>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</si>
  <si>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</si>
  <si>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</si>
  <si>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</si>
  <si>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</si>
  <si>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</si>
  <si>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</si>
  <si>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</si>
  <si>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</si>
  <si>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</si>
  <si>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</si>
  <si>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</si>
  <si>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</si>
  <si>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</si>
  <si>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</si>
  <si>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</si>
  <si>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</si>
  <si>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</si>
  <si>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</si>
  <si>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</si>
  <si>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</si>
  <si>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</si>
  <si>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</si>
  <si>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</si>
  <si>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</si>
  <si>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</si>
  <si>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</si>
  <si>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</si>
  <si>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</si>
  <si>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</si>
  <si>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</si>
  <si>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</si>
  <si>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</si>
  <si>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</si>
  <si>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</si>
  <si>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</si>
  <si>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</si>
  <si>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</si>
  <si>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</si>
  <si>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</si>
  <si>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</si>
  <si>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</si>
  <si>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</si>
  <si>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</si>
  <si>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</si>
  <si>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</si>
  <si>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</si>
  <si>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</si>
  <si>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</si>
  <si>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</si>
  <si>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</si>
  <si>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</si>
  <si>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</si>
  <si>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</si>
  <si>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</si>
  <si>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</si>
  <si>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</si>
  <si>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</si>
  <si>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</si>
  <si>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</si>
  <si>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</si>
  <si>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</si>
  <si>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</si>
  <si>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</si>
  <si>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</si>
  <si>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</si>
  <si>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</si>
  <si>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</si>
  <si>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</si>
  <si>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</si>
  <si>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</si>
  <si>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</si>
  <si>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</si>
  <si>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</si>
  <si>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</si>
  <si>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</si>
  <si>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</si>
  <si>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</si>
  <si>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</si>
  <si>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</si>
  <si>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</si>
  <si>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</si>
  <si>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</si>
  <si>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</si>
  <si>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</si>
  <si>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</si>
  <si>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</si>
  <si>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</si>
  <si>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</si>
  <si>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</si>
  <si>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</si>
  <si>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</si>
  <si>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</si>
  <si>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</si>
  <si>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</si>
  <si>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</si>
  <si>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</si>
  <si>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</si>
  <si>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</si>
  <si>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</si>
  <si>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</si>
  <si>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</si>
  <si>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</si>
  <si>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</si>
  <si>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</si>
  <si>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</si>
  <si>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</si>
  <si>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</si>
  <si>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</si>
  <si>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</si>
  <si>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</si>
  <si>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</si>
  <si>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</si>
  <si>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</si>
  <si>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</si>
  <si>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</si>
  <si>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</si>
  <si>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</si>
  <si>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</si>
  <si>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</si>
  <si>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</si>
  <si>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</si>
  <si>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</si>
  <si>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</si>
  <si>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</si>
  <si>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</si>
  <si>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</si>
  <si>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</si>
  <si>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</si>
  <si>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</si>
  <si>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</si>
  <si>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</si>
  <si>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</si>
  <si>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</si>
  <si>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</si>
  <si>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</si>
  <si>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</si>
  <si>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</si>
  <si>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</si>
  <si>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</si>
  <si>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</si>
  <si>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</si>
  <si>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</si>
  <si>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</si>
  <si>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</si>
  <si>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</si>
  <si>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</si>
  <si>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</si>
  <si>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</si>
  <si>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</si>
  <si>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</si>
  <si>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</si>
  <si>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</si>
  <si>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</si>
  <si>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</si>
  <si>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</si>
  <si>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</si>
  <si>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</si>
  <si>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</si>
  <si>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</si>
  <si>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</si>
  <si>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</si>
  <si>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</si>
  <si>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</si>
  <si>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</si>
  <si>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</si>
  <si>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</si>
  <si>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</si>
  <si>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</si>
  <si>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</si>
  <si>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</si>
  <si>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</si>
  <si>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</si>
  <si>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</si>
  <si>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</si>
  <si>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</si>
  <si>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</si>
  <si>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</si>
  <si>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</si>
  <si>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</si>
  <si>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</si>
  <si>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</si>
  <si>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</si>
  <si>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</si>
  <si>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</si>
  <si>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</si>
  <si>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</si>
  <si>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</si>
  <si>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</si>
  <si>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</si>
  <si>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</si>
  <si>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</si>
  <si>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</si>
  <si>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</si>
  <si>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</si>
  <si>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</si>
  <si>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</si>
  <si>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</si>
  <si>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</si>
  <si>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</si>
  <si>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</si>
  <si>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</si>
  <si>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</si>
  <si>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</si>
  <si>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</si>
  <si>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</si>
  <si>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</si>
  <si>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</si>
  <si>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</si>
  <si>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</si>
  <si>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</si>
  <si>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</si>
  <si>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</si>
  <si>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</si>
  <si>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</si>
  <si>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</si>
  <si>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</si>
  <si>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</si>
  <si>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</si>
  <si>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</si>
  <si>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</si>
  <si>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</si>
  <si>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</si>
  <si>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</si>
  <si>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</si>
  <si>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</si>
  <si>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</si>
  <si>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</si>
  <si>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</si>
  <si>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</si>
  <si>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</si>
  <si>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</si>
  <si>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</si>
  <si>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</si>
  <si>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</si>
  <si>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</si>
  <si>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</si>
  <si>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</si>
  <si>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</si>
  <si>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</si>
  <si>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</si>
  <si>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</si>
  <si>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</si>
  <si>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</si>
  <si>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</si>
  <si>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</si>
  <si>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</si>
  <si>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</si>
  <si>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</si>
  <si>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</si>
  <si>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</si>
  <si>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</si>
  <si>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</si>
  <si>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</si>
  <si>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</si>
  <si>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</si>
  <si>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</si>
  <si>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</si>
  <si>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</si>
  <si>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</si>
  <si>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</si>
  <si>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</si>
  <si>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</si>
  <si>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</si>
  <si>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</si>
  <si>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</si>
  <si>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</si>
  <si>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</si>
  <si>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</si>
  <si>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</si>
  <si>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</si>
  <si>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</si>
  <si>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</si>
  <si>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</si>
  <si>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</si>
  <si>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</si>
  <si>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</si>
  <si>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</si>
  <si>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</si>
  <si>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</si>
  <si>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</si>
  <si>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</si>
  <si>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</si>
  <si>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</si>
  <si>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</si>
  <si>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</si>
  <si>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</si>
  <si>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</si>
  <si>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</si>
  <si>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</si>
  <si>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</si>
  <si>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</si>
  <si>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</si>
  <si>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</si>
  <si>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</si>
  <si>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</si>
  <si>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</si>
  <si>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</si>
  <si>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</si>
  <si>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</si>
  <si>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</si>
  <si>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</si>
  <si>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</si>
  <si>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</si>
  <si>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</si>
  <si>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</si>
  <si>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</si>
  <si>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</si>
  <si>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</si>
  <si>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</si>
  <si>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</si>
  <si>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</si>
  <si>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</si>
  <si>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</si>
  <si>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</si>
  <si>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</si>
  <si>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</si>
  <si>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</si>
  <si>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</si>
  <si>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</si>
  <si>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</si>
  <si>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</si>
  <si>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</si>
  <si>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</si>
  <si>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</si>
  <si>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</si>
  <si>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</si>
  <si>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</si>
  <si>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</si>
  <si>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</si>
  <si>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</si>
  <si>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</si>
  <si>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</si>
  <si>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</si>
  <si>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</si>
  <si>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</si>
  <si>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</si>
  <si>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</si>
  <si>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</si>
  <si>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</si>
  <si>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</si>
  <si>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</si>
  <si>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</si>
  <si>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</si>
  <si>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</si>
  <si>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</si>
  <si>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</si>
  <si>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</si>
  <si>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</si>
  <si>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</si>
  <si>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</si>
  <si>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</si>
  <si>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</si>
  <si>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</si>
  <si>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</si>
  <si>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</si>
  <si>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</si>
  <si>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</si>
  <si>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</si>
  <si>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</si>
  <si>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</si>
  <si>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</si>
  <si>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</si>
  <si>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</si>
  <si>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</si>
  <si>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</si>
  <si>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</si>
  <si>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</si>
  <si>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</si>
  <si>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</si>
  <si>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</si>
  <si>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</si>
  <si>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</si>
  <si>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</si>
  <si>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</si>
  <si>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</si>
  <si>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</si>
  <si>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</si>
  <si>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</si>
  <si>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</si>
  <si>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</si>
  <si>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</si>
  <si>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</si>
  <si>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</si>
  <si>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</si>
  <si>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</si>
  <si>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</si>
  <si>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</si>
  <si>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</si>
  <si>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</si>
  <si>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</si>
  <si>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</si>
  <si>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</si>
  <si>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</si>
  <si>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</si>
  <si>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</si>
  <si>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</si>
  <si>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</si>
  <si>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</si>
  <si>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</si>
  <si>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</si>
  <si>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</si>
  <si>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</si>
  <si>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</si>
  <si>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</si>
  <si>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</si>
  <si>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</si>
  <si>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</si>
  <si>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</si>
  <si>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</si>
  <si>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</si>
  <si>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</si>
  <si>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</si>
  <si>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</si>
  <si>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</si>
  <si>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</si>
  <si>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</si>
  <si>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</si>
  <si>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</si>
  <si>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</si>
  <si>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</si>
  <si>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</si>
  <si>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</si>
  <si>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</si>
  <si>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</si>
  <si>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</si>
  <si>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</si>
  <si>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</si>
  <si>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</si>
  <si>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</si>
  <si>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</si>
  <si>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</si>
  <si>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</si>
  <si>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</si>
  <si>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</si>
  <si>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</si>
  <si>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</si>
  <si>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</si>
  <si>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</si>
  <si>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</si>
  <si>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</si>
  <si>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</si>
  <si>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</si>
  <si>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</si>
  <si>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</si>
  <si>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</si>
  <si>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</si>
  <si>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</si>
  <si>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</si>
  <si>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</si>
  <si>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</si>
  <si>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</si>
  <si>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</si>
  <si>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</si>
  <si>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</si>
  <si>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</si>
  <si>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</si>
  <si>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</si>
  <si>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</si>
  <si>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</si>
  <si>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</si>
  <si>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</si>
  <si>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</si>
  <si>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</si>
  <si>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</si>
  <si>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</si>
  <si>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</si>
  <si>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</si>
  <si>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</si>
  <si>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</si>
  <si>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</si>
  <si>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</si>
  <si>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</si>
  <si>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</si>
  <si>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</si>
  <si>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</si>
  <si>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</si>
  <si>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</si>
  <si>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</si>
  <si>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</si>
  <si>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</si>
  <si>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</si>
  <si>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</si>
  <si>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</si>
  <si>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</si>
  <si>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</si>
  <si>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</si>
  <si>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</si>
  <si>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</si>
  <si>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</si>
  <si>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</si>
  <si>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</si>
  <si>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</si>
  <si>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</si>
  <si>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</si>
  <si>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</si>
  <si>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</si>
  <si>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</si>
  <si>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</si>
  <si>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</si>
  <si>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</si>
  <si>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</si>
  <si>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</si>
  <si>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</si>
  <si>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</si>
  <si>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</si>
  <si>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</si>
  <si>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</si>
  <si>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</si>
  <si>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</si>
  <si>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</si>
  <si>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</si>
  <si>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</si>
  <si>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</si>
  <si>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</si>
  <si>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</si>
  <si>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</si>
  <si>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</si>
  <si>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</si>
  <si>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</si>
  <si>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</si>
  <si>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</si>
  <si>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</si>
  <si>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</si>
  <si>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</si>
  <si>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</si>
  <si>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</si>
  <si>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</si>
  <si>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</si>
  <si>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</si>
  <si>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</si>
  <si>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</si>
  <si>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</si>
  <si>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</si>
  <si>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</si>
  <si>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</si>
  <si>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</si>
  <si>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</si>
  <si>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</si>
  <si>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</si>
  <si>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</si>
  <si>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</si>
  <si>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</si>
  <si>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</si>
  <si>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</si>
  <si>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</si>
  <si>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</si>
  <si>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</si>
  <si>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</si>
  <si>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</si>
  <si>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</si>
  <si>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</si>
  <si>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</si>
  <si>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</si>
  <si>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</si>
  <si>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</si>
  <si>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</si>
  <si>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</si>
  <si>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</si>
  <si>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</si>
  <si>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</si>
  <si>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</si>
  <si>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</si>
  <si>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</si>
  <si>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</si>
  <si>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</si>
  <si>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</si>
  <si>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</si>
  <si>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</si>
  <si>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</si>
  <si>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</si>
  <si>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</si>
  <si>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</si>
  <si>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</si>
  <si>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</si>
  <si>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</si>
  <si>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</si>
  <si>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</si>
  <si>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</si>
  <si>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</si>
  <si>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</si>
  <si>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</si>
  <si>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</si>
  <si>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</si>
  <si>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</si>
  <si>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</si>
  <si>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</si>
  <si>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</si>
  <si>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</si>
  <si>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</si>
  <si>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</si>
  <si>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</si>
  <si>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</si>
  <si>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</si>
  <si>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</si>
  <si>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</si>
  <si>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</si>
  <si>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</si>
  <si>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</si>
  <si>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</si>
  <si>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</si>
  <si>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</si>
  <si>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</si>
  <si>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</si>
  <si>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</si>
  <si>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</si>
  <si>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</si>
  <si>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</si>
  <si>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</si>
  <si>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</si>
  <si>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</si>
  <si>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</si>
  <si>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</si>
  <si>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</si>
  <si>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</si>
  <si>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</si>
  <si>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</si>
  <si>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</si>
  <si>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</si>
  <si>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</si>
  <si>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</si>
  <si>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</si>
  <si>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</si>
  <si>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</si>
  <si>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</si>
  <si>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</si>
  <si>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</si>
  <si>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</si>
  <si>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</si>
  <si>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</si>
  <si>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</si>
  <si>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</si>
  <si>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</si>
  <si>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</si>
  <si>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</si>
  <si>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</si>
  <si>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</si>
  <si>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</si>
  <si>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</si>
  <si>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</si>
  <si>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</si>
  <si>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</si>
  <si>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</si>
  <si>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</si>
  <si>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</si>
  <si>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</si>
  <si>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</si>
  <si>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</si>
  <si>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</si>
  <si>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</si>
  <si>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</si>
  <si>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</si>
  <si>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</si>
  <si>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</si>
  <si>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</si>
  <si>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</si>
  <si>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</si>
  <si>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</si>
  <si>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</si>
  <si>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</si>
  <si>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</si>
  <si>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</si>
  <si>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</si>
  <si>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</si>
  <si>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</si>
  <si>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</si>
  <si>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</si>
  <si>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</si>
  <si>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</si>
  <si>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</si>
  <si>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</si>
  <si>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</si>
  <si>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</si>
  <si>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</si>
  <si>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</si>
  <si>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</si>
  <si>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</si>
  <si>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</si>
  <si>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</si>
  <si>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</si>
  <si>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</si>
  <si>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</si>
  <si>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</si>
  <si>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</si>
  <si>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</si>
  <si>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</si>
  <si>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</si>
  <si>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</si>
  <si>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</si>
  <si>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</si>
  <si>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</si>
  <si>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</si>
  <si>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</si>
  <si>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</si>
  <si>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</si>
  <si>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</si>
  <si>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</si>
  <si>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</si>
  <si>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</si>
  <si>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</si>
  <si>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</si>
  <si>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</si>
  <si>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</si>
  <si>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</si>
  <si>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</si>
  <si>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</si>
  <si>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</si>
  <si>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</si>
  <si>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</si>
  <si>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</si>
  <si>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</si>
  <si>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</si>
  <si>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</si>
  <si>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</si>
  <si>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</si>
  <si>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</si>
  <si>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</si>
  <si>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</si>
  <si>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</si>
  <si>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</si>
  <si>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</si>
  <si>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</si>
  <si>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</si>
  <si>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</si>
  <si>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</si>
  <si>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</si>
  <si>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</si>
  <si>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</si>
  <si>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</si>
  <si>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</si>
  <si>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</si>
  <si>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</si>
  <si>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</si>
  <si>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</si>
  <si>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</si>
  <si>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</si>
  <si>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</si>
  <si>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</si>
  <si>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</si>
  <si>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</si>
  <si>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</si>
  <si>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</si>
  <si>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</si>
  <si>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</si>
  <si>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</si>
  <si>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</si>
  <si>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</si>
  <si>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</si>
  <si>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</si>
  <si>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</si>
  <si>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</si>
  <si>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</si>
  <si>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</si>
  <si>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</si>
  <si>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</si>
  <si>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</si>
  <si>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</si>
  <si>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</si>
  <si>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</si>
  <si>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</si>
  <si>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</si>
  <si>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</si>
  <si>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</si>
  <si>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</si>
  <si>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</si>
  <si>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</si>
  <si>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</si>
  <si>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</si>
  <si>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</si>
  <si>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</si>
  <si>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</si>
  <si>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</si>
  <si>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</si>
  <si>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</si>
  <si>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</si>
  <si>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</si>
  <si>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</si>
  <si>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</si>
  <si>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</si>
  <si>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</si>
  <si>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</si>
  <si>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</si>
  <si>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</si>
  <si>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</si>
  <si>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</si>
  <si>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</si>
  <si>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</si>
  <si>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</si>
  <si>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</si>
  <si>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</si>
  <si>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</si>
  <si>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</si>
  <si>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</si>
  <si>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</si>
  <si>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</si>
  <si>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</si>
  <si>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</si>
  <si>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</si>
  <si>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</si>
  <si>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</si>
  <si>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</si>
  <si>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</si>
  <si>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</si>
  <si>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</si>
  <si>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</si>
  <si>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</si>
  <si>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</si>
  <si>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</si>
  <si>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</si>
  <si>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</si>
  <si>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</si>
  <si>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</si>
  <si>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</si>
  <si>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</si>
  <si>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</si>
  <si>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</si>
  <si>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</si>
  <si>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</si>
  <si>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</si>
  <si>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</si>
  <si>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</si>
  <si>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</si>
  <si>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</si>
  <si>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</si>
  <si>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</si>
  <si>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</si>
  <si>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</si>
  <si>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</si>
  <si>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</si>
  <si>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</si>
  <si>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</si>
  <si>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</si>
  <si>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</si>
  <si>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</si>
  <si>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</si>
  <si>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</si>
  <si>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</si>
  <si>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</si>
  <si>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</si>
  <si>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</si>
  <si>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</si>
  <si>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</si>
  <si>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</si>
  <si>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</si>
  <si>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</si>
  <si>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</si>
  <si>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</si>
  <si>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</si>
  <si>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</si>
  <si>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</si>
  <si>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</si>
  <si>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</si>
  <si>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</si>
  <si>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</si>
  <si>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</si>
  <si>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</si>
  <si>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</si>
  <si>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</si>
  <si>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</si>
  <si>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</si>
  <si>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</si>
  <si>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</si>
  <si>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</si>
  <si>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</si>
  <si>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</si>
  <si>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</si>
  <si>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</si>
  <si>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</si>
  <si>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</si>
  <si>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</si>
  <si>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</si>
  <si>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</si>
  <si>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</si>
  <si>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</si>
  <si>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</si>
  <si>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</si>
  <si>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</si>
  <si>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</si>
  <si>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</si>
  <si>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</si>
  <si>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</si>
  <si>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</si>
  <si>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</si>
  <si>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</si>
  <si>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</si>
  <si>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</si>
  <si>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</si>
  <si>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</si>
  <si>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</si>
  <si>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</si>
  <si>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</si>
  <si>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</si>
  <si>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</si>
  <si>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</si>
  <si>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</si>
  <si>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</si>
  <si>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</si>
  <si>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</si>
  <si>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</si>
  <si>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</si>
  <si>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</si>
  <si>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</si>
  <si>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</si>
  <si>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</si>
  <si>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</si>
  <si>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</si>
  <si>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</si>
  <si>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</si>
  <si>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</si>
  <si>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</si>
  <si>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</si>
  <si>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</si>
  <si>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</si>
  <si>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</si>
  <si>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</si>
  <si>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</si>
  <si>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</si>
  <si>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</si>
  <si>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</si>
  <si>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</si>
  <si>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</si>
  <si>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</si>
  <si>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</si>
  <si>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</si>
  <si>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</si>
  <si>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</si>
  <si>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</si>
  <si>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</si>
  <si>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</si>
  <si>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</si>
  <si>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</si>
  <si>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</si>
  <si>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</si>
  <si>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</si>
  <si>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</si>
  <si>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</si>
  <si>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</si>
  <si>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</si>
  <si>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</si>
  <si>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</si>
  <si>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</si>
  <si>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</si>
  <si>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</si>
  <si>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</si>
  <si>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</si>
  <si>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</si>
  <si>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</si>
  <si>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</si>
  <si>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</si>
  <si>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</si>
  <si>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</si>
  <si>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</si>
  <si>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</si>
  <si>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</si>
  <si>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</si>
  <si>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</si>
  <si>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</si>
  <si>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</si>
  <si>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</si>
  <si>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</si>
  <si>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</si>
  <si>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</si>
  <si>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</si>
  <si>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</si>
  <si>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</si>
  <si>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</si>
  <si>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</si>
  <si>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</si>
  <si>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</si>
  <si>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</si>
  <si>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</si>
  <si>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</si>
  <si>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</si>
  <si>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</si>
  <si>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</si>
  <si>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</si>
  <si>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</si>
  <si>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</si>
  <si>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</si>
  <si>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</si>
  <si>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</si>
  <si>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</si>
  <si>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</si>
  <si>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</si>
  <si>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</si>
  <si>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</si>
  <si>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</si>
  <si>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</si>
  <si>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</si>
  <si>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</si>
  <si>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</si>
  <si>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</si>
  <si>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</si>
  <si>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</si>
  <si>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</si>
  <si>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</si>
  <si>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</si>
  <si>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</si>
  <si>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</si>
  <si>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</si>
  <si>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</si>
  <si>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</si>
  <si>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</si>
  <si>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</si>
  <si>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</si>
  <si>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</si>
  <si>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</si>
  <si>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</si>
  <si>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</si>
  <si>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</si>
  <si>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</si>
  <si>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</si>
  <si>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</si>
  <si>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</si>
  <si>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</si>
  <si>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</si>
  <si>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</si>
  <si>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</si>
  <si>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</si>
  <si>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</si>
  <si>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</si>
  <si>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</si>
  <si>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</si>
  <si>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</si>
  <si>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</si>
  <si>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</si>
  <si>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</si>
  <si>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</si>
  <si>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</si>
  <si>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</si>
  <si>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</si>
  <si>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</si>
  <si>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</si>
  <si>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</si>
  <si>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</si>
  <si>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</si>
  <si>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</si>
  <si>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</si>
  <si>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</si>
  <si>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</si>
  <si>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</si>
  <si>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</si>
  <si>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</si>
  <si>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</si>
  <si>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</si>
  <si>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</si>
  <si>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</si>
  <si>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</si>
  <si>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</si>
  <si>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</si>
  <si>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</si>
  <si>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</si>
  <si>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</si>
  <si>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</si>
  <si>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</si>
  <si>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</si>
  <si>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</si>
  <si>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</si>
  <si>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</si>
  <si>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</si>
  <si>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</si>
  <si>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</si>
  <si>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</si>
  <si>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</si>
  <si>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</si>
  <si>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</si>
  <si>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</si>
  <si>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</si>
  <si>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</si>
  <si>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</si>
  <si>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</si>
  <si>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</si>
  <si>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</si>
  <si>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</si>
  <si>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</si>
  <si>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</si>
  <si>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</si>
  <si>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</si>
  <si>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</si>
  <si>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</si>
  <si>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</si>
  <si>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</si>
  <si>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</si>
  <si>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</si>
  <si>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</si>
  <si>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</si>
  <si>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</si>
  <si>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</si>
  <si>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</si>
  <si>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</si>
  <si>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</si>
  <si>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</si>
  <si>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</si>
  <si>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</si>
  <si>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</si>
  <si>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</si>
  <si>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</si>
  <si>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</si>
  <si>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</si>
  <si>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</si>
  <si>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</si>
  <si>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</si>
  <si>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</si>
  <si>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</si>
  <si>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</si>
  <si>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</si>
  <si>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</si>
  <si>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</si>
  <si>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</si>
  <si>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</si>
  <si>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</si>
  <si>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</si>
  <si>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</si>
  <si>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</si>
  <si>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</si>
  <si>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</si>
  <si>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</si>
  <si>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</si>
  <si>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</si>
  <si>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</si>
  <si>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</si>
  <si>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</si>
  <si>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</si>
  <si>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</si>
  <si>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</si>
  <si>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</si>
  <si>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</si>
  <si>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</si>
  <si>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</si>
  <si>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</si>
  <si>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</si>
  <si>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</si>
  <si>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</si>
  <si>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</si>
  <si>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</si>
  <si>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</si>
  <si>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</si>
  <si>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</si>
  <si>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</si>
  <si>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</si>
  <si>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</si>
  <si>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</si>
  <si>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</si>
  <si>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</si>
  <si>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</si>
  <si>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</si>
  <si>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</si>
  <si>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</si>
  <si>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</si>
  <si>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</si>
  <si>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</si>
  <si>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</si>
  <si>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</si>
  <si>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</si>
  <si>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</si>
  <si>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</si>
  <si>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</si>
  <si>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</si>
  <si>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</si>
  <si>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</si>
  <si>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</si>
  <si>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</si>
  <si>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</si>
  <si>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</si>
  <si>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</si>
  <si>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</si>
  <si>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</si>
  <si>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</si>
  <si>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</si>
  <si>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</si>
  <si>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</si>
  <si>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</si>
  <si>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</si>
  <si>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</si>
  <si>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</si>
  <si>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</si>
  <si>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</si>
  <si>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</si>
  <si>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</si>
  <si>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</si>
  <si>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</si>
  <si>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</si>
  <si>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</si>
  <si>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</si>
  <si>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</si>
  <si>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</si>
  <si>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</si>
  <si>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</si>
  <si>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</si>
  <si>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</si>
  <si>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</si>
  <si>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</si>
  <si>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</si>
  <si>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</si>
  <si>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</si>
  <si>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</si>
  <si>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</si>
  <si>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</si>
  <si>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</si>
  <si>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</si>
  <si>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</si>
  <si>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</si>
  <si>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</si>
  <si>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</si>
  <si>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</si>
  <si>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</si>
  <si>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</si>
  <si>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</si>
  <si>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</si>
  <si>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</si>
  <si>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</si>
  <si>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</si>
  <si>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</si>
  <si>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</si>
  <si>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</si>
  <si>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</si>
  <si>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</si>
  <si>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</si>
  <si>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</si>
  <si>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</si>
  <si>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</si>
  <si>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</si>
  <si>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</si>
  <si>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</si>
  <si>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</si>
  <si>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</si>
  <si>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</si>
  <si>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</si>
  <si>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</si>
  <si>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</si>
  <si>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</si>
  <si>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</si>
  <si>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</si>
  <si>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</si>
  <si>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</si>
  <si>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</si>
  <si>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</si>
  <si>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</si>
  <si>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</si>
  <si>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</si>
  <si>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</si>
  <si>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</si>
  <si>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</si>
  <si>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</si>
  <si>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</si>
  <si>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</si>
  <si>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</si>
  <si>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</si>
  <si>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</si>
  <si>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</si>
  <si>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</si>
  <si>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</si>
  <si>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</si>
  <si>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</si>
  <si>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</si>
  <si>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</si>
  <si>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</si>
  <si>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</si>
  <si>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</si>
  <si>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</si>
  <si>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</si>
  <si>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</si>
  <si>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</si>
  <si>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</si>
  <si>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</si>
  <si>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</si>
  <si>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</si>
  <si>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</si>
  <si>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</si>
  <si>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</si>
  <si>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</si>
  <si>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</si>
  <si>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</si>
  <si>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</si>
  <si>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</si>
  <si>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</si>
  <si>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</si>
  <si>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</si>
  <si>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</si>
  <si>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</si>
  <si>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</si>
  <si>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</si>
  <si>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</si>
  <si>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</si>
  <si>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</si>
  <si>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</si>
  <si>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</si>
  <si>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</si>
  <si>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</si>
  <si>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</si>
  <si>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</si>
  <si>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</si>
  <si>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</si>
  <si>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</si>
  <si>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</si>
  <si>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</si>
  <si>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</si>
  <si>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</si>
  <si>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</si>
  <si>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</si>
  <si>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</si>
  <si>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</si>
  <si>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</si>
  <si>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</si>
  <si>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</si>
  <si>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</si>
  <si>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</si>
  <si>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</si>
  <si>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</si>
  <si>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</si>
  <si>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</si>
  <si>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</si>
  <si>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</si>
  <si>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</si>
  <si>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</si>
  <si>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</si>
  <si>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</si>
  <si>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</si>
  <si>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</si>
  <si>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</si>
  <si>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</si>
  <si>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</si>
  <si>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</si>
  <si>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</si>
  <si>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</si>
  <si>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</si>
  <si>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</si>
  <si>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</si>
  <si>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</si>
  <si>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</si>
  <si>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</si>
  <si>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</si>
  <si>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</si>
  <si>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</si>
  <si>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</si>
  <si>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</si>
  <si>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</si>
  <si>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</si>
  <si>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</si>
  <si>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</si>
  <si>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</si>
  <si>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</si>
  <si>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</si>
  <si>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</si>
  <si>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</si>
  <si>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</si>
  <si>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</si>
  <si>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</si>
  <si>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</si>
  <si>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</si>
  <si>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</si>
  <si>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</si>
  <si>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</si>
  <si>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</si>
  <si>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</si>
  <si>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</si>
  <si>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</si>
  <si>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</si>
  <si>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</si>
  <si>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</si>
  <si>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</si>
  <si>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</si>
  <si>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</si>
  <si>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</si>
  <si>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</si>
  <si>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</si>
  <si>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</si>
  <si>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</si>
  <si>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</si>
  <si>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</si>
  <si>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</si>
  <si>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</si>
  <si>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</si>
  <si>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</si>
  <si>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</si>
  <si>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</si>
  <si>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</si>
  <si>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</si>
  <si>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</si>
  <si>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</si>
  <si>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</si>
  <si>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</si>
  <si>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</si>
  <si>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</si>
  <si>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</si>
  <si>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</si>
  <si>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</si>
  <si>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</si>
  <si>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</si>
  <si>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</si>
  <si>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</si>
  <si>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</si>
  <si>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</si>
  <si>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</si>
  <si>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</si>
  <si>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</si>
  <si>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</si>
  <si>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</si>
  <si>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</si>
  <si>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</si>
  <si>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</si>
  <si>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</si>
  <si>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</si>
  <si>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</si>
  <si>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</si>
  <si>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</si>
  <si>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</si>
  <si>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</si>
  <si>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</si>
  <si>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</si>
  <si>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</si>
  <si>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</si>
  <si>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</si>
  <si>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</si>
  <si>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</si>
  <si>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</si>
  <si>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</si>
  <si>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</si>
  <si>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</si>
  <si>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</si>
  <si>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</si>
  <si>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</si>
  <si>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</si>
  <si>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</si>
  <si>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</si>
  <si>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</si>
  <si>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</si>
  <si>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</si>
  <si>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</si>
  <si>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</si>
  <si>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</si>
  <si>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</si>
  <si>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</si>
  <si>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</si>
  <si>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</si>
  <si>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</si>
  <si>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</si>
  <si>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</si>
  <si>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</si>
  <si>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</si>
  <si>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</si>
  <si>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</si>
  <si>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</si>
  <si>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</si>
  <si>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</si>
  <si>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</si>
  <si>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</si>
  <si>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</si>
  <si>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</si>
  <si>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</si>
  <si>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</si>
  <si>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</si>
  <si>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</si>
  <si>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</si>
  <si>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</si>
  <si>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</si>
  <si>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</si>
  <si>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</si>
  <si>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</si>
  <si>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</si>
  <si>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</si>
  <si>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</si>
  <si>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</si>
  <si>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</si>
  <si>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</si>
  <si>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</si>
  <si>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</si>
  <si>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</si>
  <si>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</si>
  <si>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</si>
  <si>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</si>
  <si>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</si>
  <si>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</si>
  <si>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</si>
  <si>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</si>
  <si>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</si>
  <si>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</si>
  <si>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</si>
  <si>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</si>
  <si>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</si>
  <si>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</si>
  <si>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</si>
  <si>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</si>
  <si>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</si>
  <si>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</si>
  <si>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</si>
  <si>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</si>
  <si>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</si>
  <si>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</si>
  <si>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</si>
  <si>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</si>
  <si>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</si>
  <si>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</si>
  <si>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</si>
  <si>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</si>
  <si>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</si>
  <si>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</si>
  <si>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</si>
  <si>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</si>
  <si>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</si>
  <si>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</si>
  <si>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</si>
  <si>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</si>
  <si>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</si>
  <si>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</si>
  <si>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</si>
  <si>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</si>
  <si>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</si>
  <si>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</si>
  <si>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</si>
  <si>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</si>
  <si>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</si>
  <si>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</si>
  <si>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</si>
  <si>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</si>
  <si>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</si>
  <si>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</si>
  <si>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</si>
  <si>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</si>
  <si>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</si>
  <si>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</si>
  <si>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</si>
  <si>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</si>
  <si>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</si>
  <si>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</si>
  <si>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</si>
  <si>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</si>
  <si>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</si>
  <si>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</si>
  <si>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</si>
  <si>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</si>
  <si>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</si>
  <si>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</si>
  <si>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</si>
  <si>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</si>
  <si>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</si>
  <si>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</si>
  <si>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</si>
  <si>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</si>
  <si>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</si>
  <si>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</si>
  <si>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</si>
  <si>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</si>
  <si>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</si>
  <si>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</si>
  <si>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</si>
  <si>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</si>
  <si>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</si>
  <si>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</si>
  <si>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</si>
  <si>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</si>
  <si>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</si>
  <si>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</si>
  <si>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</si>
  <si>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</si>
  <si>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</si>
  <si>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</si>
  <si>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</si>
  <si>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</si>
  <si>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</si>
  <si>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</si>
  <si>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</si>
  <si>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</si>
  <si>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</si>
  <si>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</si>
  <si>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</si>
  <si>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</si>
  <si>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</si>
  <si>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</si>
  <si>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</si>
  <si>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</si>
  <si>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</si>
  <si>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</si>
  <si>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</si>
  <si>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</si>
  <si>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</si>
  <si>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</si>
  <si>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</si>
  <si>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</si>
  <si>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</si>
  <si>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</si>
  <si>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</si>
  <si>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</si>
  <si>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</si>
  <si>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</si>
  <si>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</si>
  <si>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</si>
  <si>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</si>
  <si>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</si>
  <si>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</si>
  <si>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</si>
  <si>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</si>
  <si>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</si>
  <si>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</si>
  <si>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</si>
  <si>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</si>
  <si>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</si>
  <si>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</si>
  <si>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</si>
  <si>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</si>
  <si>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</si>
  <si>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</si>
  <si>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</si>
  <si>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</si>
  <si>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</si>
  <si>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</si>
  <si>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</si>
  <si>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</si>
  <si>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</si>
  <si>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</si>
  <si>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</si>
  <si>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</si>
  <si>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</si>
  <si>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</si>
  <si>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</si>
  <si>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</si>
  <si>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</si>
  <si>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</si>
  <si>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</si>
  <si>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</si>
  <si>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</si>
  <si>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</si>
  <si>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</si>
  <si>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</si>
  <si>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</si>
  <si>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</si>
  <si>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</si>
  <si>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</si>
  <si>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</si>
  <si>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</si>
  <si>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</si>
  <si>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</si>
  <si>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</si>
  <si>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</si>
  <si>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</si>
  <si>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</si>
  <si>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</si>
  <si>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</si>
  <si>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</si>
  <si>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</si>
  <si>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</si>
  <si>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</si>
  <si>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</si>
  <si>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</si>
  <si>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</si>
  <si>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</si>
  <si>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</si>
  <si>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</si>
  <si>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</si>
  <si>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</si>
  <si>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</si>
  <si>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</si>
  <si>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</si>
  <si>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</si>
  <si>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</si>
  <si>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</si>
  <si>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</si>
  <si>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</si>
  <si>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</si>
  <si>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</si>
  <si>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</si>
  <si>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</si>
  <si>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</si>
  <si>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</si>
  <si>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</si>
  <si>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叶凌</t>
  </si>
  <si>
    <t>陈颖</t>
  </si>
  <si>
    <t>昆明嘉丽泽投资有限公司</t>
  </si>
  <si>
    <t>中信信托</t>
    <phoneticPr fontId="6" type="noConversion"/>
  </si>
  <si>
    <t>核定资产</t>
  </si>
  <si>
    <t>房地产市场价值</t>
  </si>
  <si>
    <t>其他：</t>
  </si>
  <si>
    <t>企业</t>
  </si>
  <si>
    <t>出让</t>
  </si>
  <si>
    <t>是</t>
  </si>
  <si>
    <t>地上</t>
  </si>
  <si>
    <t>商业</t>
    <phoneticPr fontId="7" type="noConversion"/>
  </si>
  <si>
    <t>成新度</t>
  </si>
  <si>
    <t>收益法</t>
  </si>
  <si>
    <t>押一</t>
  </si>
  <si>
    <t>租金</t>
  </si>
  <si>
    <t>租金</t>
    <phoneticPr fontId="143" type="noConversion"/>
  </si>
  <si>
    <t>年限</t>
    <phoneticPr fontId="143" type="noConversion"/>
  </si>
  <si>
    <r>
      <t>2</t>
    </r>
    <r>
      <rPr>
        <sz val="11"/>
        <color theme="1"/>
        <rFont val="宋体"/>
        <family val="3"/>
        <charset val="134"/>
        <scheme val="minor"/>
      </rPr>
      <t>019-1-1~2019-12-30</t>
    </r>
    <phoneticPr fontId="143" type="noConversion"/>
  </si>
  <si>
    <t>年租金（万元）</t>
    <phoneticPr fontId="143" type="noConversion"/>
  </si>
  <si>
    <t>2020-1-1~2020-12-30</t>
    <phoneticPr fontId="143" type="noConversion"/>
  </si>
  <si>
    <t>2021-1-1~2021-12-30</t>
    <phoneticPr fontId="143" type="noConversion"/>
  </si>
  <si>
    <t>2022-1-1~2022-12-30</t>
    <phoneticPr fontId="143" type="noConversion"/>
  </si>
  <si>
    <t>2023-1-1~2023-12-30</t>
    <phoneticPr fontId="143" type="noConversion"/>
  </si>
  <si>
    <t>2024-1-1~2024-12-30</t>
    <phoneticPr fontId="143" type="noConversion"/>
  </si>
  <si>
    <t>2025-1-1~2025-12-30</t>
    <phoneticPr fontId="143" type="noConversion"/>
  </si>
  <si>
    <t>2026-1-1~2026-12-30</t>
    <phoneticPr fontId="143" type="noConversion"/>
  </si>
  <si>
    <t>2027-1-1~2027-12-30</t>
    <phoneticPr fontId="143" type="noConversion"/>
  </si>
  <si>
    <t>2028-1-1~2028-12-30</t>
    <phoneticPr fontId="143" type="noConversion"/>
  </si>
  <si>
    <t>2029-1-1~2029-12-30</t>
    <phoneticPr fontId="143" type="noConversion"/>
  </si>
  <si>
    <t>2030-1-1~2030-12-30</t>
    <phoneticPr fontId="143" type="noConversion"/>
  </si>
  <si>
    <t>剩余租赁期</t>
    <phoneticPr fontId="143" type="noConversion"/>
  </si>
  <si>
    <t>价值时点</t>
    <phoneticPr fontId="143" type="noConversion"/>
  </si>
  <si>
    <t>估价时点</t>
  </si>
  <si>
    <t>租期</t>
  </si>
  <si>
    <t>剩余租期</t>
  </si>
  <si>
    <t>年</t>
  </si>
  <si>
    <t>租期外剩余收益年期</t>
  </si>
  <si>
    <t>收益年期</t>
  </si>
  <si>
    <t>时段</t>
  </si>
  <si>
    <t>第1租赁期（至2018.1.1）</t>
  </si>
  <si>
    <t>第4年（至2019.1.1）</t>
  </si>
  <si>
    <t>第5年（至2020.1.1）</t>
  </si>
  <si>
    <t>第6年（至2021.1.1）</t>
  </si>
  <si>
    <t>第7年（至2022.1.1）</t>
  </si>
  <si>
    <t>第8年（至2023.1.1）</t>
  </si>
  <si>
    <t>第9年（至2024.1.1）</t>
  </si>
  <si>
    <t>第10年（至2025.1.1）</t>
  </si>
  <si>
    <t>第11年（至2026.1.1）</t>
  </si>
  <si>
    <t>第12年（至2027.1.1）</t>
  </si>
  <si>
    <t>序号</t>
  </si>
  <si>
    <t>项目</t>
  </si>
  <si>
    <t>长租后</t>
  </si>
  <si>
    <t>费率</t>
  </si>
  <si>
    <t>公式</t>
  </si>
  <si>
    <t>1-1</t>
  </si>
  <si>
    <t>出租面积</t>
  </si>
  <si>
    <t>1-2</t>
  </si>
  <si>
    <t>日租金</t>
  </si>
  <si>
    <t>1-3</t>
  </si>
  <si>
    <t>空置率</t>
  </si>
  <si>
    <t>年租金小计</t>
  </si>
  <si>
    <t>租金×月数×（1-空置率）</t>
  </si>
  <si>
    <t>2-1-1</t>
  </si>
  <si>
    <t>两税两费</t>
  </si>
  <si>
    <t>年总收益×费率/（1+5%）</t>
  </si>
  <si>
    <t>2-1-2</t>
  </si>
  <si>
    <t>房产税</t>
  </si>
  <si>
    <t>房产原值×（1-30%）×费率</t>
  </si>
  <si>
    <t>房屋原值</t>
  </si>
  <si>
    <t>2-1-3</t>
  </si>
  <si>
    <t>土地使用税</t>
  </si>
  <si>
    <t>土地面积×取费标准</t>
  </si>
  <si>
    <t>土地面积</t>
  </si>
  <si>
    <t>2-1</t>
  </si>
  <si>
    <t>税费小计</t>
  </si>
  <si>
    <t>以上3项合计or综合税率</t>
  </si>
  <si>
    <t>2-2</t>
  </si>
  <si>
    <t>维修费</t>
  </si>
  <si>
    <t>建筑物重置价值×维修费率</t>
  </si>
  <si>
    <t>房屋重置成本</t>
  </si>
  <si>
    <t>2-3</t>
  </si>
  <si>
    <t>保险费</t>
  </si>
  <si>
    <t>现值×保险费率</t>
  </si>
  <si>
    <t>2-4</t>
  </si>
  <si>
    <t>管理费用</t>
  </si>
  <si>
    <t>年总收益×费率</t>
  </si>
  <si>
    <t>年经营成本费用小计</t>
  </si>
  <si>
    <t>以上4项合计</t>
  </si>
  <si>
    <t>3</t>
  </si>
  <si>
    <t>房地产年纯收益</t>
  </si>
  <si>
    <t>4</t>
  </si>
  <si>
    <t>还原利率（Y）</t>
  </si>
  <si>
    <t>房地产未来第一年净收益×[1-（(1+g)/(1+Y)） ^n ]/(Y-g)</t>
  </si>
  <si>
    <t>5</t>
  </si>
  <si>
    <t>增长率（g）</t>
  </si>
  <si>
    <t>6</t>
  </si>
  <si>
    <t>收益年限（n）</t>
  </si>
  <si>
    <t>7</t>
  </si>
  <si>
    <t>房地产价值</t>
  </si>
  <si>
    <t>8</t>
  </si>
  <si>
    <t>折现值</t>
  </si>
  <si>
    <t>9</t>
  </si>
  <si>
    <t>总价</t>
  </si>
  <si>
    <t>10</t>
  </si>
  <si>
    <t>楼面单价</t>
  </si>
  <si>
    <t>建筑物现值</t>
  </si>
  <si>
    <t>房屋重置价格×成新度</t>
  </si>
  <si>
    <t>成新度（%）</t>
  </si>
  <si>
    <t>建成年代</t>
  </si>
  <si>
    <t>建安费用</t>
  </si>
  <si>
    <t>建安单价×建筑面积</t>
  </si>
  <si>
    <t>建安单价（元/㎡）</t>
  </si>
  <si>
    <t>耐用年限</t>
  </si>
  <si>
    <t>勘察设计和前期工程费</t>
  </si>
  <si>
    <t>建安费用×费率</t>
  </si>
  <si>
    <t>费率（%）</t>
  </si>
  <si>
    <t>直线折旧</t>
  </si>
  <si>
    <t>观察成新度</t>
  </si>
  <si>
    <t>综合成新</t>
  </si>
  <si>
    <t>现值</t>
  </si>
  <si>
    <t>公共配套设施费用</t>
  </si>
  <si>
    <t>2016</t>
  </si>
  <si>
    <t>2-1-4</t>
  </si>
  <si>
    <t>基础设施建设费</t>
  </si>
  <si>
    <t>建筑面积×取费标准</t>
  </si>
  <si>
    <t>市政费用（元/㎡）</t>
  </si>
  <si>
    <t>2017</t>
  </si>
  <si>
    <t>2-1-5</t>
  </si>
  <si>
    <t>相关税费</t>
  </si>
  <si>
    <t>2018</t>
  </si>
  <si>
    <t>建造成本</t>
  </si>
  <si>
    <t>建安费用+公共配套设施费用+基础设施建设费+相关税费</t>
  </si>
  <si>
    <t>2019</t>
  </si>
  <si>
    <t>建造成本×费率</t>
  </si>
  <si>
    <t>2020</t>
  </si>
  <si>
    <t>销售费用</t>
  </si>
  <si>
    <t>建筑物重置价值×费率</t>
  </si>
  <si>
    <t>销售费率（%）</t>
  </si>
  <si>
    <t>2021</t>
  </si>
  <si>
    <t>贷款利息</t>
  </si>
  <si>
    <t>（建造成本+管理费用+销售费用）×利率×（建设周期÷2）</t>
  </si>
  <si>
    <t>2022</t>
  </si>
  <si>
    <t>2-4-1</t>
  </si>
  <si>
    <t>2-1及2-2项产生的利息</t>
  </si>
  <si>
    <t>（建造成本+管理费用）×利率×（建设周期÷2）</t>
  </si>
  <si>
    <t>建设周期（年）</t>
  </si>
  <si>
    <t>2023</t>
  </si>
  <si>
    <t>2-4-2</t>
  </si>
  <si>
    <t>销售费用产生的利息</t>
  </si>
  <si>
    <t>销售费用×利率×（建设周期÷2）</t>
  </si>
  <si>
    <t>利息（%）</t>
  </si>
  <si>
    <t>2024</t>
  </si>
  <si>
    <t>2-5</t>
  </si>
  <si>
    <t>利润</t>
  </si>
  <si>
    <t>（建造成本+管理费用+销售费用）×利润率</t>
  </si>
  <si>
    <t>2025</t>
  </si>
  <si>
    <t>2-5-1</t>
  </si>
  <si>
    <t>2-1、2-2项产生的利润</t>
  </si>
  <si>
    <t>（建造成本+管理费用）×利润率</t>
  </si>
  <si>
    <t>利润率（%）</t>
  </si>
  <si>
    <t>2026</t>
  </si>
  <si>
    <t>2-5-2</t>
  </si>
  <si>
    <t>销售费用产生的利润</t>
  </si>
  <si>
    <t>销售费用×利润率</t>
  </si>
  <si>
    <t>2027</t>
  </si>
  <si>
    <t>2-6</t>
  </si>
  <si>
    <t>销售税费</t>
  </si>
  <si>
    <t>建筑物重置价值×费率/（1+5%）</t>
  </si>
  <si>
    <t>2028</t>
  </si>
  <si>
    <t>2-7</t>
  </si>
  <si>
    <t>建筑物重置价值</t>
  </si>
  <si>
    <t>①完好房：十、九、八成新；</t>
  </si>
  <si>
    <t>②基本完好房；七、六成新</t>
  </si>
  <si>
    <t>③一般损坏房：五、四成新；</t>
  </si>
  <si>
    <t>请注意成新率的取值！！</t>
  </si>
  <si>
    <t>④严重损坏房及危险房：三成新以下。</t>
  </si>
  <si>
    <t>建筑面积</t>
    <phoneticPr fontId="143" type="noConversion"/>
  </si>
  <si>
    <t>剩余租赁期年租金</t>
    <phoneticPr fontId="143" type="noConversion"/>
  </si>
  <si>
    <t>平均日租金</t>
    <phoneticPr fontId="143" type="noConversion"/>
  </si>
  <si>
    <t>平均日租金</t>
    <phoneticPr fontId="143" type="noConversion"/>
  </si>
  <si>
    <t>剩余租赁天数</t>
    <phoneticPr fontId="143" type="noConversion"/>
  </si>
  <si>
    <t>砖混</t>
  </si>
  <si>
    <t>非生产用房</t>
  </si>
  <si>
    <t>否</t>
  </si>
  <si>
    <t>现房</t>
  </si>
  <si>
    <t>项目全部</t>
  </si>
  <si>
    <t>未包含在土地购买价格中</t>
  </si>
  <si>
    <t>全部缴纳</t>
  </si>
  <si>
    <t>售价</t>
  </si>
  <si>
    <t>需扣减承租人权益</t>
  </si>
  <si>
    <t>比较法-商业</t>
  </si>
  <si>
    <t>加州枫景</t>
    <phoneticPr fontId="3" type="noConversion"/>
  </si>
  <si>
    <t>滇池度假区商铺</t>
    <phoneticPr fontId="3" type="noConversion"/>
  </si>
  <si>
    <t>挂牌</t>
  </si>
  <si>
    <t>挂牌</t>
    <phoneticPr fontId="31" type="noConversion"/>
  </si>
  <si>
    <t>商业</t>
    <phoneticPr fontId="31" type="noConversion"/>
  </si>
  <si>
    <t>20-30（含）</t>
  </si>
  <si>
    <t>较好</t>
  </si>
  <si>
    <t>一般</t>
  </si>
  <si>
    <t>五通</t>
  </si>
  <si>
    <t>较差</t>
  </si>
  <si>
    <t>好</t>
    <phoneticPr fontId="31" type="noConversion"/>
  </si>
  <si>
    <t>较好</t>
    <phoneticPr fontId="31" type="noConversion"/>
  </si>
  <si>
    <t>一般</t>
    <phoneticPr fontId="31" type="noConversion"/>
  </si>
  <si>
    <t>较差</t>
    <phoneticPr fontId="31" type="noConversion"/>
  </si>
  <si>
    <t>差</t>
    <phoneticPr fontId="31" type="noConversion"/>
  </si>
  <si>
    <t>独立商业</t>
  </si>
  <si>
    <t>独立商业</t>
    <phoneticPr fontId="31" type="noConversion"/>
  </si>
  <si>
    <t>商业街商铺</t>
  </si>
  <si>
    <t>商业街商铺</t>
    <phoneticPr fontId="31" type="noConversion"/>
  </si>
  <si>
    <t>住宅底商</t>
  </si>
  <si>
    <t>住宅底商</t>
    <phoneticPr fontId="31" type="noConversion"/>
  </si>
  <si>
    <t>混合</t>
  </si>
  <si>
    <t>混合</t>
    <phoneticPr fontId="31" type="noConversion"/>
  </si>
  <si>
    <t>五通</t>
    <phoneticPr fontId="31" type="noConversion"/>
  </si>
  <si>
    <r>
      <t>1</t>
    </r>
    <r>
      <rPr>
        <sz val="11"/>
        <color indexed="8"/>
        <rFont val="宋体"/>
        <family val="3"/>
        <charset val="134"/>
      </rPr>
      <t>层</t>
    </r>
    <phoneticPr fontId="31" type="noConversion"/>
  </si>
  <si>
    <t>1层</t>
  </si>
  <si>
    <t>俊发九夏云水商铺</t>
    <phoneticPr fontId="3" type="noConversion"/>
  </si>
  <si>
    <t>差</t>
  </si>
  <si>
    <t>草海融创文旅</t>
    <phoneticPr fontId="3" type="noConversion"/>
  </si>
  <si>
    <t>日租金</t>
    <phoneticPr fontId="143" type="noConversion"/>
  </si>
  <si>
    <t>增长率</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</si>
</sst>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5"/>
      <color theme="1"/>
      <name val="Courier New"/>
      <family val="3"/>
    </font>
    <font>
      <sz val="8"/>
      <color theme="1"/>
      <name val="宋体"/>
      <family val="3"/>
      <charset val="134"/>
      <scheme val="minor"/>
    </font>
    <font>
      <sz val="10"/>
      <color theme="1"/>
      <name val="楷体_GB2312"/>
      <family val="3"/>
      <charset val="134"/>
    </font>
    <font>
      <b/>
      <sz val="10"/>
      <color theme="1"/>
      <name val="楷体_GB2312"/>
      <family val="3"/>
      <charset val="134"/>
    </font>
    <font>
      <b/>
      <sz val="11"/>
      <color theme="1"/>
      <name val="楷体_GB2312"/>
      <family val="3"/>
      <charset val="134"/>
    </font>
    <font>
      <sz val="10"/>
      <color rgb="FF000000"/>
      <name val="Simsun"/>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xf numFmtId="0" fontId="37" fillId="0" borderId="0"/>
    <xf numFmtId="9" fontId="137"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54" fillId="0" borderId="0" xfId="0" applyFont="1">
      <alignment vertical="center"/>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4" fontId="0" fillId="0" borderId="0" xfId="0" applyNumberFormat="1" applyAlignment="1">
      <alignment horizontal="center" vertical="center"/>
    </xf>
    <xf numFmtId="0" fontId="99" fillId="6" borderId="1" xfId="10" applyFill="1" applyBorder="1" applyAlignment="1">
      <alignment vertical="center"/>
    </xf>
    <xf numFmtId="0" fontId="99" fillId="6" borderId="3" xfId="10" applyFill="1" applyBorder="1" applyAlignment="1">
      <alignment vertical="center"/>
    </xf>
    <xf numFmtId="0" fontId="99" fillId="0" borderId="0" xfId="10" applyAlignment="1">
      <alignment vertical="center"/>
    </xf>
    <xf numFmtId="0" fontId="99" fillId="0" borderId="1" xfId="10" applyBorder="1" applyAlignment="1">
      <alignment vertical="center"/>
    </xf>
    <xf numFmtId="0" fontId="99" fillId="0" borderId="0" xfId="10" applyAlignment="1">
      <alignment vertical="center" wrapText="1"/>
    </xf>
    <xf numFmtId="0" fontId="113" fillId="0" borderId="1" xfId="10" applyFont="1" applyBorder="1" applyAlignment="1">
      <alignment vertical="center"/>
    </xf>
    <xf numFmtId="179" fontId="255" fillId="6" borderId="1" xfId="10" applyNumberFormat="1" applyFont="1" applyFill="1" applyBorder="1" applyAlignment="1">
      <alignment vertical="center"/>
    </xf>
    <xf numFmtId="0" fontId="113" fillId="6" borderId="1" xfId="10" applyFont="1" applyFill="1" applyBorder="1" applyAlignment="1">
      <alignment vertical="center"/>
    </xf>
    <xf numFmtId="0" fontId="113" fillId="0" borderId="0" xfId="10" applyFont="1" applyAlignment="1">
      <alignment vertical="center"/>
    </xf>
    <xf numFmtId="49" fontId="99" fillId="0" borderId="0" xfId="10" applyNumberFormat="1" applyAlignment="1">
      <alignment vertical="center"/>
    </xf>
    <xf numFmtId="0" fontId="19" fillId="6" borderId="1" xfId="17" applyFont="1" applyFill="1" applyBorder="1" applyAlignment="1">
      <alignment horizontal="center" vertical="center" wrapText="1"/>
    </xf>
    <xf numFmtId="0" fontId="19" fillId="0" borderId="1" xfId="17" applyFont="1" applyFill="1" applyBorder="1" applyAlignment="1">
      <alignment horizontal="center" vertical="center" wrapText="1"/>
    </xf>
    <xf numFmtId="0" fontId="113" fillId="0" borderId="1" xfId="17" applyFont="1" applyBorder="1" applyAlignment="1">
      <alignment horizontal="center"/>
    </xf>
    <xf numFmtId="0" fontId="19" fillId="6" borderId="1" xfId="17" applyNumberFormat="1" applyFont="1" applyFill="1" applyBorder="1" applyAlignment="1">
      <alignment horizontal="center" vertical="center" wrapText="1"/>
    </xf>
    <xf numFmtId="0" fontId="99" fillId="0" borderId="1" xfId="17" applyBorder="1"/>
    <xf numFmtId="49" fontId="113" fillId="0" borderId="1" xfId="10" applyNumberFormat="1" applyFont="1" applyBorder="1" applyAlignment="1">
      <alignment horizontal="center" vertical="center"/>
    </xf>
    <xf numFmtId="176" fontId="19" fillId="6" borderId="1" xfId="17" applyNumberFormat="1" applyFont="1" applyFill="1" applyBorder="1" applyAlignment="1">
      <alignment horizontal="center" vertical="center" wrapText="1"/>
    </xf>
    <xf numFmtId="176" fontId="19" fillId="0" borderId="1" xfId="17" applyNumberFormat="1" applyFont="1" applyFill="1" applyBorder="1" applyAlignment="1">
      <alignment horizontal="center" vertical="center" wrapText="1"/>
    </xf>
    <xf numFmtId="0" fontId="84" fillId="0" borderId="1" xfId="17" applyFont="1" applyFill="1" applyBorder="1" applyAlignment="1">
      <alignment horizontal="center" vertical="center" wrapText="1"/>
    </xf>
    <xf numFmtId="178" fontId="84" fillId="0" borderId="1" xfId="17" applyNumberFormat="1" applyFont="1" applyFill="1" applyBorder="1" applyAlignment="1">
      <alignment horizontal="center" vertical="center" wrapText="1"/>
    </xf>
    <xf numFmtId="178" fontId="84" fillId="6" borderId="1" xfId="17" applyNumberFormat="1" applyFont="1" applyFill="1" applyBorder="1" applyAlignment="1">
      <alignment horizontal="center" vertical="center" wrapText="1"/>
    </xf>
    <xf numFmtId="9" fontId="84" fillId="6" borderId="1" xfId="17" applyNumberFormat="1" applyFont="1" applyFill="1" applyBorder="1" applyAlignment="1">
      <alignment horizontal="center" vertical="center" wrapText="1"/>
    </xf>
    <xf numFmtId="186" fontId="84" fillId="0" borderId="1" xfId="17" applyNumberFormat="1" applyFont="1" applyFill="1" applyBorder="1" applyAlignment="1">
      <alignment horizontal="center" vertical="center" wrapText="1"/>
    </xf>
    <xf numFmtId="0" fontId="11" fillId="0" borderId="1" xfId="17" applyFont="1" applyBorder="1" applyAlignment="1">
      <alignment horizontal="center"/>
    </xf>
    <xf numFmtId="0" fontId="19" fillId="0" borderId="1" xfId="18" applyFont="1" applyFill="1" applyBorder="1" applyAlignment="1">
      <alignment horizontal="center"/>
    </xf>
    <xf numFmtId="1" fontId="19" fillId="0" borderId="1" xfId="17" applyNumberFormat="1" applyFont="1" applyFill="1" applyBorder="1" applyAlignment="1">
      <alignment horizontal="center" vertical="center" wrapText="1"/>
    </xf>
    <xf numFmtId="10" fontId="19" fillId="6" borderId="1" xfId="10" applyNumberFormat="1" applyFont="1" applyFill="1" applyBorder="1" applyAlignment="1">
      <alignment horizontal="center" vertical="center" wrapText="1"/>
    </xf>
    <xf numFmtId="0" fontId="11" fillId="0" borderId="1" xfId="10" applyFont="1" applyFill="1" applyBorder="1" applyAlignment="1">
      <alignment horizontal="center" vertical="center" wrapText="1"/>
    </xf>
    <xf numFmtId="0" fontId="80" fillId="0" borderId="0" xfId="17" applyFont="1" applyAlignment="1">
      <alignment horizontal="center"/>
    </xf>
    <xf numFmtId="186" fontId="19" fillId="0" borderId="1" xfId="17" applyNumberFormat="1" applyFont="1" applyFill="1" applyBorder="1" applyAlignment="1">
      <alignment horizontal="center" vertical="center" wrapText="1"/>
    </xf>
    <xf numFmtId="0" fontId="80" fillId="0" borderId="1" xfId="17" applyFont="1" applyBorder="1" applyAlignment="1">
      <alignment horizontal="left"/>
    </xf>
    <xf numFmtId="0" fontId="99" fillId="0" borderId="1" xfId="10" applyBorder="1" applyAlignment="1">
      <alignment horizontal="left" vertical="center"/>
    </xf>
    <xf numFmtId="179" fontId="19" fillId="6" borderId="1" xfId="10" applyNumberFormat="1" applyFont="1" applyFill="1" applyBorder="1" applyAlignment="1">
      <alignment horizontal="center" vertical="center" wrapText="1"/>
    </xf>
    <xf numFmtId="0" fontId="256" fillId="0" borderId="1" xfId="10" applyFont="1" applyBorder="1" applyAlignment="1">
      <alignment vertical="center"/>
    </xf>
    <xf numFmtId="49" fontId="119" fillId="0" borderId="1" xfId="10" applyNumberFormat="1" applyFont="1" applyBorder="1" applyAlignment="1">
      <alignment horizontal="center" vertical="center"/>
    </xf>
    <xf numFmtId="0" fontId="84" fillId="0" borderId="1" xfId="18" applyFont="1" applyBorder="1" applyAlignment="1">
      <alignment horizontal="center"/>
    </xf>
    <xf numFmtId="10" fontId="84" fillId="6" borderId="1" xfId="10" applyNumberFormat="1" applyFont="1" applyFill="1" applyBorder="1" applyAlignment="1">
      <alignment horizontal="center" vertical="center" wrapText="1"/>
    </xf>
    <xf numFmtId="0" fontId="257" fillId="0" borderId="1" xfId="10" applyFont="1" applyBorder="1" applyAlignment="1">
      <alignment vertical="center"/>
    </xf>
    <xf numFmtId="0" fontId="83" fillId="0" borderId="0" xfId="17" applyFont="1" applyAlignment="1">
      <alignment horizontal="left"/>
    </xf>
    <xf numFmtId="0" fontId="119" fillId="0" borderId="0" xfId="10" applyFont="1" applyAlignment="1">
      <alignment horizontal="left" vertical="center"/>
    </xf>
    <xf numFmtId="0" fontId="100" fillId="0" borderId="0" xfId="10" applyFont="1" applyAlignment="1">
      <alignment vertical="center"/>
    </xf>
    <xf numFmtId="0" fontId="19" fillId="0" borderId="1" xfId="18" applyFont="1" applyBorder="1" applyAlignment="1">
      <alignment horizontal="center"/>
    </xf>
    <xf numFmtId="177" fontId="19" fillId="0" borderId="1" xfId="17" applyNumberFormat="1" applyFont="1" applyFill="1" applyBorder="1" applyAlignment="1">
      <alignment horizontal="center" vertical="center" wrapText="1"/>
    </xf>
    <xf numFmtId="181" fontId="19" fillId="6" borderId="1" xfId="19" applyNumberFormat="1" applyFont="1" applyFill="1" applyBorder="1" applyAlignment="1">
      <alignment horizontal="center" vertical="center" wrapText="1"/>
    </xf>
    <xf numFmtId="178" fontId="19" fillId="0" borderId="1" xfId="17" applyNumberFormat="1" applyFont="1" applyFill="1" applyBorder="1" applyAlignment="1">
      <alignment horizontal="center" vertical="center" wrapText="1"/>
    </xf>
    <xf numFmtId="183" fontId="19" fillId="6" borderId="1" xfId="10" applyNumberFormat="1" applyFont="1" applyFill="1" applyBorder="1" applyAlignment="1">
      <alignment horizontal="center" vertical="center" wrapText="1"/>
    </xf>
    <xf numFmtId="0" fontId="11" fillId="0" borderId="1" xfId="17" applyFont="1" applyFill="1" applyBorder="1" applyAlignment="1">
      <alignment horizontal="center"/>
    </xf>
    <xf numFmtId="181" fontId="19" fillId="6" borderId="1" xfId="10" applyNumberFormat="1" applyFont="1" applyFill="1" applyBorder="1" applyAlignment="1">
      <alignment horizontal="center" vertical="center" wrapText="1"/>
    </xf>
    <xf numFmtId="1" fontId="84" fillId="0" borderId="1" xfId="17" applyNumberFormat="1" applyFont="1" applyFill="1" applyBorder="1" applyAlignment="1">
      <alignment horizontal="center" vertical="center" wrapText="1"/>
    </xf>
    <xf numFmtId="0" fontId="258" fillId="0" borderId="1" xfId="10" applyFont="1" applyBorder="1" applyAlignment="1">
      <alignment vertical="center"/>
    </xf>
    <xf numFmtId="49" fontId="256" fillId="0" borderId="1" xfId="10" applyNumberFormat="1" applyFont="1" applyBorder="1" applyAlignment="1">
      <alignment horizontal="center" vertical="center"/>
    </xf>
    <xf numFmtId="181" fontId="19" fillId="6" borderId="1" xfId="17" applyNumberFormat="1" applyFont="1" applyFill="1" applyBorder="1" applyAlignment="1">
      <alignment horizontal="center" vertical="center" wrapText="1"/>
    </xf>
    <xf numFmtId="181" fontId="84" fillId="0" borderId="5" xfId="17" applyNumberFormat="1" applyFont="1" applyFill="1" applyBorder="1" applyAlignment="1">
      <alignment horizontal="center" vertical="center" wrapText="1"/>
    </xf>
    <xf numFmtId="181" fontId="84" fillId="6" borderId="1" xfId="17" applyNumberFormat="1" applyFont="1" applyFill="1" applyBorder="1" applyAlignment="1">
      <alignment horizontal="center" vertical="center" wrapText="1"/>
    </xf>
    <xf numFmtId="2" fontId="19" fillId="6" borderId="1" xfId="17" applyNumberFormat="1" applyFont="1" applyFill="1" applyBorder="1" applyAlignment="1">
      <alignment horizontal="center"/>
    </xf>
    <xf numFmtId="2" fontId="19" fillId="0" borderId="1" xfId="17" applyNumberFormat="1" applyFont="1" applyFill="1" applyBorder="1" applyAlignment="1">
      <alignment horizontal="center"/>
    </xf>
    <xf numFmtId="0" fontId="84" fillId="0" borderId="5" xfId="17" applyFont="1" applyFill="1" applyBorder="1" applyAlignment="1">
      <alignment horizontal="center" vertical="center" wrapText="1"/>
    </xf>
    <xf numFmtId="0" fontId="99" fillId="0" borderId="0" xfId="10" applyBorder="1" applyAlignment="1">
      <alignment vertical="center"/>
    </xf>
    <xf numFmtId="1" fontId="84" fillId="0" borderId="0" xfId="17" applyNumberFormat="1" applyFont="1" applyFill="1" applyBorder="1" applyAlignment="1">
      <alignment horizontal="center" vertical="center" wrapText="1"/>
    </xf>
    <xf numFmtId="49" fontId="12" fillId="0" borderId="1" xfId="10" applyNumberFormat="1" applyFont="1" applyFill="1" applyBorder="1" applyAlignment="1">
      <alignment horizontal="left" vertical="center"/>
    </xf>
    <xf numFmtId="0" fontId="12" fillId="0" borderId="1" xfId="10" applyFont="1" applyFill="1" applyBorder="1" applyAlignment="1">
      <alignment horizontal="left" vertical="center"/>
    </xf>
    <xf numFmtId="0" fontId="12" fillId="0" borderId="1" xfId="10" applyFont="1" applyFill="1" applyBorder="1" applyAlignment="1">
      <alignment horizontal="center" vertical="center"/>
    </xf>
    <xf numFmtId="0" fontId="13" fillId="0" borderId="1" xfId="10" applyFont="1" applyFill="1" applyBorder="1" applyAlignment="1">
      <alignment horizontal="left" vertical="center"/>
    </xf>
    <xf numFmtId="181" fontId="13" fillId="6" borderId="1" xfId="10" applyNumberFormat="1" applyFont="1" applyFill="1" applyBorder="1" applyAlignment="1">
      <alignment horizontal="center" vertical="center"/>
    </xf>
    <xf numFmtId="181" fontId="13" fillId="6" borderId="0" xfId="10" applyNumberFormat="1" applyFont="1" applyFill="1" applyAlignment="1">
      <alignment horizontal="center" vertical="center"/>
    </xf>
    <xf numFmtId="0" fontId="256" fillId="0" borderId="0" xfId="10" applyFont="1" applyAlignment="1">
      <alignment vertical="center"/>
    </xf>
    <xf numFmtId="0" fontId="113" fillId="0" borderId="0" xfId="10" applyFont="1" applyAlignment="1">
      <alignment horizontal="left" vertical="center"/>
    </xf>
    <xf numFmtId="49" fontId="13" fillId="0" borderId="1" xfId="10" applyNumberFormat="1" applyFont="1" applyFill="1" applyBorder="1" applyAlignment="1">
      <alignment horizontal="left" vertical="center"/>
    </xf>
    <xf numFmtId="0" fontId="13" fillId="0" borderId="1" xfId="10" applyFont="1" applyFill="1" applyBorder="1" applyAlignment="1">
      <alignment horizontal="center" vertical="center"/>
    </xf>
    <xf numFmtId="0" fontId="11" fillId="0" borderId="1" xfId="10" applyFont="1" applyFill="1" applyBorder="1" applyAlignment="1">
      <alignment horizontal="left" vertical="center" wrapText="1"/>
    </xf>
    <xf numFmtId="0" fontId="11" fillId="6" borderId="1" xfId="10" applyFont="1" applyFill="1" applyBorder="1" applyAlignment="1">
      <alignment horizontal="center" vertical="center" wrapText="1"/>
    </xf>
    <xf numFmtId="0" fontId="11" fillId="6" borderId="0" xfId="10" applyFont="1" applyFill="1" applyAlignment="1">
      <alignment horizontal="center" vertical="center" wrapText="1"/>
    </xf>
    <xf numFmtId="49" fontId="13" fillId="0" borderId="1" xfId="10" applyNumberFormat="1" applyFont="1" applyFill="1" applyBorder="1" applyAlignment="1">
      <alignment horizontal="center" vertical="center"/>
    </xf>
    <xf numFmtId="181" fontId="113" fillId="0" borderId="1" xfId="10" applyNumberFormat="1" applyFont="1" applyBorder="1" applyAlignment="1">
      <alignment horizontal="center" vertical="center"/>
    </xf>
    <xf numFmtId="181" fontId="113" fillId="6" borderId="1" xfId="10" applyNumberFormat="1" applyFont="1" applyFill="1" applyBorder="1" applyAlignment="1">
      <alignment horizontal="center" vertical="center"/>
    </xf>
    <xf numFmtId="0" fontId="113" fillId="6" borderId="1" xfId="10" applyFont="1" applyFill="1" applyBorder="1" applyAlignment="1">
      <alignment horizontal="center" vertical="center"/>
    </xf>
    <xf numFmtId="0" fontId="11" fillId="6" borderId="3" xfId="10" applyFont="1" applyFill="1" applyBorder="1" applyAlignment="1">
      <alignment horizontal="center" vertical="center"/>
    </xf>
    <xf numFmtId="0" fontId="11" fillId="6" borderId="0" xfId="10" applyFont="1" applyFill="1" applyAlignment="1">
      <alignment horizontal="center" vertical="center"/>
    </xf>
    <xf numFmtId="0" fontId="11" fillId="0" borderId="0" xfId="10" applyFont="1" applyFill="1" applyAlignment="1">
      <alignment horizontal="left" vertical="center"/>
    </xf>
    <xf numFmtId="0" fontId="13" fillId="6" borderId="1" xfId="10" applyFont="1" applyFill="1" applyBorder="1" applyAlignment="1">
      <alignment horizontal="center" vertical="center"/>
    </xf>
    <xf numFmtId="0" fontId="13" fillId="6" borderId="0" xfId="10" applyFont="1" applyFill="1" applyAlignment="1">
      <alignment horizontal="center" vertical="center"/>
    </xf>
    <xf numFmtId="10" fontId="13" fillId="6" borderId="1" xfId="10" applyNumberFormat="1" applyFont="1" applyFill="1" applyBorder="1" applyAlignment="1">
      <alignment horizontal="center" vertical="center"/>
    </xf>
    <xf numFmtId="10" fontId="13" fillId="6" borderId="0" xfId="10" applyNumberFormat="1" applyFont="1" applyFill="1" applyAlignment="1">
      <alignment horizontal="center" vertical="center"/>
    </xf>
    <xf numFmtId="0" fontId="13" fillId="0" borderId="2" xfId="10" applyFont="1" applyFill="1" applyBorder="1" applyAlignment="1">
      <alignment horizontal="left" vertical="center"/>
    </xf>
    <xf numFmtId="181" fontId="13" fillId="0" borderId="1" xfId="10" applyNumberFormat="1" applyFont="1" applyFill="1" applyBorder="1" applyAlignment="1">
      <alignment horizontal="center" vertical="center"/>
    </xf>
    <xf numFmtId="0" fontId="259" fillId="0" borderId="0" xfId="10" applyFont="1" applyAlignment="1">
      <alignment horizontal="left" vertical="center"/>
    </xf>
    <xf numFmtId="0" fontId="113" fillId="5" borderId="0" xfId="10" applyFont="1" applyFill="1" applyAlignment="1">
      <alignment horizontal="center" vertical="center"/>
    </xf>
    <xf numFmtId="0" fontId="156" fillId="0" borderId="0" xfId="10" applyFont="1" applyAlignment="1">
      <alignment vertical="center"/>
    </xf>
    <xf numFmtId="0" fontId="156" fillId="0" borderId="0" xfId="10" applyFont="1" applyAlignment="1">
      <alignment horizontal="left" vertical="center"/>
    </xf>
    <xf numFmtId="0" fontId="0" fillId="5" borderId="0" xfId="0" applyFill="1" applyAlignment="1">
      <alignment horizontal="center" vertical="center"/>
    </xf>
    <xf numFmtId="179" fontId="47" fillId="6" borderId="23" xfId="0" applyNumberFormat="1" applyFont="1" applyFill="1" applyBorder="1" applyAlignment="1" applyProtection="1">
      <alignment horizontal="center" vertical="center"/>
    </xf>
    <xf numFmtId="0" fontId="99" fillId="5" borderId="0" xfId="0" applyFont="1" applyFill="1" applyAlignment="1">
      <alignment horizontal="center" vertical="center"/>
    </xf>
    <xf numFmtId="0" fontId="137"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0" fillId="17" borderId="0" xfId="0" applyFill="1" applyAlignment="1">
      <alignment horizontal="center" vertical="center"/>
    </xf>
    <xf numFmtId="10" fontId="56" fillId="17" borderId="49" xfId="0" applyNumberFormat="1" applyFont="1" applyFill="1" applyBorder="1" applyAlignment="1" applyProtection="1">
      <alignment horizontal="center" vertical="center"/>
      <protection locked="0"/>
    </xf>
    <xf numFmtId="0" fontId="98" fillId="2" borderId="41" xfId="0" applyNumberFormat="1" applyFont="1" applyFill="1" applyBorder="1" applyAlignment="1" applyProtection="1">
      <alignment horizontal="center" vertical="center" wrapText="1"/>
      <protection locked="0"/>
    </xf>
    <xf numFmtId="0" fontId="61" fillId="9" borderId="11"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34" xfId="0" applyNumberFormat="1" applyFont="1" applyFill="1" applyBorder="1" applyAlignment="1" applyProtection="1">
      <alignment horizontal="center" vertical="center" wrapText="1"/>
    </xf>
    <xf numFmtId="0" fontId="57" fillId="9" borderId="24"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 fillId="0" borderId="4" xfId="10" applyFont="1" applyFill="1" applyBorder="1" applyAlignment="1">
      <alignment horizontal="left" vertical="center" wrapText="1"/>
    </xf>
    <xf numFmtId="0" fontId="11" fillId="0" borderId="7" xfId="10" applyFont="1" applyFill="1" applyBorder="1" applyAlignment="1">
      <alignment horizontal="left" vertical="center" wrapText="1"/>
    </xf>
    <xf numFmtId="0" fontId="113" fillId="5" borderId="0" xfId="10" applyFont="1" applyFill="1" applyAlignment="1">
      <alignment horizontal="center" vertical="center"/>
    </xf>
    <xf numFmtId="0" fontId="11" fillId="0" borderId="5" xfId="10" applyFont="1" applyFill="1" applyBorder="1" applyAlignment="1">
      <alignment horizontal="left" vertical="center"/>
    </xf>
    <xf numFmtId="0" fontId="11" fillId="0" borderId="54" xfId="10" applyFont="1" applyFill="1" applyBorder="1" applyAlignment="1">
      <alignment horizontal="left" vertical="center"/>
    </xf>
    <xf numFmtId="0" fontId="11" fillId="0" borderId="1" xfId="10" applyFont="1" applyFill="1" applyBorder="1" applyAlignment="1">
      <alignment horizontal="left" vertical="center"/>
    </xf>
    <xf numFmtId="0" fontId="11" fillId="0" borderId="1" xfId="10" applyFont="1" applyFill="1" applyBorder="1" applyAlignment="1">
      <alignment horizontal="left" vertical="center" wrapText="1"/>
    </xf>
    <xf numFmtId="0" fontId="13" fillId="0" borderId="1" xfId="10" applyFont="1" applyFill="1" applyBorder="1" applyAlignment="1">
      <alignment horizontal="left" vertical="center"/>
    </xf>
    <xf numFmtId="181" fontId="13" fillId="6" borderId="13" xfId="10" applyNumberFormat="1" applyFont="1" applyFill="1" applyBorder="1" applyAlignment="1">
      <alignment horizontal="center" vertical="center"/>
    </xf>
    <xf numFmtId="181" fontId="13" fillId="6" borderId="2" xfId="10" applyNumberFormat="1" applyFont="1" applyFill="1" applyBorder="1" applyAlignment="1">
      <alignment horizontal="center" vertical="center"/>
    </xf>
    <xf numFmtId="0" fontId="11" fillId="0" borderId="1" xfId="17" applyFont="1" applyBorder="1" applyAlignment="1">
      <alignment horizontal="center" vertical="center" wrapText="1"/>
    </xf>
    <xf numFmtId="1" fontId="84" fillId="0" borderId="1" xfId="17" applyNumberFormat="1" applyFont="1" applyFill="1" applyBorder="1" applyAlignment="1">
      <alignment horizontal="center" vertical="center" wrapText="1"/>
    </xf>
    <xf numFmtId="0" fontId="99" fillId="0" borderId="1" xfId="10" applyBorder="1" applyAlignment="1">
      <alignment horizontal="center" vertical="center"/>
    </xf>
    <xf numFmtId="49" fontId="113" fillId="0" borderId="1" xfId="10" applyNumberFormat="1" applyFont="1" applyBorder="1" applyAlignment="1">
      <alignment horizontal="center" vertical="center"/>
    </xf>
    <xf numFmtId="49" fontId="84" fillId="0" borderId="1" xfId="17" applyNumberFormat="1" applyFont="1" applyFill="1" applyBorder="1" applyAlignment="1">
      <alignment horizontal="center" vertical="center" wrapText="1"/>
    </xf>
    <xf numFmtId="0" fontId="100" fillId="0" borderId="1" xfId="10" applyFont="1" applyBorder="1" applyAlignment="1">
      <alignment horizontal="center" vertical="center"/>
    </xf>
    <xf numFmtId="0" fontId="100" fillId="0" borderId="1" xfId="10" applyFont="1" applyBorder="1" applyAlignment="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0">
    <cellStyle name="百分比 2" xfId="14"/>
    <cellStyle name="百分比 3" xfId="19"/>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8 2" xfId="18"/>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jpe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jpe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38100</xdr:rowOff>
    </xdr:from>
    <xdr:to>
      <xdr:col>13</xdr:col>
      <xdr:colOff>532223</xdr:colOff>
      <xdr:row>28</xdr:row>
      <xdr:rowOff>56548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28575" y="38100"/>
          <a:ext cx="9419048" cy="4819048"/>
        </a:xfrm>
        <a:prstGeom prst="rect">
          <a:avLst/>
        </a:prstGeom>
      </xdr:spPr>
    </xdr:pic>
    <xdr:clientData/>
  </xdr:twoCellAnchor>
  <xdr:twoCellAnchor editAs="oneCell">
    <xdr:from>
      <xdr:col>0</xdr:col>
      <xdr:colOff>0</xdr:colOff>
      <xdr:row>28</xdr:row>
      <xdr:rowOff>0</xdr:rowOff>
    </xdr:from>
    <xdr:to>
      <xdr:col>14</xdr:col>
      <xdr:colOff>160705</xdr:colOff>
      <xdr:row>50</xdr:row>
      <xdr:rowOff>132862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4800600"/>
          <a:ext cx="9761905" cy="3904762"/>
        </a:xfrm>
        <a:prstGeom prst="rect">
          <a:avLst/>
        </a:prstGeom>
      </xdr:spPr>
    </xdr:pic>
    <xdr:clientData/>
  </xdr:twoCellAnchor>
  <xdr:twoCellAnchor editAs="oneCell">
    <xdr:from>
      <xdr:col>0</xdr:col>
      <xdr:colOff>0</xdr:colOff>
      <xdr:row>51</xdr:row>
      <xdr:rowOff>0</xdr:rowOff>
    </xdr:from>
    <xdr:to>
      <xdr:col>13</xdr:col>
      <xdr:colOff>417934</xdr:colOff>
      <xdr:row>73</xdr:row>
      <xdr:rowOff>113815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8743950"/>
          <a:ext cx="9333334" cy="3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46420</xdr:colOff>
      <xdr:row>10</xdr:row>
      <xdr:rowOff>142643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9647620" cy="1857143"/>
        </a:xfrm>
        <a:prstGeom prst="rect">
          <a:avLst/>
        </a:prstGeom>
      </xdr:spPr>
    </xdr:pic>
    <xdr:clientData/>
  </xdr:twoCellAnchor>
  <xdr:twoCellAnchor editAs="oneCell">
    <xdr:from>
      <xdr:col>0</xdr:col>
      <xdr:colOff>0</xdr:colOff>
      <xdr:row>11</xdr:row>
      <xdr:rowOff>0</xdr:rowOff>
    </xdr:from>
    <xdr:to>
      <xdr:col>17</xdr:col>
      <xdr:colOff>493782</xdr:colOff>
      <xdr:row>40</xdr:row>
      <xdr:rowOff>85093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885950"/>
          <a:ext cx="12152382" cy="5057143"/>
        </a:xfrm>
        <a:prstGeom prst="rect">
          <a:avLst/>
        </a:prstGeom>
      </xdr:spPr>
    </xdr:pic>
    <xdr:clientData/>
  </xdr:twoCellAnchor>
  <xdr:twoCellAnchor editAs="oneCell">
    <xdr:from>
      <xdr:col>0</xdr:col>
      <xdr:colOff>0</xdr:colOff>
      <xdr:row>41</xdr:row>
      <xdr:rowOff>0</xdr:rowOff>
    </xdr:from>
    <xdr:to>
      <xdr:col>12</xdr:col>
      <xdr:colOff>189448</xdr:colOff>
      <xdr:row>54</xdr:row>
      <xdr:rowOff>9245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7029450"/>
          <a:ext cx="8419048" cy="2238095"/>
        </a:xfrm>
        <a:prstGeom prst="rect">
          <a:avLst/>
        </a:prstGeom>
      </xdr:spPr>
    </xdr:pic>
    <xdr:clientData/>
  </xdr:twoCellAnchor>
  <xdr:twoCellAnchor editAs="oneCell">
    <xdr:from>
      <xdr:col>14</xdr:col>
      <xdr:colOff>0</xdr:colOff>
      <xdr:row>1</xdr:row>
      <xdr:rowOff>0</xdr:rowOff>
    </xdr:from>
    <xdr:to>
      <xdr:col>20</xdr:col>
      <xdr:colOff>123296</xdr:colOff>
      <xdr:row>15</xdr:row>
      <xdr:rowOff>113986</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9601200" y="171450"/>
          <a:ext cx="4238096" cy="2514286"/>
        </a:xfrm>
        <a:prstGeom prst="rect">
          <a:avLst/>
        </a:prstGeom>
      </xdr:spPr>
    </xdr:pic>
    <xdr:clientData/>
  </xdr:twoCellAnchor>
  <xdr:twoCellAnchor editAs="oneCell">
    <xdr:from>
      <xdr:col>0</xdr:col>
      <xdr:colOff>0</xdr:colOff>
      <xdr:row>56</xdr:row>
      <xdr:rowOff>0</xdr:rowOff>
    </xdr:from>
    <xdr:to>
      <xdr:col>13</xdr:col>
      <xdr:colOff>284601</xdr:colOff>
      <xdr:row>66</xdr:row>
      <xdr:rowOff>85500</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9601200"/>
          <a:ext cx="9200001" cy="1800000"/>
        </a:xfrm>
        <a:prstGeom prst="rect">
          <a:avLst/>
        </a:prstGeom>
      </xdr:spPr>
    </xdr:pic>
    <xdr:clientData/>
  </xdr:twoCellAnchor>
  <xdr:twoCellAnchor editAs="oneCell">
    <xdr:from>
      <xdr:col>0</xdr:col>
      <xdr:colOff>0</xdr:colOff>
      <xdr:row>67</xdr:row>
      <xdr:rowOff>0</xdr:rowOff>
    </xdr:from>
    <xdr:to>
      <xdr:col>16</xdr:col>
      <xdr:colOff>598629</xdr:colOff>
      <xdr:row>97</xdr:row>
      <xdr:rowOff>85072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1487150"/>
          <a:ext cx="11571429" cy="5228572"/>
        </a:xfrm>
        <a:prstGeom prst="rect">
          <a:avLst/>
        </a:prstGeom>
      </xdr:spPr>
    </xdr:pic>
    <xdr:clientData/>
  </xdr:twoCellAnchor>
  <xdr:twoCellAnchor editAs="oneCell">
    <xdr:from>
      <xdr:col>0</xdr:col>
      <xdr:colOff>0</xdr:colOff>
      <xdr:row>98</xdr:row>
      <xdr:rowOff>0</xdr:rowOff>
    </xdr:from>
    <xdr:to>
      <xdr:col>13</xdr:col>
      <xdr:colOff>8410</xdr:colOff>
      <xdr:row>110</xdr:row>
      <xdr:rowOff>114029</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16802100"/>
          <a:ext cx="8923810" cy="2171429"/>
        </a:xfrm>
        <a:prstGeom prst="rect">
          <a:avLst/>
        </a:prstGeom>
      </xdr:spPr>
    </xdr:pic>
    <xdr:clientData/>
  </xdr:twoCellAnchor>
  <xdr:twoCellAnchor editAs="oneCell">
    <xdr:from>
      <xdr:col>13</xdr:col>
      <xdr:colOff>171450</xdr:colOff>
      <xdr:row>50</xdr:row>
      <xdr:rowOff>123825</xdr:rowOff>
    </xdr:from>
    <xdr:to>
      <xdr:col>18</xdr:col>
      <xdr:colOff>666260</xdr:colOff>
      <xdr:row>67</xdr:row>
      <xdr:rowOff>18699</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9086850" y="8696325"/>
          <a:ext cx="3923810" cy="2809524"/>
        </a:xfrm>
        <a:prstGeom prst="rect">
          <a:avLst/>
        </a:prstGeom>
      </xdr:spPr>
    </xdr:pic>
    <xdr:clientData/>
  </xdr:twoCellAnchor>
  <xdr:twoCellAnchor editAs="oneCell">
    <xdr:from>
      <xdr:col>0</xdr:col>
      <xdr:colOff>0</xdr:colOff>
      <xdr:row>112</xdr:row>
      <xdr:rowOff>0</xdr:rowOff>
    </xdr:from>
    <xdr:to>
      <xdr:col>13</xdr:col>
      <xdr:colOff>589363</xdr:colOff>
      <xdr:row>122</xdr:row>
      <xdr:rowOff>161691</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0" y="19202400"/>
          <a:ext cx="9504763" cy="1876191"/>
        </a:xfrm>
        <a:prstGeom prst="rect">
          <a:avLst/>
        </a:prstGeom>
      </xdr:spPr>
    </xdr:pic>
    <xdr:clientData/>
  </xdr:twoCellAnchor>
  <xdr:twoCellAnchor editAs="oneCell">
    <xdr:from>
      <xdr:col>0</xdr:col>
      <xdr:colOff>0</xdr:colOff>
      <xdr:row>124</xdr:row>
      <xdr:rowOff>0</xdr:rowOff>
    </xdr:from>
    <xdr:to>
      <xdr:col>17</xdr:col>
      <xdr:colOff>141401</xdr:colOff>
      <xdr:row>153</xdr:row>
      <xdr:rowOff>37474</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0" y="21259800"/>
          <a:ext cx="11800001" cy="5009524"/>
        </a:xfrm>
        <a:prstGeom prst="rect">
          <a:avLst/>
        </a:prstGeom>
      </xdr:spPr>
    </xdr:pic>
    <xdr:clientData/>
  </xdr:twoCellAnchor>
  <xdr:twoCellAnchor editAs="oneCell">
    <xdr:from>
      <xdr:col>0</xdr:col>
      <xdr:colOff>0</xdr:colOff>
      <xdr:row>154</xdr:row>
      <xdr:rowOff>0</xdr:rowOff>
    </xdr:from>
    <xdr:to>
      <xdr:col>13</xdr:col>
      <xdr:colOff>113172</xdr:colOff>
      <xdr:row>165</xdr:row>
      <xdr:rowOff>47383</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0" y="26403300"/>
          <a:ext cx="9028572" cy="1933333"/>
        </a:xfrm>
        <a:prstGeom prst="rect">
          <a:avLst/>
        </a:prstGeom>
      </xdr:spPr>
    </xdr:pic>
    <xdr:clientData/>
  </xdr:twoCellAnchor>
  <xdr:twoCellAnchor editAs="oneCell">
    <xdr:from>
      <xdr:col>13</xdr:col>
      <xdr:colOff>0</xdr:colOff>
      <xdr:row>98</xdr:row>
      <xdr:rowOff>0</xdr:rowOff>
    </xdr:from>
    <xdr:to>
      <xdr:col>19</xdr:col>
      <xdr:colOff>380438</xdr:colOff>
      <xdr:row>113</xdr:row>
      <xdr:rowOff>142536</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8915400" y="16802100"/>
          <a:ext cx="4495238" cy="2714286"/>
        </a:xfrm>
        <a:prstGeom prst="rect">
          <a:avLst/>
        </a:prstGeom>
      </xdr:spPr>
    </xdr:pic>
    <xdr:clientData/>
  </xdr:twoCellAnchor>
  <xdr:twoCellAnchor editAs="oneCell">
    <xdr:from>
      <xdr:col>0</xdr:col>
      <xdr:colOff>0</xdr:colOff>
      <xdr:row>167</xdr:row>
      <xdr:rowOff>0</xdr:rowOff>
    </xdr:from>
    <xdr:to>
      <xdr:col>9</xdr:col>
      <xdr:colOff>75419</xdr:colOff>
      <xdr:row>189</xdr:row>
      <xdr:rowOff>170957</xdr:rowOff>
    </xdr:to>
    <xdr:pic>
      <xdr:nvPicPr>
        <xdr:cNvPr id="14" name="图片 13"/>
        <xdr:cNvPicPr>
          <a:picLocks noChangeAspect="1"/>
        </xdr:cNvPicPr>
      </xdr:nvPicPr>
      <xdr:blipFill>
        <a:blip xmlns:r="http://schemas.openxmlformats.org/officeDocument/2006/relationships" r:embed="rId13" cstate="print"/>
        <a:stretch>
          <a:fillRect/>
        </a:stretch>
      </xdr:blipFill>
      <xdr:spPr>
        <a:xfrm>
          <a:off x="0" y="28632150"/>
          <a:ext cx="6247619" cy="3942857"/>
        </a:xfrm>
        <a:prstGeom prst="rect">
          <a:avLst/>
        </a:prstGeom>
      </xdr:spPr>
    </xdr:pic>
    <xdr:clientData/>
  </xdr:twoCellAnchor>
  <xdr:twoCellAnchor editAs="oneCell">
    <xdr:from>
      <xdr:col>0</xdr:col>
      <xdr:colOff>0</xdr:colOff>
      <xdr:row>191</xdr:row>
      <xdr:rowOff>0</xdr:rowOff>
    </xdr:from>
    <xdr:to>
      <xdr:col>13</xdr:col>
      <xdr:colOff>322696</xdr:colOff>
      <xdr:row>201</xdr:row>
      <xdr:rowOff>75976</xdr:rowOff>
    </xdr:to>
    <xdr:pic>
      <xdr:nvPicPr>
        <xdr:cNvPr id="15" name="图片 14"/>
        <xdr:cNvPicPr>
          <a:picLocks noChangeAspect="1"/>
        </xdr:cNvPicPr>
      </xdr:nvPicPr>
      <xdr:blipFill>
        <a:blip xmlns:r="http://schemas.openxmlformats.org/officeDocument/2006/relationships" r:embed="rId14" cstate="print"/>
        <a:stretch>
          <a:fillRect/>
        </a:stretch>
      </xdr:blipFill>
      <xdr:spPr>
        <a:xfrm>
          <a:off x="0" y="32746950"/>
          <a:ext cx="9238096" cy="1790476"/>
        </a:xfrm>
        <a:prstGeom prst="rect">
          <a:avLst/>
        </a:prstGeom>
      </xdr:spPr>
    </xdr:pic>
    <xdr:clientData/>
  </xdr:twoCellAnchor>
  <xdr:twoCellAnchor editAs="oneCell">
    <xdr:from>
      <xdr:col>0</xdr:col>
      <xdr:colOff>0</xdr:colOff>
      <xdr:row>202</xdr:row>
      <xdr:rowOff>0</xdr:rowOff>
    </xdr:from>
    <xdr:to>
      <xdr:col>16</xdr:col>
      <xdr:colOff>684344</xdr:colOff>
      <xdr:row>231</xdr:row>
      <xdr:rowOff>113665</xdr:rowOff>
    </xdr:to>
    <xdr:pic>
      <xdr:nvPicPr>
        <xdr:cNvPr id="16" name="图片 15"/>
        <xdr:cNvPicPr>
          <a:picLocks noChangeAspect="1"/>
        </xdr:cNvPicPr>
      </xdr:nvPicPr>
      <xdr:blipFill>
        <a:blip xmlns:r="http://schemas.openxmlformats.org/officeDocument/2006/relationships" r:embed="rId15" cstate="print"/>
        <a:stretch>
          <a:fillRect/>
        </a:stretch>
      </xdr:blipFill>
      <xdr:spPr>
        <a:xfrm>
          <a:off x="0" y="34632900"/>
          <a:ext cx="11657144" cy="5085715"/>
        </a:xfrm>
        <a:prstGeom prst="rect">
          <a:avLst/>
        </a:prstGeom>
      </xdr:spPr>
    </xdr:pic>
    <xdr:clientData/>
  </xdr:twoCellAnchor>
  <xdr:twoCellAnchor editAs="oneCell">
    <xdr:from>
      <xdr:col>0</xdr:col>
      <xdr:colOff>0</xdr:colOff>
      <xdr:row>232</xdr:row>
      <xdr:rowOff>0</xdr:rowOff>
    </xdr:from>
    <xdr:to>
      <xdr:col>11</xdr:col>
      <xdr:colOff>237153</xdr:colOff>
      <xdr:row>246</xdr:row>
      <xdr:rowOff>113986</xdr:rowOff>
    </xdr:to>
    <xdr:pic>
      <xdr:nvPicPr>
        <xdr:cNvPr id="17" name="图片 16"/>
        <xdr:cNvPicPr>
          <a:picLocks noChangeAspect="1"/>
        </xdr:cNvPicPr>
      </xdr:nvPicPr>
      <xdr:blipFill>
        <a:blip xmlns:r="http://schemas.openxmlformats.org/officeDocument/2006/relationships" r:embed="rId16" cstate="print"/>
        <a:stretch>
          <a:fillRect/>
        </a:stretch>
      </xdr:blipFill>
      <xdr:spPr>
        <a:xfrm>
          <a:off x="0" y="39776400"/>
          <a:ext cx="7780953" cy="2514286"/>
        </a:xfrm>
        <a:prstGeom prst="rect">
          <a:avLst/>
        </a:prstGeom>
      </xdr:spPr>
    </xdr:pic>
    <xdr:clientData/>
  </xdr:twoCellAnchor>
  <xdr:twoCellAnchor editAs="oneCell">
    <xdr:from>
      <xdr:col>12</xdr:col>
      <xdr:colOff>0</xdr:colOff>
      <xdr:row>233</xdr:row>
      <xdr:rowOff>0</xdr:rowOff>
    </xdr:from>
    <xdr:to>
      <xdr:col>19</xdr:col>
      <xdr:colOff>656543</xdr:colOff>
      <xdr:row>255</xdr:row>
      <xdr:rowOff>94767</xdr:rowOff>
    </xdr:to>
    <xdr:pic>
      <xdr:nvPicPr>
        <xdr:cNvPr id="18" name="图片 17"/>
        <xdr:cNvPicPr>
          <a:picLocks noChangeAspect="1"/>
        </xdr:cNvPicPr>
      </xdr:nvPicPr>
      <xdr:blipFill>
        <a:blip xmlns:r="http://schemas.openxmlformats.org/officeDocument/2006/relationships" r:embed="rId17" cstate="print"/>
        <a:stretch>
          <a:fillRect/>
        </a:stretch>
      </xdr:blipFill>
      <xdr:spPr>
        <a:xfrm>
          <a:off x="8229600" y="39947850"/>
          <a:ext cx="5457143" cy="3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19050</xdr:rowOff>
    </xdr:from>
    <xdr:to>
      <xdr:col>10</xdr:col>
      <xdr:colOff>446781</xdr:colOff>
      <xdr:row>23</xdr:row>
      <xdr:rowOff>170938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52400" y="19050"/>
          <a:ext cx="7152381" cy="40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房地产市场价值预评估</v>
      </c>
    </row>
    <row r="3" spans="1:2" s="1593" customFormat="1">
      <c r="A3" s="1591" t="s">
        <v>1216</v>
      </c>
      <c r="B3" s="1592" t="str">
        <f>'预评函-封皮'!B40</f>
        <v>昆明嘉丽泽投资有限公司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受贵公司委托，我公司对房地产市场价值进行了预评估。</v>
      </c>
    </row>
    <row r="7" spans="1:2" s="1593" customFormat="1">
      <c r="A7" s="1591" t="s">
        <v>1259</v>
      </c>
      <c r="B7" s="1592" t="str">
        <f>'预评函-1'!A7</f>
        <v>估价对象为房地产，为所有。根据《国有土地使用证》[]，估价对象（分摊）出让国有建设用地使用权面积为16164.6平方米，建筑面积为2191.33平方米。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估价对象为房地产,为开发建设的，该项目尚在开发建设中。根据《国有土地使用证》[]，估价对象（分摊）出让国有建设用地使用权面积为16164.6平方米，规划建筑面积为2191.33平方米。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2019年12月18日（评估专业人员实地查勘之日）</v>
      </c>
    </row>
    <row r="13" spans="1:2" s="1593" customFormat="1">
      <c r="A13" s="1591" t="s">
        <v>1222</v>
      </c>
      <c r="B13" s="1592" t="str">
        <f>'预评函-1'!A18</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2030</v>
      </c>
    </row>
    <row r="21" spans="1:2" s="1593" customFormat="1">
      <c r="A21" s="1591" t="s">
        <v>1230</v>
      </c>
      <c r="B21" s="1592">
        <f ca="1">'预评函-2'!D7</f>
        <v>9264</v>
      </c>
    </row>
    <row r="22" spans="1:2" s="1593" customFormat="1">
      <c r="A22" s="1591" t="s">
        <v>1231</v>
      </c>
      <c r="B22" s="1592" t="str">
        <f ca="1">'预评函-2'!D6</f>
        <v>贰仟零叁拾万元整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2030</v>
      </c>
    </row>
    <row r="31" spans="1:2" s="1593" customFormat="1">
      <c r="A31" s="1591" t="s">
        <v>1269</v>
      </c>
      <c r="B31" s="1592">
        <f ca="1">'预评函-2'!D15</f>
        <v>9264</v>
      </c>
    </row>
    <row r="32" spans="1:2" s="1593" customFormat="1">
      <c r="A32" s="1591" t="s">
        <v>1236</v>
      </c>
      <c r="B32" s="1592" t="str">
        <f ca="1">'预评函-2'!D14</f>
        <v>贰仟零叁拾万元整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2191.33</v>
      </c>
    </row>
    <row r="44" spans="1:2" s="1593" customFormat="1">
      <c r="A44" s="1591" t="s">
        <v>1268</v>
      </c>
      <c r="B44" s="1592" t="str">
        <f>'预评函-3'!C2</f>
        <v>(分摊)土地面积</v>
      </c>
    </row>
    <row r="45" spans="1:2" s="1593" customFormat="1">
      <c r="A45" s="1591" t="s">
        <v>1240</v>
      </c>
      <c r="B45" s="1592">
        <f>'预评函-3'!C4</f>
        <v>16164.6</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1683</v>
      </c>
      <c r="C1" s="2008" t="s">
        <v>759</v>
      </c>
      <c r="D1" s="2009" t="s">
        <v>1684</v>
      </c>
      <c r="E1" s="2009" t="s">
        <v>1685</v>
      </c>
      <c r="F1" s="2009" t="s">
        <v>1686</v>
      </c>
      <c r="G1" s="2009" t="s">
        <v>1687</v>
      </c>
      <c r="H1" s="2009" t="s">
        <v>1688</v>
      </c>
      <c r="I1" s="2009" t="s">
        <v>1689</v>
      </c>
      <c r="J1" s="2009" t="s">
        <v>1690</v>
      </c>
      <c r="K1" s="2009" t="s">
        <v>1691</v>
      </c>
      <c r="L1" s="2009" t="s">
        <v>1692</v>
      </c>
      <c r="M1" s="2009" t="s">
        <v>1693</v>
      </c>
      <c r="N1" s="2009" t="s">
        <v>1694</v>
      </c>
      <c r="O1" s="2009" t="s">
        <v>1695</v>
      </c>
      <c r="P1" s="2010" t="s">
        <v>753</v>
      </c>
      <c r="Q1" s="2010" t="s">
        <v>1140</v>
      </c>
      <c r="R1" s="2009" t="s">
        <v>1134</v>
      </c>
      <c r="S1" s="2009" t="s">
        <v>1696</v>
      </c>
      <c r="T1" s="2011" t="s">
        <v>1697</v>
      </c>
      <c r="U1" s="2009" t="s">
        <v>1698</v>
      </c>
      <c r="V1" s="2009" t="s">
        <v>1699</v>
      </c>
      <c r="W1" s="2009" t="s">
        <v>755</v>
      </c>
    </row>
    <row r="2" spans="1:23">
      <c r="A2" s="2013" t="s">
        <v>22</v>
      </c>
      <c r="B2" s="2013" t="s">
        <v>1700</v>
      </c>
      <c r="C2" s="2014" t="s">
        <v>760</v>
      </c>
      <c r="D2" s="2015" t="s">
        <v>1701</v>
      </c>
      <c r="E2" s="2015" t="s">
        <v>1702</v>
      </c>
      <c r="F2" s="2015" t="s">
        <v>1703</v>
      </c>
      <c r="G2" s="2015">
        <v>40</v>
      </c>
      <c r="H2" s="2015" t="s">
        <v>1703</v>
      </c>
      <c r="I2" s="2015" t="s">
        <v>1704</v>
      </c>
      <c r="J2" s="2015" t="s">
        <v>1705</v>
      </c>
      <c r="K2" s="2015" t="s">
        <v>1706</v>
      </c>
      <c r="L2" s="2015" t="s">
        <v>1706</v>
      </c>
      <c r="M2" s="2015" t="s">
        <v>1706</v>
      </c>
      <c r="N2" s="2015" t="s">
        <v>1706</v>
      </c>
      <c r="O2" s="2015" t="s">
        <v>1706</v>
      </c>
      <c r="P2" s="2015" t="s">
        <v>1706</v>
      </c>
      <c r="Q2" s="2015" t="s">
        <v>1706</v>
      </c>
      <c r="R2" s="2015" t="s">
        <v>1136</v>
      </c>
      <c r="S2" s="2015" t="s">
        <v>1706</v>
      </c>
      <c r="T2" s="2015" t="s">
        <v>1707</v>
      </c>
      <c r="U2" s="2015" t="s">
        <v>1706</v>
      </c>
      <c r="V2" s="2015" t="s">
        <v>1708</v>
      </c>
      <c r="W2" s="2015" t="s">
        <v>1706</v>
      </c>
    </row>
    <row r="3" spans="1:23">
      <c r="A3" s="2013" t="s">
        <v>1709</v>
      </c>
      <c r="B3" s="2016" t="s">
        <v>1141</v>
      </c>
      <c r="C3" s="2017" t="s">
        <v>761</v>
      </c>
      <c r="D3" s="2015" t="s">
        <v>1710</v>
      </c>
      <c r="E3" s="2015" t="s">
        <v>16</v>
      </c>
      <c r="F3" s="2015" t="s">
        <v>1711</v>
      </c>
      <c r="G3" s="2015">
        <v>50</v>
      </c>
      <c r="H3" s="2015" t="s">
        <v>1711</v>
      </c>
      <c r="I3" s="2015" t="s">
        <v>1712</v>
      </c>
      <c r="J3" s="2015" t="s">
        <v>1713</v>
      </c>
      <c r="K3" s="2015" t="s">
        <v>1714</v>
      </c>
      <c r="L3" s="2015" t="s">
        <v>1714</v>
      </c>
      <c r="M3" s="2015" t="s">
        <v>1714</v>
      </c>
      <c r="N3" s="2015" t="s">
        <v>1714</v>
      </c>
      <c r="O3" s="2015" t="s">
        <v>1714</v>
      </c>
      <c r="P3" s="2015" t="s">
        <v>1714</v>
      </c>
      <c r="Q3" s="2015" t="s">
        <v>1714</v>
      </c>
      <c r="R3" s="2015" t="s">
        <v>1135</v>
      </c>
      <c r="S3" s="2015" t="s">
        <v>1714</v>
      </c>
      <c r="T3" s="2015" t="s">
        <v>1715</v>
      </c>
      <c r="U3" s="2015" t="s">
        <v>1714</v>
      </c>
      <c r="V3" s="2015" t="s">
        <v>1716</v>
      </c>
      <c r="W3" s="2015" t="s">
        <v>1714</v>
      </c>
    </row>
    <row r="4" spans="1:23">
      <c r="A4" s="2013" t="s">
        <v>1717</v>
      </c>
      <c r="B4" s="2013" t="s">
        <v>1718</v>
      </c>
      <c r="C4" s="2014" t="s">
        <v>762</v>
      </c>
      <c r="D4" s="2015" t="s">
        <v>864</v>
      </c>
      <c r="E4" s="2015" t="s">
        <v>1719</v>
      </c>
      <c r="F4" s="2015" t="s">
        <v>1720</v>
      </c>
      <c r="G4" s="2015">
        <v>70</v>
      </c>
      <c r="H4" s="2015" t="s">
        <v>1720</v>
      </c>
      <c r="I4" s="2015" t="s">
        <v>1721</v>
      </c>
      <c r="K4" s="2015" t="s">
        <v>1722</v>
      </c>
      <c r="L4" s="2015" t="s">
        <v>1722</v>
      </c>
      <c r="M4" s="2015" t="s">
        <v>1722</v>
      </c>
      <c r="N4" s="2015" t="s">
        <v>1722</v>
      </c>
      <c r="O4" s="2015" t="s">
        <v>1722</v>
      </c>
      <c r="P4" s="2015" t="s">
        <v>1722</v>
      </c>
      <c r="Q4" s="2015" t="s">
        <v>1722</v>
      </c>
      <c r="R4" s="2015" t="s">
        <v>1137</v>
      </c>
      <c r="S4" s="2015" t="s">
        <v>1722</v>
      </c>
      <c r="T4" s="2015" t="s">
        <v>1723</v>
      </c>
      <c r="U4" s="2015" t="s">
        <v>1722</v>
      </c>
      <c r="W4" s="2015" t="s">
        <v>1722</v>
      </c>
    </row>
    <row r="5" spans="1:23">
      <c r="A5" s="2013" t="s">
        <v>1724</v>
      </c>
      <c r="B5" s="2013" t="s">
        <v>1725</v>
      </c>
      <c r="C5" s="2014" t="s">
        <v>763</v>
      </c>
      <c r="F5" s="2015" t="s">
        <v>1726</v>
      </c>
      <c r="H5" s="2015" t="s">
        <v>1727</v>
      </c>
      <c r="I5" s="2015" t="s">
        <v>1728</v>
      </c>
      <c r="K5" s="2015" t="s">
        <v>1729</v>
      </c>
      <c r="L5" s="2015" t="s">
        <v>1729</v>
      </c>
      <c r="M5" s="2015" t="s">
        <v>1729</v>
      </c>
      <c r="N5" s="2015" t="s">
        <v>1729</v>
      </c>
      <c r="O5" s="2015" t="s">
        <v>1729</v>
      </c>
      <c r="P5" s="2015" t="s">
        <v>1729</v>
      </c>
      <c r="Q5" s="2015" t="s">
        <v>1729</v>
      </c>
      <c r="R5" s="2015" t="s">
        <v>1138</v>
      </c>
      <c r="S5" s="2015" t="s">
        <v>1729</v>
      </c>
      <c r="T5" s="2015" t="s">
        <v>1730</v>
      </c>
      <c r="U5" s="2015" t="s">
        <v>1729</v>
      </c>
      <c r="W5" s="2015" t="s">
        <v>1729</v>
      </c>
    </row>
    <row r="6" spans="1:23">
      <c r="A6" s="2013" t="s">
        <v>1731</v>
      </c>
      <c r="B6" s="2016" t="s">
        <v>1142</v>
      </c>
      <c r="C6" s="2019" t="s">
        <v>30</v>
      </c>
      <c r="F6" s="2015" t="s">
        <v>1727</v>
      </c>
      <c r="H6" s="2015" t="s">
        <v>1732</v>
      </c>
      <c r="I6" s="2015" t="s">
        <v>1733</v>
      </c>
      <c r="K6" s="2015" t="s">
        <v>1734</v>
      </c>
      <c r="L6" s="2015" t="s">
        <v>1734</v>
      </c>
      <c r="M6" s="2015" t="s">
        <v>1734</v>
      </c>
      <c r="N6" s="2015" t="s">
        <v>1734</v>
      </c>
      <c r="O6" s="2015" t="s">
        <v>1734</v>
      </c>
      <c r="P6" s="2015" t="s">
        <v>1734</v>
      </c>
      <c r="Q6" s="2015" t="s">
        <v>1734</v>
      </c>
      <c r="R6" s="2015" t="s">
        <v>1139</v>
      </c>
      <c r="S6" s="2015" t="s">
        <v>1734</v>
      </c>
      <c r="T6" s="2015"/>
      <c r="U6" s="2015" t="s">
        <v>1734</v>
      </c>
      <c r="W6" s="2015" t="s">
        <v>1734</v>
      </c>
    </row>
    <row r="7" spans="1:23">
      <c r="A7" s="2013" t="s">
        <v>1735</v>
      </c>
      <c r="B7" s="2016" t="s">
        <v>1143</v>
      </c>
      <c r="C7" s="2014" t="s">
        <v>31</v>
      </c>
      <c r="F7" s="2015" t="s">
        <v>1736</v>
      </c>
      <c r="H7" s="2015" t="s">
        <v>1737</v>
      </c>
      <c r="I7" s="2015" t="s">
        <v>1738</v>
      </c>
    </row>
    <row r="8" spans="1:23">
      <c r="A8" s="2013" t="s">
        <v>1739</v>
      </c>
      <c r="B8" s="2013" t="s">
        <v>1740</v>
      </c>
      <c r="C8" s="2014" t="s">
        <v>764</v>
      </c>
      <c r="F8" s="2015" t="s">
        <v>1741</v>
      </c>
      <c r="H8" s="2015"/>
      <c r="I8" s="2015" t="s">
        <v>1742</v>
      </c>
    </row>
    <row r="9" spans="1:23">
      <c r="A9" s="2013" t="s">
        <v>1743</v>
      </c>
      <c r="B9" s="2013" t="s">
        <v>1744</v>
      </c>
      <c r="C9" s="2014" t="s">
        <v>765</v>
      </c>
      <c r="F9" s="2015" t="s">
        <v>1745</v>
      </c>
      <c r="H9" s="2015"/>
    </row>
    <row r="10" spans="1:23">
      <c r="A10" s="2013" t="s">
        <v>1746</v>
      </c>
      <c r="B10" s="2013" t="s">
        <v>1747</v>
      </c>
      <c r="C10" s="2014" t="s">
        <v>766</v>
      </c>
      <c r="F10" s="2015" t="s">
        <v>16</v>
      </c>
    </row>
    <row r="11" spans="1:23">
      <c r="A11" s="2013" t="s">
        <v>1748</v>
      </c>
      <c r="B11" s="2013" t="s">
        <v>1749</v>
      </c>
      <c r="C11" s="2014" t="s">
        <v>767</v>
      </c>
    </row>
    <row r="12" spans="1:23">
      <c r="A12" s="2013" t="s">
        <v>1750</v>
      </c>
      <c r="B12" s="2013" t="s">
        <v>1751</v>
      </c>
      <c r="C12" s="2014" t="s">
        <v>768</v>
      </c>
    </row>
    <row r="13" spans="1:23">
      <c r="A13" s="2013" t="s">
        <v>1752</v>
      </c>
      <c r="B13" s="2013" t="s">
        <v>1753</v>
      </c>
      <c r="C13" s="2014" t="s">
        <v>769</v>
      </c>
    </row>
    <row r="14" spans="1:23">
      <c r="A14" s="2013" t="s">
        <v>1754</v>
      </c>
      <c r="B14" s="2013" t="s">
        <v>1755</v>
      </c>
      <c r="C14" s="2015" t="s">
        <v>16</v>
      </c>
    </row>
    <row r="15" spans="1:23">
      <c r="A15" s="2013" t="s">
        <v>1756</v>
      </c>
      <c r="B15" s="2013" t="s">
        <v>1757</v>
      </c>
      <c r="C15" s="2014"/>
    </row>
    <row r="16" spans="1:23">
      <c r="A16" s="2013" t="s">
        <v>1758</v>
      </c>
      <c r="B16" s="2013" t="s">
        <v>756</v>
      </c>
      <c r="C16" s="2014"/>
    </row>
    <row r="17" spans="1:3">
      <c r="A17" s="2013" t="s">
        <v>1759</v>
      </c>
      <c r="B17" s="2013" t="s">
        <v>757</v>
      </c>
      <c r="C17" s="2014"/>
    </row>
    <row r="18" spans="1:3">
      <c r="A18" s="2013" t="s">
        <v>1760</v>
      </c>
      <c r="B18" s="2013" t="s">
        <v>757</v>
      </c>
      <c r="C18" s="2014"/>
    </row>
    <row r="19" spans="1:3">
      <c r="A19" s="2013" t="s">
        <v>1761</v>
      </c>
      <c r="B19" s="2013" t="s">
        <v>757</v>
      </c>
      <c r="C19" s="2014"/>
    </row>
    <row r="20" spans="1:3">
      <c r="A20" s="2013" t="s">
        <v>1762</v>
      </c>
      <c r="B20" s="2013" t="s">
        <v>757</v>
      </c>
      <c r="C20" s="2014"/>
    </row>
    <row r="21" spans="1:3">
      <c r="A21" s="2013" t="s">
        <v>1763</v>
      </c>
      <c r="B21" s="2013" t="s">
        <v>757</v>
      </c>
      <c r="C21" s="2014"/>
    </row>
    <row r="22" spans="1:3">
      <c r="A22" s="2013" t="s">
        <v>1764</v>
      </c>
      <c r="B22" s="2013" t="s">
        <v>757</v>
      </c>
      <c r="C22" s="2014"/>
    </row>
    <row r="23" spans="1:3">
      <c r="A23" s="2013" t="s">
        <v>1765</v>
      </c>
      <c r="B23" s="2013" t="s">
        <v>757</v>
      </c>
      <c r="C23" s="2014"/>
    </row>
    <row r="24" spans="1:3">
      <c r="A24" s="2013" t="s">
        <v>1766</v>
      </c>
      <c r="B24" s="2013" t="s">
        <v>757</v>
      </c>
      <c r="C24" s="2014"/>
    </row>
    <row r="25" spans="1:3">
      <c r="A25" s="2013" t="s">
        <v>1767</v>
      </c>
      <c r="B25" s="2013" t="s">
        <v>757</v>
      </c>
      <c r="C25" s="2014"/>
    </row>
    <row r="26" spans="1:3">
      <c r="A26" s="2013" t="s">
        <v>1768</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拟使用房地产作为抵押担保物，向中信信托办理贷款手续。中信信托特委托北京康正宏基房地产评估有限公司对上述抵押物进行评估。本次评估为确定房地产抵押贷款额度提供参考依据而评估房地产抵押价值。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1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6"/>
      <c r="B54" s="2021" t="s">
        <v>860</v>
      </c>
      <c r="C54" s="2018" t="s">
        <v>1276</v>
      </c>
    </row>
    <row r="55" spans="1:4">
      <c r="A55" s="3106"/>
      <c r="B55" s="2021" t="s">
        <v>861</v>
      </c>
      <c r="C55" s="2018" t="s">
        <v>1277</v>
      </c>
    </row>
    <row r="56" spans="1:4">
      <c r="A56" s="3106"/>
      <c r="B56" s="2021" t="s">
        <v>862</v>
      </c>
      <c r="C56" s="2018" t="s">
        <v>1281</v>
      </c>
    </row>
    <row r="57" spans="1:4">
      <c r="A57" s="3106"/>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I13" sqref="I13"/>
    </sheetView>
  </sheetViews>
  <sheetFormatPr defaultColWidth="10" defaultRowHeight="18" customHeight="1"/>
  <cols>
    <col min="1" max="1" width="14.875" style="2031" customWidth="1"/>
    <col min="2" max="2" width="12.625" style="2031" customWidth="1"/>
    <col min="3" max="3" width="11.5" style="2031" customWidth="1"/>
    <col min="4" max="4" width="12.25" style="2031" customWidth="1"/>
    <col min="5"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1769</v>
      </c>
      <c r="B1" s="3115" t="str">
        <f>IF(B10="北京市","北京市",C10)&amp;F10&amp;IF(结果表!G1="在建","出让国有建设用地使用权及在建建筑物",IF(结果表!G1="土地","出让国有建设用地使用权",))&amp;B9&amp;"预评估"</f>
        <v>房地产市场价值预评估</v>
      </c>
      <c r="C1" s="3116"/>
      <c r="D1" s="3116"/>
      <c r="E1" s="3116"/>
      <c r="F1" s="3116"/>
      <c r="G1" s="3116"/>
      <c r="H1" s="3116"/>
      <c r="I1" s="311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房地产市场价值</v>
      </c>
    </row>
    <row r="2" spans="1:19" ht="18" customHeight="1">
      <c r="A2" s="2025" t="s">
        <v>1770</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1771</v>
      </c>
      <c r="B3" s="2035">
        <v>43817</v>
      </c>
      <c r="C3" s="2036" t="s">
        <v>1772</v>
      </c>
      <c r="D3" s="2035">
        <v>43817</v>
      </c>
      <c r="E3" s="2025"/>
      <c r="F3" s="2025"/>
      <c r="G3" s="2025"/>
      <c r="H3" s="2025"/>
      <c r="I3" s="2025"/>
      <c r="J3" s="2025"/>
      <c r="K3" s="2026"/>
      <c r="L3" s="2027"/>
      <c r="M3" s="2027"/>
      <c r="N3" s="2028"/>
      <c r="O3" s="2029"/>
      <c r="P3" s="2028"/>
      <c r="Q3" s="2028"/>
      <c r="R3" s="2028"/>
      <c r="S3" s="2030"/>
    </row>
    <row r="4" spans="1:19" ht="18" customHeight="1" thickBot="1">
      <c r="A4" s="2037" t="s">
        <v>1773</v>
      </c>
      <c r="B4" s="2038" t="s">
        <v>3055</v>
      </c>
      <c r="C4" s="1037">
        <f ca="1">SUMIF(注册房地产估价师,B4,估价师及机构信息!B3:B24)</f>
        <v>1119970111</v>
      </c>
      <c r="D4" s="2038" t="s">
        <v>3056</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1774</v>
      </c>
      <c r="B5" s="2952" t="s">
        <v>3057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1775</v>
      </c>
      <c r="B6" s="2953" t="s">
        <v>3058</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1776</v>
      </c>
      <c r="B7" s="2050"/>
      <c r="C7" s="2047"/>
      <c r="D7" s="2048"/>
      <c r="E7" s="2033"/>
      <c r="F7" s="2041"/>
      <c r="G7" s="2041"/>
      <c r="H7" s="2041"/>
      <c r="I7" s="2041"/>
      <c r="J7" s="2041"/>
      <c r="K7" s="2051"/>
      <c r="L7" s="2027"/>
      <c r="M7" s="2027"/>
      <c r="N7" s="2028"/>
      <c r="O7" s="2029"/>
      <c r="P7" s="2028"/>
      <c r="Q7" s="2028"/>
      <c r="R7" s="2028"/>
    </row>
    <row r="8" spans="1:19" ht="18" customHeight="1">
      <c r="A8" s="2046" t="s">
        <v>1777</v>
      </c>
      <c r="B8" s="2052" t="s">
        <v>3059</v>
      </c>
      <c r="C8" s="2053"/>
      <c r="D8" s="3118" t="s">
        <v>1778</v>
      </c>
      <c r="E8" s="2054"/>
      <c r="F8" s="2055"/>
      <c r="G8" s="2025"/>
      <c r="H8" s="2025"/>
      <c r="I8" s="2025"/>
      <c r="J8" s="2041"/>
      <c r="K8" s="2042"/>
      <c r="L8" s="2027"/>
      <c r="M8" s="2027"/>
      <c r="N8" s="2028"/>
      <c r="O8" s="2029"/>
      <c r="P8" s="2028"/>
      <c r="Q8" s="2028"/>
      <c r="R8" s="2028"/>
    </row>
    <row r="9" spans="1:19" ht="18" customHeight="1" thickBot="1">
      <c r="A9" s="2039" t="s">
        <v>1779</v>
      </c>
      <c r="B9" s="2056" t="s">
        <v>3060</v>
      </c>
      <c r="C9" s="2057"/>
      <c r="D9" s="3119"/>
      <c r="E9" s="2056"/>
      <c r="F9" s="2058"/>
      <c r="G9" s="2059"/>
      <c r="H9" s="2059"/>
      <c r="I9" s="2059"/>
      <c r="J9" s="2041"/>
      <c r="K9" s="2051"/>
      <c r="L9" s="2027"/>
      <c r="M9" s="2027"/>
      <c r="N9" s="2028"/>
      <c r="O9" s="2029"/>
      <c r="P9" s="2028"/>
      <c r="Q9" s="2028"/>
      <c r="R9" s="2028"/>
    </row>
    <row r="10" spans="1:19" ht="18" customHeight="1" thickTop="1">
      <c r="A10" s="2060" t="s">
        <v>1780</v>
      </c>
      <c r="B10" s="2061" t="s">
        <v>3061</v>
      </c>
      <c r="C10" s="2062"/>
      <c r="D10" s="2045"/>
      <c r="E10" s="2063" t="s">
        <v>1781</v>
      </c>
      <c r="F10" s="2064"/>
      <c r="G10" s="2065"/>
      <c r="H10" s="2066"/>
      <c r="I10" s="2045"/>
      <c r="J10" s="2041"/>
      <c r="K10" s="2051"/>
      <c r="L10" s="2027"/>
      <c r="M10" s="2027"/>
      <c r="N10" s="2028"/>
      <c r="O10" s="2029"/>
      <c r="P10" s="2028"/>
      <c r="Q10" s="2028"/>
      <c r="R10" s="2028"/>
    </row>
    <row r="11" spans="1:19" ht="18" customHeight="1">
      <c r="A11" s="2067" t="s">
        <v>1782</v>
      </c>
      <c r="B11" s="2068" t="s">
        <v>3062</v>
      </c>
      <c r="C11" s="2069"/>
      <c r="D11" s="2070"/>
      <c r="E11" s="2041"/>
      <c r="F11" s="2041"/>
      <c r="G11" s="2041"/>
      <c r="H11" s="2041"/>
      <c r="I11" s="2041"/>
      <c r="J11" s="2041"/>
      <c r="K11" s="2051"/>
      <c r="L11" s="2027"/>
      <c r="M11" s="2027"/>
      <c r="N11" s="2028"/>
      <c r="O11" s="2029"/>
      <c r="P11" s="2028"/>
      <c r="Q11" s="2028"/>
      <c r="R11" s="2028"/>
    </row>
    <row r="12" spans="1:19" ht="18" customHeight="1">
      <c r="A12" s="2071" t="s">
        <v>1783</v>
      </c>
      <c r="B12" s="2068" t="s">
        <v>3063</v>
      </c>
      <c r="C12" s="2072" t="s">
        <v>1784</v>
      </c>
      <c r="D12" s="2073" t="s">
        <v>1785</v>
      </c>
      <c r="E12" s="2073" t="s">
        <v>1786</v>
      </c>
      <c r="F12" s="2073" t="s">
        <v>1787</v>
      </c>
      <c r="G12" s="2073" t="s">
        <v>1788</v>
      </c>
      <c r="H12" s="2073" t="s">
        <v>1789</v>
      </c>
      <c r="I12" s="2073" t="s">
        <v>1790</v>
      </c>
      <c r="J12" s="2041"/>
      <c r="K12" s="2051"/>
      <c r="L12" s="2027"/>
      <c r="M12" s="2027"/>
      <c r="N12" s="2028"/>
      <c r="O12" s="2029"/>
      <c r="P12" s="2028"/>
      <c r="Q12" s="2028"/>
      <c r="R12" s="2028"/>
    </row>
    <row r="13" spans="1:19" ht="18" customHeight="1">
      <c r="A13" s="2074"/>
      <c r="B13" s="2075"/>
      <c r="C13" s="2076" t="s">
        <v>1791</v>
      </c>
      <c r="D13" s="2077"/>
      <c r="E13" s="2077">
        <v>52273</v>
      </c>
      <c r="F13" s="2077"/>
      <c r="G13" s="2077"/>
      <c r="H13" s="2077"/>
      <c r="I13" s="1047"/>
      <c r="J13" s="2041"/>
      <c r="K13" s="2051"/>
      <c r="L13" s="2027"/>
      <c r="M13" s="2027"/>
      <c r="N13" s="2028"/>
      <c r="O13" s="2029"/>
      <c r="P13" s="2028"/>
      <c r="Q13" s="2028"/>
      <c r="R13" s="2028"/>
    </row>
    <row r="14" spans="1:19" ht="18" customHeight="1">
      <c r="A14" s="2074"/>
      <c r="B14" s="2075"/>
      <c r="C14" s="2076" t="s">
        <v>1792</v>
      </c>
      <c r="D14" s="1050"/>
      <c r="E14" s="1050">
        <v>40</v>
      </c>
      <c r="F14" s="1050"/>
      <c r="G14" s="1050"/>
      <c r="H14" s="1050"/>
      <c r="I14" s="1050"/>
      <c r="J14" s="2041"/>
      <c r="K14" s="2078"/>
      <c r="L14" s="2027"/>
      <c r="M14" s="2027"/>
      <c r="N14" s="2028"/>
      <c r="O14" s="2029"/>
      <c r="P14" s="2028"/>
      <c r="Q14" s="2028"/>
      <c r="R14" s="2028"/>
    </row>
    <row r="15" spans="1:19" ht="18" customHeight="1">
      <c r="A15" s="2060"/>
      <c r="B15" s="2079"/>
      <c r="C15" s="2076" t="s">
        <v>1793</v>
      </c>
      <c r="D15" s="1049" t="str">
        <f>IF(B12="出让",IF(D13="","",ROUNDDOWN(MIN((D13-$D$3)/365,D14),2)),D14)</f>
        <v/>
      </c>
      <c r="E15" s="1049">
        <f>IF(B12="出让",IF(E13="","",ROUNDDOWN(MIN((E13-$D$3)/365,E14),2)),E14)</f>
        <v>23.16</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3" t="s">
        <v>1794</v>
      </c>
      <c r="B16" s="3125"/>
      <c r="C16" s="3126"/>
      <c r="D16" s="3127"/>
      <c r="E16" s="2083" t="s">
        <v>1795</v>
      </c>
      <c r="F16" s="3128"/>
      <c r="G16" s="3129"/>
      <c r="H16" s="3129"/>
      <c r="I16" s="3130"/>
      <c r="J16" s="2028"/>
      <c r="K16" s="2080"/>
      <c r="L16" s="2081"/>
      <c r="M16" s="2081"/>
      <c r="N16" s="2082"/>
      <c r="O16" s="2081"/>
      <c r="P16" s="2082"/>
      <c r="Q16" s="2028"/>
      <c r="R16" s="2028"/>
    </row>
    <row r="17" spans="1:22" ht="18" customHeight="1">
      <c r="A17" s="2084" t="s">
        <v>1796</v>
      </c>
      <c r="B17" s="2034" t="s">
        <v>1797</v>
      </c>
      <c r="C17" s="1054">
        <f>'数据-汇总表'!E3</f>
        <v>2191.33</v>
      </c>
      <c r="D17" s="2085" t="s">
        <v>1798</v>
      </c>
      <c r="E17" s="3131" t="s">
        <v>1799</v>
      </c>
      <c r="F17" s="3132"/>
      <c r="G17" s="3132"/>
      <c r="H17" s="3132"/>
      <c r="I17" s="3133"/>
      <c r="J17" s="2028"/>
      <c r="K17" s="2086"/>
      <c r="L17" s="2081"/>
      <c r="M17" s="2081"/>
      <c r="N17" s="2082"/>
      <c r="O17" s="2081"/>
      <c r="P17" s="2082"/>
      <c r="Q17" s="2028"/>
      <c r="R17" s="2028"/>
      <c r="S17" s="2028"/>
      <c r="T17" s="2028"/>
      <c r="U17" s="2028"/>
      <c r="V17" s="2028"/>
    </row>
    <row r="18" spans="1:22" ht="36" customHeight="1" thickBot="1">
      <c r="A18" s="2087" t="s">
        <v>1800</v>
      </c>
      <c r="B18" s="2037" t="s">
        <v>1801</v>
      </c>
      <c r="C18" s="1444">
        <f>'数据-汇总表'!D3</f>
        <v>16164.6</v>
      </c>
      <c r="D18" s="2088" t="s">
        <v>1798</v>
      </c>
      <c r="E18" s="3134" t="s">
        <v>1802</v>
      </c>
      <c r="F18" s="3135"/>
      <c r="G18" s="3135"/>
      <c r="H18" s="3135"/>
      <c r="I18" s="3136"/>
      <c r="J18" s="2028"/>
      <c r="K18" s="2086"/>
      <c r="L18" s="2081"/>
      <c r="M18" s="2081"/>
      <c r="N18" s="2082"/>
      <c r="O18" s="2081"/>
      <c r="P18" s="2082"/>
      <c r="Q18" s="2028"/>
      <c r="R18" s="2028"/>
      <c r="S18" s="2028"/>
      <c r="T18" s="2028"/>
      <c r="U18" s="2028"/>
      <c r="V18" s="2028"/>
    </row>
    <row r="19" spans="1:22" ht="37.5" customHeight="1" thickTop="1" thickBot="1">
      <c r="A19" s="373" t="s">
        <v>1803</v>
      </c>
      <c r="B19" s="352" t="s">
        <v>1804</v>
      </c>
      <c r="C19" s="2089"/>
      <c r="D19" s="2090" t="s">
        <v>1805</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1806</v>
      </c>
      <c r="B20" s="3121" t="s">
        <v>1807</v>
      </c>
      <c r="C20" s="3122"/>
      <c r="D20" s="3123" t="s">
        <v>1808</v>
      </c>
      <c r="E20" s="3124"/>
      <c r="F20" s="2095" t="s">
        <v>1809</v>
      </c>
      <c r="G20" s="2041"/>
      <c r="H20" s="2041"/>
      <c r="I20" s="2041"/>
      <c r="J20" s="2041"/>
      <c r="K20" s="3120" t="s">
        <v>1810</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1812</v>
      </c>
      <c r="D21" s="2098" t="s">
        <v>1813</v>
      </c>
      <c r="E21" s="2099" t="s">
        <v>1812</v>
      </c>
      <c r="F21" s="2100"/>
      <c r="G21" s="2041"/>
      <c r="H21" s="2041"/>
      <c r="I21" s="2041"/>
      <c r="J21" s="2041"/>
      <c r="K21" s="31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1814</v>
      </c>
      <c r="C22" s="2097" t="s">
        <v>1815</v>
      </c>
      <c r="D22" s="2025"/>
      <c r="E22" s="2025"/>
      <c r="F22" s="2102"/>
      <c r="G22" s="2041"/>
      <c r="H22" s="2041"/>
      <c r="I22" s="2041"/>
      <c r="J22" s="2041"/>
      <c r="K22" s="31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1816</v>
      </c>
      <c r="B23" s="183" t="s">
        <v>1817</v>
      </c>
      <c r="C23" s="2104"/>
      <c r="D23" s="2105" t="s">
        <v>1817</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1818</v>
      </c>
      <c r="C24" s="2109"/>
      <c r="D24" s="2103" t="s">
        <v>1818</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1819</v>
      </c>
      <c r="C25" s="2109"/>
      <c r="D25" s="2103" t="s">
        <v>1819</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1820</v>
      </c>
      <c r="C26" s="2113"/>
      <c r="D26" s="2114" t="s">
        <v>1821</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108" t="s">
        <v>1822</v>
      </c>
      <c r="B27" s="2060" t="s">
        <v>1823</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108"/>
      <c r="B28" s="2034" t="s">
        <v>1824</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108"/>
      <c r="B29" s="2034" t="s">
        <v>1825</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109"/>
      <c r="B30" s="2034" t="s">
        <v>1826</v>
      </c>
      <c r="C30" s="3110"/>
      <c r="D30" s="3111"/>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112" t="s">
        <v>1827</v>
      </c>
      <c r="B31" s="2124"/>
      <c r="C31" s="2125" t="str">
        <f>IF(B31="现房","成新及维护状况正常否",IF(B31="在建","工程状态是否正常",IF(B31="土地","是否闲置","-")))</f>
        <v>-</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113"/>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113"/>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1828</v>
      </c>
      <c r="B34" s="2131"/>
      <c r="C34" s="2131"/>
      <c r="D34" s="2131"/>
      <c r="E34" s="2131"/>
      <c r="F34" s="2131"/>
      <c r="G34" s="2131"/>
      <c r="H34" s="2131"/>
      <c r="I34" s="2041"/>
      <c r="J34" s="2041"/>
      <c r="K34" s="1795">
        <f>COUNTIF(B34:H34,"——")</f>
        <v>0</v>
      </c>
      <c r="L34" s="2072" t="s">
        <v>1829</v>
      </c>
      <c r="M34" s="2072" t="s">
        <v>1830</v>
      </c>
      <c r="N34" s="2072" t="s">
        <v>1831</v>
      </c>
      <c r="O34" s="2072" t="s">
        <v>1832</v>
      </c>
      <c r="P34" s="2072" t="s">
        <v>1833</v>
      </c>
      <c r="Q34" s="2072" t="s">
        <v>1834</v>
      </c>
      <c r="R34" s="2072" t="s">
        <v>1835</v>
      </c>
      <c r="S34" s="3107" t="s">
        <v>1836</v>
      </c>
      <c r="T34" s="2132" t="str">
        <f>NUMBERSTRING(7-K34,1)&amp;"通"</f>
        <v>七通</v>
      </c>
      <c r="U34" s="2028"/>
      <c r="V34" s="2028"/>
    </row>
    <row r="35" spans="1:22" ht="18" customHeight="1">
      <c r="A35" s="2133"/>
      <c r="B35" s="3114" t="s">
        <v>1837</v>
      </c>
      <c r="C35" s="3114"/>
      <c r="D35" s="3114"/>
      <c r="E35" s="3114"/>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7"/>
      <c r="T35" s="48" t="str">
        <f>IF(T34="一通",L35,IF(T34="二通",M35,IF(T34="三通",N35,IF(T34="四通",O35,IF(T34="五通",P35,IF(T34="六通",Q35,R35))))))</f>
        <v>、、、、、、</v>
      </c>
      <c r="U35" s="2028"/>
      <c r="V35" s="2028"/>
    </row>
    <row r="36" spans="1:22" ht="18" customHeight="1">
      <c r="A36" s="2135"/>
      <c r="B36" s="2134" t="s">
        <v>1838</v>
      </c>
      <c r="C36" s="2134" t="s">
        <v>1839</v>
      </c>
      <c r="D36" s="2134" t="s">
        <v>1840</v>
      </c>
      <c r="E36" s="2134" t="s">
        <v>1841</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1842</v>
      </c>
      <c r="B37" s="2138"/>
      <c r="C37" s="2138"/>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1843</v>
      </c>
      <c r="B38" s="2140"/>
      <c r="C38" s="2140"/>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1844</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1845</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1846</v>
      </c>
      <c r="B42" s="1795" t="s">
        <v>1847</v>
      </c>
      <c r="C42" s="1795" t="s">
        <v>1848</v>
      </c>
      <c r="D42" s="1795" t="s">
        <v>1849</v>
      </c>
      <c r="E42" s="1795" t="s">
        <v>1850</v>
      </c>
      <c r="F42" s="1795" t="s">
        <v>1851</v>
      </c>
      <c r="G42" s="1795" t="s">
        <v>1852</v>
      </c>
      <c r="H42" s="1795" t="s">
        <v>1853</v>
      </c>
      <c r="I42" s="1795" t="s">
        <v>1854</v>
      </c>
      <c r="J42" s="2150" t="s">
        <v>1855</v>
      </c>
      <c r="K42" s="2073" t="s">
        <v>1856</v>
      </c>
      <c r="L42" s="2073" t="s">
        <v>1857</v>
      </c>
      <c r="M42" s="2073" t="s">
        <v>1858</v>
      </c>
      <c r="N42" s="1795" t="s">
        <v>1859</v>
      </c>
      <c r="O42" s="1795" t="s">
        <v>1860</v>
      </c>
      <c r="P42" s="1795" t="s">
        <v>1861</v>
      </c>
      <c r="Q42" s="2072" t="s">
        <v>1862</v>
      </c>
      <c r="R42" s="2072" t="s">
        <v>1863</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1864</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1865</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1866</v>
      </c>
      <c r="B2" s="11" t="s">
        <v>1867</v>
      </c>
      <c r="C2" s="11" t="s">
        <v>1868</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1869</v>
      </c>
      <c r="AZ2" s="1270" t="s">
        <v>1870</v>
      </c>
      <c r="BA2" s="11" t="s">
        <v>1871</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16164.6</v>
      </c>
      <c r="B3" s="14">
        <f>IF(C3="否",G5-AT5,G5)</f>
        <v>2191.33</v>
      </c>
      <c r="C3" s="2166" t="s">
        <v>1872</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1873</v>
      </c>
      <c r="B5" s="1803"/>
      <c r="C5" s="1803"/>
      <c r="D5" s="1806"/>
      <c r="E5" s="16" t="s">
        <v>1</v>
      </c>
      <c r="F5" s="16">
        <f>SUM(F13:F587)</f>
        <v>0</v>
      </c>
      <c r="G5" s="16">
        <f>SUM(G13:G587)</f>
        <v>2191.33</v>
      </c>
      <c r="H5" s="16">
        <f t="shared" ref="H5:AT5" si="0">SUM(H13:H656)</f>
        <v>2191.33</v>
      </c>
      <c r="I5" s="16">
        <f t="shared" si="0"/>
        <v>2191.33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2191.33</v>
      </c>
      <c r="BA5" s="18">
        <f t="shared" si="1"/>
        <v>2191.33</v>
      </c>
      <c r="BB5" s="18">
        <f t="shared" si="1"/>
        <v>2191.33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1874</v>
      </c>
      <c r="B6" s="2172"/>
      <c r="C6" s="2172"/>
      <c r="D6" s="2173"/>
      <c r="E6" s="16">
        <f>H6+AC6+AT6</f>
        <v>16164.6</v>
      </c>
      <c r="F6" s="16" t="s">
        <v>1</v>
      </c>
      <c r="G6" s="16" t="s">
        <v>2</v>
      </c>
      <c r="H6" s="20">
        <f>SUMIF(I$12:AB$12,"总值",I6:AB6)</f>
        <v>16164.6</v>
      </c>
      <c r="I6" s="16">
        <f t="shared" ref="I6:AB6" si="2">ROUND($A$3*I5/$B$3,2)</f>
        <v>16164.6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1874</v>
      </c>
      <c r="AW6" s="2172"/>
      <c r="AX6" s="2172"/>
      <c r="AY6" s="21">
        <f>IF(AY3&gt;0,AY3,ROUND($A$3*AZ5/$B$3,2))</f>
        <v>16164.6</v>
      </c>
      <c r="AZ6" s="16" t="s">
        <v>3</v>
      </c>
      <c r="BA6" s="16">
        <f>ROUND($AY$6*BA5/$AZ$5,2)</f>
        <v>16164.6</v>
      </c>
      <c r="BB6" s="16">
        <f>ROUND($AY$6*BB5/$AZ$5,2)</f>
        <v>16164.6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1875</v>
      </c>
      <c r="B7" s="2107" t="s">
        <v>1876</v>
      </c>
      <c r="C7" s="2107" t="s">
        <v>1877</v>
      </c>
      <c r="D7" s="2107" t="s">
        <v>1878</v>
      </c>
      <c r="E7" s="2107" t="s">
        <v>1879</v>
      </c>
      <c r="F7" s="2107" t="s">
        <v>1880</v>
      </c>
      <c r="G7" s="2176" t="s">
        <v>1881</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1882</v>
      </c>
      <c r="AV7" s="23" t="s">
        <v>1883</v>
      </c>
      <c r="AW7" s="2164" t="s">
        <v>1884</v>
      </c>
      <c r="AX7" s="23" t="s">
        <v>1877</v>
      </c>
      <c r="AY7" s="1803" t="s">
        <v>1885</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1886</v>
      </c>
      <c r="H8" s="2182" t="s">
        <v>1887</v>
      </c>
      <c r="I8" s="2183"/>
      <c r="J8" s="1818"/>
      <c r="K8" s="1818"/>
      <c r="L8" s="1818"/>
      <c r="M8" s="1818"/>
      <c r="N8" s="1818"/>
      <c r="O8" s="1818"/>
      <c r="P8" s="1818"/>
      <c r="Q8" s="1818"/>
      <c r="R8" s="1818"/>
      <c r="S8" s="1818"/>
      <c r="T8" s="1818"/>
      <c r="U8" s="1818"/>
      <c r="V8" s="2184"/>
      <c r="W8" s="1818"/>
      <c r="X8" s="1818"/>
      <c r="Y8" s="1818"/>
      <c r="Z8" s="1818"/>
      <c r="AA8" s="2184"/>
      <c r="AB8" s="2185"/>
      <c r="AC8" s="981" t="s">
        <v>1888</v>
      </c>
      <c r="AD8" s="2186"/>
      <c r="AE8" s="2178"/>
      <c r="AF8" s="1818"/>
      <c r="AG8" s="1818"/>
      <c r="AH8" s="1818"/>
      <c r="AI8" s="1818"/>
      <c r="AJ8" s="1818"/>
      <c r="AK8" s="1818"/>
      <c r="AL8" s="1818"/>
      <c r="AM8" s="1818"/>
      <c r="AN8" s="1818"/>
      <c r="AO8" s="1818"/>
      <c r="AP8" s="1818"/>
      <c r="AQ8" s="1818"/>
      <c r="AR8" s="1818"/>
      <c r="AS8" s="1818"/>
      <c r="AT8" s="1292" t="s">
        <v>1889</v>
      </c>
      <c r="AU8" s="2180" t="s">
        <v>1890</v>
      </c>
      <c r="AV8" s="1292"/>
      <c r="AW8" s="2163"/>
      <c r="AX8" s="1292"/>
      <c r="AY8" s="2164"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1893</v>
      </c>
      <c r="I9" s="2189" t="s">
        <v>3065</v>
      </c>
      <c r="J9" s="981"/>
      <c r="K9" s="2189"/>
      <c r="L9" s="981"/>
      <c r="M9" s="2189"/>
      <c r="N9" s="981"/>
      <c r="O9" s="2189"/>
      <c r="P9" s="981"/>
      <c r="Q9" s="2189"/>
      <c r="R9" s="981"/>
      <c r="S9" s="2189"/>
      <c r="T9" s="981"/>
      <c r="U9" s="2189"/>
      <c r="V9" s="981"/>
      <c r="W9" s="2189"/>
      <c r="X9" s="2190"/>
      <c r="Y9" s="2189"/>
      <c r="Z9" s="981"/>
      <c r="AA9" s="2189"/>
      <c r="AB9" s="981"/>
      <c r="AC9" s="2181"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1"/>
      <c r="AT9" s="2180"/>
      <c r="AU9" s="2180" t="s">
        <v>1896</v>
      </c>
      <c r="AV9" s="1292"/>
      <c r="AW9" s="2163"/>
      <c r="AX9" s="1292"/>
      <c r="AY9" s="28"/>
      <c r="AZ9" s="28" t="s">
        <v>1886</v>
      </c>
      <c r="BA9" s="2192" t="s">
        <v>1897</v>
      </c>
      <c r="BB9" s="2193"/>
      <c r="BC9" s="1338"/>
      <c r="BD9" s="1338"/>
      <c r="BE9" s="1338"/>
      <c r="BF9" s="1338"/>
      <c r="BG9" s="1338"/>
      <c r="BH9" s="1338"/>
      <c r="BI9" s="1338"/>
      <c r="BJ9" s="1338"/>
      <c r="BK9" s="2194"/>
      <c r="BL9" s="15" t="s">
        <v>1898</v>
      </c>
      <c r="BM9" s="1818"/>
      <c r="BN9" s="2183"/>
      <c r="BO9" s="1818"/>
      <c r="BP9" s="1818"/>
      <c r="BQ9" s="1818"/>
      <c r="BR9" s="1818"/>
      <c r="BS9" s="1818"/>
      <c r="BT9" s="26"/>
    </row>
    <row r="10" spans="1:72" s="2187" customFormat="1" ht="12.75">
      <c r="A10" s="2180"/>
      <c r="B10" s="2180"/>
      <c r="C10" s="2180"/>
      <c r="D10" s="2180"/>
      <c r="E10" s="2180"/>
      <c r="F10" s="2180"/>
      <c r="G10" s="1292"/>
      <c r="H10" s="28"/>
      <c r="I10" s="2189" t="s">
        <v>1372</v>
      </c>
      <c r="J10" s="981"/>
      <c r="K10" s="2195"/>
      <c r="L10" s="981"/>
      <c r="M10" s="2195"/>
      <c r="N10" s="981"/>
      <c r="O10" s="2195"/>
      <c r="P10" s="981"/>
      <c r="Q10" s="2195"/>
      <c r="R10" s="981"/>
      <c r="S10" s="2195"/>
      <c r="T10" s="981"/>
      <c r="U10" s="2195"/>
      <c r="V10" s="981"/>
      <c r="W10" s="2195"/>
      <c r="X10" s="981"/>
      <c r="Y10" s="2195"/>
      <c r="Z10" s="981"/>
      <c r="AA10" s="2195"/>
      <c r="AB10" s="981"/>
      <c r="AC10" s="1292"/>
      <c r="AD10" s="15" t="s">
        <v>1899</v>
      </c>
      <c r="AE10" s="2196"/>
      <c r="AF10" s="15" t="s">
        <v>1899</v>
      </c>
      <c r="AG10" s="2196"/>
      <c r="AH10" s="15" t="s">
        <v>1900</v>
      </c>
      <c r="AI10" s="2196"/>
      <c r="AJ10" s="15" t="s">
        <v>1900</v>
      </c>
      <c r="AK10" s="2196"/>
      <c r="AL10" s="15" t="s">
        <v>1901</v>
      </c>
      <c r="AM10" s="1298"/>
      <c r="AN10" s="15" t="s">
        <v>1901</v>
      </c>
      <c r="AO10" s="1298"/>
      <c r="AP10" s="15" t="s">
        <v>1902</v>
      </c>
      <c r="AQ10" s="1298"/>
      <c r="AR10" s="15" t="s">
        <v>1902</v>
      </c>
      <c r="AS10" s="1298"/>
      <c r="AT10" s="2180"/>
      <c r="AU10" s="2180"/>
      <c r="AV10" s="1292"/>
      <c r="AW10" s="2163"/>
      <c r="AX10" s="1292"/>
      <c r="AY10" s="28"/>
      <c r="AZ10" s="28"/>
      <c r="BA10" s="2197" t="s">
        <v>1893</v>
      </c>
      <c r="BB10" s="2198" t="str">
        <f>I9</f>
        <v>地上</v>
      </c>
      <c r="BC10" s="29">
        <f>K9</f>
        <v>0</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1903</v>
      </c>
      <c r="AE11" s="1819"/>
      <c r="AF11" s="2202" t="s">
        <v>1903</v>
      </c>
      <c r="AG11" s="1819"/>
      <c r="AH11" s="2202" t="s">
        <v>1904</v>
      </c>
      <c r="AI11" s="2203"/>
      <c r="AJ11" s="2202" t="s">
        <v>1904</v>
      </c>
      <c r="AK11" s="1819"/>
      <c r="AL11" s="1817"/>
      <c r="AM11" s="1819"/>
      <c r="AN11" s="1817"/>
      <c r="AO11" s="1819"/>
      <c r="AP11" s="1817"/>
      <c r="AQ11" s="1819"/>
      <c r="AR11" s="1817"/>
      <c r="AS11" s="1819"/>
      <c r="AT11" s="2163"/>
      <c r="AU11" s="2180"/>
      <c r="AV11" s="1292"/>
      <c r="AW11" s="2163"/>
      <c r="AX11" s="1292"/>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7"/>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5" t="s">
        <v>1906</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3064</v>
      </c>
      <c r="E13" s="16">
        <f>IF($C$3="是",ROUND($A$3*G13/$B$3,2),ROUND($A$3*(G13-AT13)/$B$3,2))</f>
        <v>16164.6</v>
      </c>
      <c r="F13" s="32"/>
      <c r="G13" s="33">
        <f>H13+AC13+AT13</f>
        <v>2191.33</v>
      </c>
      <c r="H13" s="20">
        <f>SUMIF(I$12:AB$12,"总值",I13:AB13)</f>
        <v>2191.33</v>
      </c>
      <c r="I13" s="2212">
        <v>2191.33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16164.6</v>
      </c>
      <c r="AZ13" s="16">
        <f>BA13+BL13</f>
        <v>2191.33</v>
      </c>
      <c r="BA13" s="16">
        <f>SUM(BB13:BK13)</f>
        <v>2191.33</v>
      </c>
      <c r="BB13" s="16">
        <f>IF($D13="是",I13-J13,0)</f>
        <v>2191.33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7" t="s">
        <v>0</v>
      </c>
      <c r="B1" s="3137" t="s">
        <v>4</v>
      </c>
      <c r="C1" s="3137" t="s">
        <v>5</v>
      </c>
      <c r="D1" s="3138" t="s">
        <v>53</v>
      </c>
      <c r="E1" s="3138" t="s">
        <v>54</v>
      </c>
      <c r="F1" s="3138"/>
      <c r="G1" s="3138"/>
      <c r="H1" s="3138"/>
      <c r="I1" s="3138"/>
      <c r="J1" s="3138"/>
      <c r="K1" s="3138"/>
      <c r="L1" s="3138"/>
      <c r="M1" s="3138"/>
    </row>
    <row r="2" spans="1:13" ht="27" customHeight="1">
      <c r="A2" s="3137"/>
      <c r="B2" s="3137"/>
      <c r="C2" s="3137"/>
      <c r="D2" s="3138"/>
      <c r="E2" s="3138" t="s">
        <v>37</v>
      </c>
      <c r="F2" s="3138" t="s">
        <v>38</v>
      </c>
      <c r="G2" s="3138"/>
      <c r="H2" s="3138"/>
      <c r="I2" s="3138"/>
      <c r="J2" s="3138" t="s">
        <v>39</v>
      </c>
      <c r="K2" s="3138"/>
      <c r="L2" s="3138"/>
      <c r="M2" s="3138"/>
    </row>
    <row r="3" spans="1:13" ht="28.5">
      <c r="A3" s="3137"/>
      <c r="B3" s="3137"/>
      <c r="C3" s="3137"/>
      <c r="D3" s="3138"/>
      <c r="E3" s="31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8" t="s">
        <v>55</v>
      </c>
      <c r="B9" s="3138"/>
      <c r="C9" s="31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0" sqref="C3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1932</v>
      </c>
      <c r="B1" s="1392"/>
      <c r="C1" s="1392"/>
      <c r="D1" s="1392"/>
      <c r="E1" s="1392"/>
      <c r="F1" s="1392"/>
      <c r="G1" s="1392"/>
      <c r="H1" s="1392"/>
      <c r="I1" s="1392"/>
      <c r="J1" s="1392"/>
      <c r="K1" s="1392"/>
      <c r="L1" s="1392"/>
      <c r="M1" s="1392"/>
      <c r="N1" s="1392"/>
      <c r="O1" s="1392"/>
      <c r="P1" s="1392"/>
    </row>
    <row r="2" spans="1:16" ht="15">
      <c r="A2" s="3148" t="s">
        <v>1933</v>
      </c>
      <c r="B2" s="3148"/>
      <c r="C2" s="3148"/>
      <c r="D2" s="967" t="s">
        <v>1909</v>
      </c>
      <c r="E2" s="2225" t="s">
        <v>1910</v>
      </c>
      <c r="F2" s="1392"/>
      <c r="G2" s="2226"/>
      <c r="H2" s="2227"/>
      <c r="I2" s="2228" t="s">
        <v>1934</v>
      </c>
      <c r="J2" s="1392"/>
      <c r="K2" s="1392"/>
      <c r="L2" s="1392"/>
      <c r="M2" s="1392"/>
      <c r="N2" s="1427"/>
      <c r="O2" s="1392"/>
      <c r="P2" s="1392"/>
    </row>
    <row r="3" spans="1:16" ht="15.75" thickBot="1">
      <c r="A3" s="3149" t="s">
        <v>1907</v>
      </c>
      <c r="B3" s="3149"/>
      <c r="C3" s="3149"/>
      <c r="D3" s="46">
        <f>'数据-基础表'!AY6</f>
        <v>16164.6</v>
      </c>
      <c r="E3" s="46">
        <f>'数据-基础表'!AZ5</f>
        <v>2191.33</v>
      </c>
      <c r="F3" s="1392"/>
      <c r="G3" s="1399"/>
      <c r="H3" s="1247" t="s">
        <v>1908</v>
      </c>
      <c r="I3" s="55">
        <f>ROUND('数据-基础表'!B3/'数据-基础表'!A3,2)</f>
        <v>0.14000000000000001</v>
      </c>
      <c r="J3" s="1392"/>
      <c r="K3" s="1392"/>
      <c r="L3" s="1392"/>
      <c r="M3" s="1392"/>
      <c r="N3" s="1427"/>
      <c r="O3" s="1392"/>
      <c r="P3" s="1392"/>
    </row>
    <row r="4" spans="1:16" ht="15">
      <c r="A4" s="3150"/>
      <c r="B4" s="3151"/>
      <c r="C4" s="3152"/>
      <c r="D4" s="2229" t="s">
        <v>1909</v>
      </c>
      <c r="E4" s="2230" t="s">
        <v>1910</v>
      </c>
      <c r="F4" s="1392"/>
      <c r="G4" s="2231" t="s">
        <v>1935</v>
      </c>
      <c r="H4" s="1247" t="s">
        <v>1915</v>
      </c>
      <c r="I4" s="55">
        <f>ROUND(SUMIF('数据-基础表'!I9:AS9,"地上",'数据-基础表'!I5:AS5)/'数据-基础表'!A3,2)</f>
        <v>0.14000000000000001</v>
      </c>
      <c r="J4" s="1392"/>
      <c r="K4" s="1392"/>
      <c r="L4" s="1392"/>
      <c r="M4" s="1392"/>
      <c r="N4" s="1427"/>
      <c r="O4" s="1392"/>
      <c r="P4" s="1392"/>
    </row>
    <row r="5" spans="1:16">
      <c r="A5" s="47" t="s">
        <v>1911</v>
      </c>
      <c r="B5" s="3153" t="s">
        <v>1912</v>
      </c>
      <c r="C5" s="3153"/>
      <c r="D5" s="48">
        <f>ROUND($D$3*E5/$E$3,2)</f>
        <v>0</v>
      </c>
      <c r="E5" s="49">
        <f>SUMIF('数据-基础表'!$11:$11,"住宅",'数据-基础表'!$5:$5)</f>
        <v>0</v>
      </c>
      <c r="F5" s="1392"/>
      <c r="G5" s="1399"/>
      <c r="H5" s="1247" t="s">
        <v>1908</v>
      </c>
      <c r="I5" s="55">
        <f>ROUND(E31/D31,2)</f>
        <v>0.14000000000000001</v>
      </c>
      <c r="J5" s="1392"/>
      <c r="K5" s="1392"/>
      <c r="L5" s="1392"/>
      <c r="M5" s="1392"/>
      <c r="N5" s="1392"/>
      <c r="O5" s="1392"/>
      <c r="P5" s="1392"/>
    </row>
    <row r="6" spans="1:16" ht="15" thickBot="1">
      <c r="A6" s="2232"/>
      <c r="B6" s="3153" t="s">
        <v>1913</v>
      </c>
      <c r="C6" s="3153"/>
      <c r="D6" s="48">
        <f>ROUND($D$3*E6/$E$3,2)</f>
        <v>16164.6</v>
      </c>
      <c r="E6" s="49">
        <f>E3-E5</f>
        <v>2191.33</v>
      </c>
      <c r="F6" s="1392"/>
      <c r="G6" s="2233" t="s">
        <v>1914</v>
      </c>
      <c r="H6" s="1399" t="s">
        <v>1915</v>
      </c>
      <c r="I6" s="939">
        <f>ROUND(F31/D31,2)</f>
        <v>0.14000000000000001</v>
      </c>
      <c r="J6" s="1392"/>
      <c r="K6" s="1392"/>
      <c r="L6" s="1392"/>
      <c r="M6" s="1392"/>
      <c r="N6" s="1392"/>
      <c r="O6" s="1392"/>
      <c r="P6" s="1392"/>
    </row>
    <row r="7" spans="1:16" ht="15">
      <c r="A7" s="3145"/>
      <c r="B7" s="3146"/>
      <c r="C7" s="3147"/>
      <c r="D7" s="2229" t="s">
        <v>1909</v>
      </c>
      <c r="E7" s="2234" t="s">
        <v>1916</v>
      </c>
      <c r="F7" s="1392"/>
      <c r="G7" s="2226" t="s">
        <v>1917</v>
      </c>
      <c r="H7" s="64"/>
      <c r="I7" s="420"/>
      <c r="J7" s="1392"/>
      <c r="K7" s="1392"/>
      <c r="L7" s="1392"/>
      <c r="M7" s="1392"/>
      <c r="N7" s="1392"/>
      <c r="O7" s="1392"/>
      <c r="P7" s="1392"/>
    </row>
    <row r="8" spans="1:16">
      <c r="A8" s="47" t="s">
        <v>1918</v>
      </c>
      <c r="B8" s="50" t="s">
        <v>1919</v>
      </c>
      <c r="C8" s="48" t="s">
        <v>1920</v>
      </c>
      <c r="D8" s="48">
        <f t="shared" ref="D8:D15" si="0">ROUND($D$3*E8/$E$3,2)</f>
        <v>16164.6</v>
      </c>
      <c r="E8" s="51">
        <f>SUMIF('数据-基础表'!BB10:BK10,"地上",'数据-基础表'!BB5:BK5)</f>
        <v>2191.33</v>
      </c>
      <c r="F8" s="1392"/>
      <c r="G8" s="2235"/>
      <c r="H8" s="2235"/>
      <c r="I8" s="1392"/>
      <c r="J8" s="1392"/>
      <c r="K8" s="1392"/>
      <c r="L8" s="1392"/>
      <c r="M8" s="1392"/>
      <c r="N8" s="1392"/>
      <c r="O8" s="1392"/>
      <c r="P8" s="1392"/>
    </row>
    <row r="9" spans="1:16">
      <c r="A9" s="2236"/>
      <c r="B9" s="2237"/>
      <c r="C9" s="48" t="s">
        <v>1921</v>
      </c>
      <c r="D9" s="48">
        <f t="shared" si="0"/>
        <v>0</v>
      </c>
      <c r="E9" s="52">
        <v>0</v>
      </c>
      <c r="F9" s="1392"/>
      <c r="G9" s="2235"/>
      <c r="H9" s="2235"/>
      <c r="I9" s="1392"/>
      <c r="J9" s="1392"/>
      <c r="K9" s="1392"/>
      <c r="L9" s="1392"/>
      <c r="M9" s="1392"/>
      <c r="N9" s="1392"/>
      <c r="O9" s="1392"/>
      <c r="P9" s="1392"/>
    </row>
    <row r="10" spans="1:16">
      <c r="A10" s="2236"/>
      <c r="B10" s="2237"/>
      <c r="C10" s="48" t="s">
        <v>1930</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1922</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1923</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1924</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1936</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1931</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1925</v>
      </c>
      <c r="D16" s="50">
        <f>SUM(D8:D15)</f>
        <v>16164.6</v>
      </c>
      <c r="E16" s="53">
        <f>SUM(E8:E15)</f>
        <v>2191.33</v>
      </c>
      <c r="F16" s="1392"/>
      <c r="G16" s="2235"/>
      <c r="H16" s="2238" t="s">
        <v>1937</v>
      </c>
      <c r="I16" s="2239"/>
      <c r="J16" s="1392"/>
      <c r="K16" s="3142" t="s">
        <v>1937</v>
      </c>
      <c r="L16" s="3143"/>
      <c r="M16" s="3143"/>
      <c r="N16" s="3143"/>
      <c r="O16" s="3143"/>
      <c r="P16" s="3144"/>
    </row>
    <row r="17" spans="1:19" ht="15">
      <c r="A17" s="2240" t="s">
        <v>1938</v>
      </c>
      <c r="B17" s="2241" t="s">
        <v>1939</v>
      </c>
      <c r="C17" s="2242" t="s">
        <v>1940</v>
      </c>
      <c r="D17" s="2243" t="s">
        <v>1928</v>
      </c>
      <c r="E17" s="2244" t="s">
        <v>1929</v>
      </c>
      <c r="F17" s="2245"/>
      <c r="G17" s="2246"/>
      <c r="H17" s="2247" t="s">
        <v>1941</v>
      </c>
      <c r="I17" s="2248" t="s">
        <v>1926</v>
      </c>
      <c r="J17" s="1392"/>
      <c r="K17" s="3139" t="s">
        <v>1942</v>
      </c>
      <c r="L17" s="3140"/>
      <c r="M17" s="3141"/>
      <c r="N17" s="3139" t="s">
        <v>1943</v>
      </c>
      <c r="O17" s="3140"/>
      <c r="P17" s="3141"/>
      <c r="R17" s="2226" t="s">
        <v>1944</v>
      </c>
      <c r="S17" s="64"/>
    </row>
    <row r="18" spans="1:19" ht="15">
      <c r="A18" s="2236"/>
      <c r="B18" s="2249"/>
      <c r="C18" s="2250"/>
      <c r="D18" s="2251"/>
      <c r="E18" s="2252" t="s">
        <v>1945</v>
      </c>
      <c r="F18" s="2253" t="s">
        <v>1946</v>
      </c>
      <c r="G18" s="2254" t="s">
        <v>1947</v>
      </c>
      <c r="H18" s="1262" t="s">
        <v>1948</v>
      </c>
      <c r="I18" s="2255" t="s">
        <v>1949</v>
      </c>
      <c r="J18" s="1392"/>
      <c r="K18" s="1262" t="s">
        <v>1950</v>
      </c>
      <c r="L18" s="2256" t="s">
        <v>1951</v>
      </c>
      <c r="M18" s="1046" t="s">
        <v>1952</v>
      </c>
      <c r="N18" s="1262" t="s">
        <v>1950</v>
      </c>
      <c r="O18" s="2256" t="s">
        <v>1951</v>
      </c>
      <c r="P18" s="1046" t="s">
        <v>1952</v>
      </c>
      <c r="R18" s="1247" t="s">
        <v>1953</v>
      </c>
      <c r="S18" s="1247" t="s">
        <v>1954</v>
      </c>
    </row>
    <row r="19" spans="1:19">
      <c r="A19" s="2257"/>
      <c r="B19" s="50" t="s">
        <v>1927</v>
      </c>
      <c r="C19" s="2954" t="s">
        <v>3066</v>
      </c>
      <c r="D19" s="48">
        <f>ROUND($D$3*E19/$E$3,2)</f>
        <v>16164.6</v>
      </c>
      <c r="E19" s="56">
        <f t="shared" ref="E19:E26" si="1">SUM(F19:G19)</f>
        <v>2191.33</v>
      </c>
      <c r="F19" s="57">
        <f>'数据-基础表'!I13</f>
        <v>2191.33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16164.6</v>
      </c>
      <c r="S19" s="1248">
        <f t="shared" si="5"/>
        <v>2191.33</v>
      </c>
    </row>
    <row r="20" spans="1:19">
      <c r="A20" s="2261"/>
      <c r="B20" s="50" t="s">
        <v>1955</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1955</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16164.6</v>
      </c>
      <c r="E27" s="1394">
        <f>IF(SUM(E19:E26)='数据-基础表'!BA5,SUM(E19:E26),IF(F27="地上面积有误","面积有误","地下面积有误"))</f>
        <v>2191.33</v>
      </c>
      <c r="F27" s="1393">
        <f>IF(SUM(F19:F26)=E8,SUM(F19:F26),"地上面积有误")</f>
        <v>2191.33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16164.6</v>
      </c>
      <c r="S27" s="1247">
        <f>IF(SUM(S19:S26)=$E$3,SUM(S19:S26),SUM(S19:S26)&amp;"误差"&amp;ROUND(SUM(S19:S26)-E3,2))</f>
        <v>2191.33</v>
      </c>
    </row>
    <row r="28" spans="1:19">
      <c r="A28" s="2261"/>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1960</v>
      </c>
      <c r="D31" s="729">
        <f>D27+D30</f>
        <v>16164.6</v>
      </c>
      <c r="E31" s="729">
        <f>E27+E30</f>
        <v>2191.33</v>
      </c>
      <c r="F31" s="730">
        <f>F27+F30</f>
        <v>2191.33</v>
      </c>
      <c r="G31" s="731">
        <f>G27+G30</f>
        <v>0</v>
      </c>
      <c r="H31" s="1392"/>
      <c r="I31" s="1392"/>
      <c r="J31" s="1392"/>
      <c r="K31" s="1392"/>
      <c r="L31" s="1392"/>
      <c r="M31" s="1392"/>
      <c r="N31" s="1392"/>
      <c r="O31" s="1392"/>
      <c r="P31" s="1392"/>
    </row>
    <row r="32" spans="1:19">
      <c r="A32" s="2231"/>
      <c r="B32" s="2231" t="s">
        <v>1961</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D7" sqref="AD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1963</v>
      </c>
      <c r="B2" s="1266">
        <f>项目基本情况!D3</f>
        <v>43817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2" t="s">
        <v>1968</v>
      </c>
      <c r="AA4" s="2242"/>
      <c r="AB4" s="2242"/>
      <c r="AC4" s="2242"/>
      <c r="AD4" s="2242"/>
      <c r="AE4" s="2240" t="s">
        <v>1969</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3067</v>
      </c>
      <c r="O5" s="2294" t="s">
        <v>1983</v>
      </c>
      <c r="P5" s="2297" t="s">
        <v>1984</v>
      </c>
      <c r="Q5" s="69" t="s">
        <v>1985</v>
      </c>
      <c r="R5" s="2298" t="s">
        <v>1986</v>
      </c>
      <c r="S5" s="2299" t="s">
        <v>1987</v>
      </c>
      <c r="T5" s="2300" t="s">
        <v>1988</v>
      </c>
      <c r="U5" s="1267" t="s">
        <v>1989</v>
      </c>
      <c r="V5" s="1268" t="s">
        <v>1990</v>
      </c>
      <c r="W5" s="1268" t="s">
        <v>1991</v>
      </c>
      <c r="X5" s="71"/>
      <c r="Y5" s="70" t="s">
        <v>1992</v>
      </c>
      <c r="Z5" s="2301" t="s">
        <v>1989</v>
      </c>
      <c r="AA5" s="1268" t="s">
        <v>1990</v>
      </c>
      <c r="AB5" s="1268" t="s">
        <v>1991</v>
      </c>
      <c r="AC5" s="71"/>
      <c r="AD5" s="71" t="s">
        <v>1992</v>
      </c>
      <c r="AE5" s="1267" t="s">
        <v>1993</v>
      </c>
      <c r="AF5" s="1268" t="s">
        <v>1994</v>
      </c>
      <c r="AG5" s="70" t="s">
        <v>1995</v>
      </c>
      <c r="AH5" s="1267" t="s">
        <v>1996</v>
      </c>
      <c r="AI5" s="2301" t="s">
        <v>1997</v>
      </c>
      <c r="AJ5" s="2301" t="s">
        <v>1998</v>
      </c>
      <c r="AK5" s="1268" t="s">
        <v>1999</v>
      </c>
      <c r="AL5" s="1268" t="s">
        <v>2000</v>
      </c>
      <c r="AM5" s="70" t="s">
        <v>2001</v>
      </c>
      <c r="AN5" s="2302" t="s">
        <v>2002</v>
      </c>
      <c r="AO5" s="2072" t="s">
        <v>2003</v>
      </c>
      <c r="AP5" s="1249" t="s">
        <v>2004</v>
      </c>
      <c r="AQ5" s="2303" t="s">
        <v>2005</v>
      </c>
      <c r="AR5" s="2303" t="s">
        <v>2006</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商业</v>
      </c>
      <c r="B6" s="2305" t="str">
        <f>IF(A6=0,"","经营性")</f>
        <v>经营性</v>
      </c>
      <c r="C6" s="2306" t="s">
        <v>1372</v>
      </c>
      <c r="D6" s="1051">
        <f>SUMIF(项目基本情况!D$12:I$12,C6,项目基本情况!D$14:I$14)</f>
        <v>40</v>
      </c>
      <c r="E6" s="1048">
        <f>IF(B6="","",SUMIF(项目基本情况!D$12:I$12,C6,项目基本情况!D$13:I$13))</f>
        <v>52273</v>
      </c>
      <c r="F6" s="72">
        <f>SUMIF(项目基本情况!D$12:I$12,C6,项目基本情况!D$15:I$15)</f>
        <v>23.16</v>
      </c>
      <c r="G6" s="73">
        <f>IF(ISERROR(ROUND(POWER(1+H6,D6-F6)*(POWER(1+H6,F6)-1)/(POWER(1+H6,D6)-1),3)),0,ROUND(POWER(1+H6,D6-F6)*(POWER(1+H6,F6)-1)/(POWER(1+H6,D6)-1),3))</f>
        <v>0.77200000000000002</v>
      </c>
      <c r="H6" s="802">
        <v>4.4999999999999998E-2</v>
      </c>
      <c r="I6" s="802">
        <v>0.05</v>
      </c>
      <c r="J6" s="74">
        <v>8.5000000000000006E-2</v>
      </c>
      <c r="K6" s="1251">
        <f>SUMIF('数据-汇总表'!C$19:C$33,A6,'数据-汇总表'!E$19:E$33)</f>
        <v>2191.33</v>
      </c>
      <c r="L6" s="803">
        <v>2600</v>
      </c>
      <c r="M6" s="75">
        <f t="shared" ref="M6:M14" si="0">ROUND(K6*L6/10000,0)</f>
        <v>570</v>
      </c>
      <c r="N6" s="801">
        <v>0.72</v>
      </c>
      <c r="O6" s="75" t="str">
        <f>IF($N$5="成新度","——",ROUND(M6*N6,0))</f>
        <v>——</v>
      </c>
      <c r="P6" s="76" t="str">
        <f>IF($N$5="成新度","——",M6-O6)</f>
        <v>——</v>
      </c>
      <c r="Q6" s="804">
        <v>0.15</v>
      </c>
      <c r="R6" s="77">
        <f ca="1">SUMIF('数据-汇总表'!C$19:C$33,A6,'数据-汇总表'!R$19:R$27)</f>
        <v>16164.6</v>
      </c>
      <c r="S6" s="54">
        <f>IF('数据-汇总表'!$I$17="按面积比例",SUMIF('数据-汇总表'!C$19:C$33,A6,'数据-汇总表'!K$19:K$33),SUMIF('数据-汇总表'!C$19:C$33,A6,'数据-汇总表'!N$19:N$33))</f>
        <v>0</v>
      </c>
      <c r="T6" s="1443">
        <f>ROUND($L$14*S6/10000,0)</f>
        <v>0</v>
      </c>
      <c r="U6" s="78">
        <v>0.28000000000000003</v>
      </c>
      <c r="V6" s="79">
        <v>0</v>
      </c>
      <c r="W6" s="79">
        <v>0</v>
      </c>
      <c r="X6" s="1261"/>
      <c r="Y6" s="80">
        <v>0.72</v>
      </c>
      <c r="Z6" s="81">
        <v>2.1</v>
      </c>
      <c r="AA6" s="74">
        <v>0.02</v>
      </c>
      <c r="AB6" s="74">
        <v>0.1</v>
      </c>
      <c r="AC6" s="1261"/>
      <c r="AD6" s="82">
        <v>0.65</v>
      </c>
      <c r="AE6" s="3048">
        <f>F6</f>
        <v>23.16</v>
      </c>
      <c r="AF6" s="1804">
        <v>11.03</v>
      </c>
      <c r="AG6" s="147">
        <f>IF(AF6="",0,AE6-AF6)</f>
        <v>12.13</v>
      </c>
      <c r="AH6" s="83">
        <f>'数据-汇总表'!E6</f>
        <v>2191.33</v>
      </c>
      <c r="AI6" s="85">
        <v>365</v>
      </c>
      <c r="AJ6" s="86"/>
      <c r="AK6" s="87">
        <v>0.01</v>
      </c>
      <c r="AL6" s="88">
        <v>2E-3</v>
      </c>
      <c r="AM6" s="89">
        <v>1.4999999999999999E-2</v>
      </c>
      <c r="AN6" s="2307" t="s">
        <v>3068</v>
      </c>
      <c r="AO6" s="55">
        <f ca="1">SUMIF(INDIRECT("'"&amp;AN6&amp;"'"&amp;"!A:A"),"总价",INDIRECT("'"&amp;AN6&amp;"'"&amp;"!B:B"))</f>
        <v>782</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2007</v>
      </c>
      <c r="B14" s="2305" t="s">
        <v>2008</v>
      </c>
      <c r="C14" s="2310"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2009</v>
      </c>
      <c r="B15" s="2305" t="s">
        <v>2008</v>
      </c>
      <c r="C15" s="2310"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2011</v>
      </c>
      <c r="B16" s="97"/>
      <c r="C16" s="1005"/>
      <c r="D16" s="2312"/>
      <c r="E16" s="97"/>
      <c r="F16" s="97"/>
      <c r="G16" s="98">
        <f>ROUND(SUMPRODUCT(G6:G13,K6:K13)/SUMPRODUCT((G6:G13&gt;0)*(K6:K13)),3)</f>
        <v>0.77200000000000002</v>
      </c>
      <c r="H16" s="99">
        <f>ROUND(SUMPRODUCT(H6:H13,K6:K13)/SUMPRODUCT((H6:H13&gt;0)*(K6:K13)),3)</f>
        <v>4.4999999999999998E-2</v>
      </c>
      <c r="I16" s="100"/>
      <c r="J16" s="100"/>
      <c r="K16" s="101">
        <f>SUM(K6:K15)</f>
        <v>2191.33</v>
      </c>
      <c r="L16" s="102">
        <f>ROUND(M16*10000/SUM(K6:K14),0)</f>
        <v>2601</v>
      </c>
      <c r="M16" s="102">
        <f>SUM(M6:M14)</f>
        <v>570</v>
      </c>
      <c r="N16" s="103">
        <f>ROUND(SUMPRODUCT(M6:M14,N6:N14)/M16,3)</f>
        <v>0.72</v>
      </c>
      <c r="O16" s="102">
        <f>SUM(O6:O14)</f>
        <v>0</v>
      </c>
      <c r="P16" s="102">
        <f>SUM(P6:P14)</f>
        <v>0</v>
      </c>
      <c r="Q16" s="104">
        <f>ROUND(SUMPRODUCT(Q6:Q13,K6:K13)/SUMPRODUCT((Q6:Q13&gt;0)*(K6:K13)),2)</f>
        <v>0.15</v>
      </c>
      <c r="R16" s="1255">
        <f ca="1">SUM(R6:R13)</f>
        <v>16164.6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2013</v>
      </c>
      <c r="B19" s="112">
        <v>0</v>
      </c>
      <c r="C19" s="2275" t="s">
        <v>2014</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2015</v>
      </c>
      <c r="B20" s="113">
        <v>0.5</v>
      </c>
      <c r="C20" s="2275" t="s">
        <v>2016</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2017</v>
      </c>
      <c r="B21" s="113">
        <v>0.5</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2018</v>
      </c>
      <c r="B22" s="114">
        <f>B19+B20</f>
        <v>0.5</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2019</v>
      </c>
      <c r="B23" s="114">
        <f>B19+B21</f>
        <v>0.5</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2020</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2021</v>
      </c>
      <c r="B26" s="2318" t="s">
        <v>2022</v>
      </c>
      <c r="C26" s="2319" t="s">
        <v>2023</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2024</v>
      </c>
      <c r="B27" s="116"/>
      <c r="C27" s="1764" t="s">
        <v>2025</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2026</v>
      </c>
      <c r="B28" s="119">
        <v>160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2027</v>
      </c>
      <c r="B29" s="121"/>
      <c r="C29" s="1764" t="s">
        <v>2028</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2029</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2030</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2031</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2032</v>
      </c>
      <c r="B33" s="726">
        <v>0.03</v>
      </c>
      <c r="C33" s="1763" t="s">
        <v>2033</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2034</v>
      </c>
      <c r="B34" s="122">
        <v>0.1</v>
      </c>
      <c r="C34" s="1763" t="s">
        <v>2035</v>
      </c>
      <c r="D34" s="2276" t="s">
        <v>2036</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2037</v>
      </c>
      <c r="B35" s="119">
        <v>200</v>
      </c>
      <c r="C35" s="1763" t="s">
        <v>2038</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2039</v>
      </c>
      <c r="B36" s="123">
        <v>1.4999999999999999E-2</v>
      </c>
      <c r="C36" s="1763" t="s">
        <v>2040</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2041</v>
      </c>
      <c r="B37" s="124">
        <v>0.02</v>
      </c>
      <c r="C37" s="1763" t="s">
        <v>2042</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2043</v>
      </c>
      <c r="B38" s="122">
        <v>0.02</v>
      </c>
      <c r="C38" s="1763" t="s">
        <v>2042</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2044</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2045</v>
      </c>
      <c r="B40" s="1300">
        <f ca="1">存贷款利率!G1</f>
        <v>4.3499999999999997E-2</v>
      </c>
      <c r="C40" s="1763" t="s">
        <v>2046</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2047</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2048</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2049</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2050</v>
      </c>
      <c r="B44" s="128">
        <v>0.05</v>
      </c>
      <c r="C44" s="1763" t="s">
        <v>2051</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2052</v>
      </c>
      <c r="B45" s="126">
        <v>0.03</v>
      </c>
      <c r="C45" s="1764" t="s">
        <v>2053</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2054</v>
      </c>
      <c r="B46" s="126">
        <v>0.02</v>
      </c>
      <c r="C46" s="1764" t="s">
        <v>2055</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2056</v>
      </c>
      <c r="B47" s="129"/>
      <c r="C47" s="1764" t="s">
        <v>2057</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2058</v>
      </c>
      <c r="B48" s="130">
        <v>0.03</v>
      </c>
      <c r="C48" s="1771" t="s">
        <v>2059</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2060</v>
      </c>
      <c r="B49" s="126">
        <v>5.0000000000000001E-4</v>
      </c>
      <c r="C49" s="1771" t="s">
        <v>2061</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2062</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2063</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2064</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2065</v>
      </c>
      <c r="B53" s="2334" t="s">
        <v>56</v>
      </c>
      <c r="C53" s="1427" t="s">
        <v>2066</v>
      </c>
      <c r="D53" s="2335" t="s">
        <v>2067</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2068</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2069</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2070</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2071</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2072</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2073</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2074</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2075</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2076</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2077</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54" t="s">
        <v>2078</v>
      </c>
      <c r="B1" s="3155"/>
      <c r="C1" s="3155"/>
      <c r="D1" s="3155"/>
      <c r="E1" s="3155"/>
      <c r="F1" s="3155"/>
      <c r="G1" s="315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5"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5" t="s">
        <v>2090</v>
      </c>
      <c r="C5" s="2371" t="s">
        <v>2091</v>
      </c>
      <c r="D5" s="2368"/>
      <c r="E5" s="2372"/>
      <c r="F5" s="1795" t="s">
        <v>2092</v>
      </c>
      <c r="G5" s="2373" t="s">
        <v>2093</v>
      </c>
      <c r="H5" s="2365"/>
      <c r="I5" s="2365"/>
      <c r="J5" s="2365"/>
      <c r="K5" s="2365"/>
      <c r="L5" s="2365"/>
      <c r="M5" s="2365"/>
      <c r="N5" s="2365"/>
      <c r="O5" s="2365"/>
      <c r="P5" s="2365"/>
      <c r="Q5" s="2365"/>
      <c r="R5" s="2365"/>
    </row>
    <row r="6" spans="1:29" ht="54">
      <c r="A6" s="431"/>
      <c r="B6" s="1795" t="s">
        <v>2094</v>
      </c>
      <c r="C6" s="2373" t="s">
        <v>2089</v>
      </c>
      <c r="D6" s="2368"/>
      <c r="E6" s="2372"/>
      <c r="F6" s="1795" t="s">
        <v>2095</v>
      </c>
      <c r="G6" s="2373" t="s">
        <v>2096</v>
      </c>
      <c r="H6" s="2365"/>
      <c r="I6" s="2365"/>
      <c r="J6" s="2365"/>
      <c r="K6" s="2365"/>
      <c r="L6" s="2365"/>
      <c r="M6" s="2365"/>
      <c r="N6" s="2365"/>
      <c r="O6" s="2365"/>
      <c r="P6" s="2365"/>
      <c r="Q6" s="2365"/>
      <c r="R6" s="2365"/>
    </row>
    <row r="7" spans="1:29" ht="41.25" thickBot="1">
      <c r="A7" s="431"/>
      <c r="B7" s="1795"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5" t="s">
        <v>2095</v>
      </c>
      <c r="C8" s="2373" t="s">
        <v>2096</v>
      </c>
      <c r="D8" s="2374"/>
      <c r="E8" s="2374"/>
      <c r="F8" s="1133"/>
      <c r="G8" s="1133"/>
      <c r="H8" s="2365"/>
      <c r="I8" s="2365"/>
      <c r="J8" s="2365"/>
      <c r="K8" s="2365"/>
      <c r="L8" s="2365"/>
      <c r="M8" s="2365"/>
      <c r="N8" s="2365"/>
      <c r="O8" s="2365"/>
      <c r="P8" s="2365"/>
      <c r="Q8" s="2365"/>
      <c r="R8" s="2365"/>
    </row>
    <row r="9" spans="1:29" ht="27">
      <c r="A9" s="431"/>
      <c r="B9" s="1795" t="s">
        <v>2099</v>
      </c>
      <c r="C9" s="2371" t="s">
        <v>2100</v>
      </c>
      <c r="D9" s="2368"/>
      <c r="E9" s="2374"/>
      <c r="F9" s="1133"/>
      <c r="G9" s="1133"/>
      <c r="H9" s="2365"/>
      <c r="I9" s="2365"/>
      <c r="J9" s="2365"/>
      <c r="K9" s="2365"/>
      <c r="L9" s="2365"/>
      <c r="M9" s="2365"/>
      <c r="N9" s="2365"/>
      <c r="O9" s="2365"/>
      <c r="P9" s="2365"/>
      <c r="Q9" s="2365"/>
      <c r="R9" s="2365"/>
    </row>
    <row r="10" spans="1:29" s="117" customFormat="1" ht="15.7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9"/>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9"/>
      <c r="D19" s="2368"/>
      <c r="E19" s="2404"/>
      <c r="F19" s="1795"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5" t="s">
        <v>2111</v>
      </c>
      <c r="G20" s="136" t="str">
        <f>G6</f>
        <v>估价对象所在区域基础设施水平</v>
      </c>
    </row>
    <row r="21" spans="1:18" ht="28.5">
      <c r="A21" s="645"/>
      <c r="B21" s="1795" t="s">
        <v>2092</v>
      </c>
      <c r="C21" s="136" t="str">
        <f>C7</f>
        <v>估价对象所在区域公共配套设施齐备情况</v>
      </c>
      <c r="D21" s="2368"/>
      <c r="E21" s="2404"/>
      <c r="F21" s="2405" t="s">
        <v>2112</v>
      </c>
      <c r="G21" s="2406"/>
    </row>
    <row r="22" spans="1:18" ht="13.5" customHeight="1">
      <c r="A22" s="645"/>
      <c r="B22" s="1795" t="s">
        <v>2095</v>
      </c>
      <c r="C22" s="136" t="str">
        <f>C8</f>
        <v>估价对象所在区域基础设施水平</v>
      </c>
      <c r="D22" s="2368"/>
      <c r="E22" s="2404"/>
      <c r="F22" s="2405" t="s">
        <v>2101</v>
      </c>
      <c r="G22" s="1569"/>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workbookViewId="0">
      <selection activeCell="C18" sqref="C18"/>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2191.33</v>
      </c>
      <c r="C1" s="1742"/>
      <c r="D1" s="1742"/>
      <c r="E1" s="1742"/>
      <c r="F1" s="1742"/>
      <c r="G1" s="1740"/>
    </row>
    <row r="2" spans="1:10" ht="16.5">
      <c r="A2" s="1743" t="s">
        <v>1348</v>
      </c>
      <c r="B2" s="1743">
        <f>SUM(C14:C23)</f>
        <v>16164.6</v>
      </c>
      <c r="C2" s="1742"/>
      <c r="D2" s="1742"/>
      <c r="E2" s="1742"/>
      <c r="F2" s="1742"/>
      <c r="G2" s="1740"/>
    </row>
    <row r="3" spans="1:10" ht="16.5">
      <c r="A3" s="1743" t="s">
        <v>1357</v>
      </c>
      <c r="B3" s="1744">
        <f>项目基本情况!D3</f>
        <v>43817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2030</v>
      </c>
      <c r="C5" s="1743">
        <f ca="1">ROUND(B5*10000/$B$1,0)</f>
        <v>9264</v>
      </c>
      <c r="D5" s="1743">
        <f ca="1">ROUND(B5*10000/$B$2,0)</f>
        <v>1256</v>
      </c>
      <c r="E5" s="1742"/>
      <c r="F5" s="1740"/>
      <c r="G5" s="1740"/>
    </row>
    <row r="6" spans="1:10" ht="16.5">
      <c r="A6" s="1743" t="s">
        <v>1351</v>
      </c>
      <c r="B6" s="1743">
        <f ca="1">SUM(G14:G23)</f>
        <v>2030</v>
      </c>
      <c r="C6" s="1743">
        <f ca="1">ROUND(B6*10000/$B$1,0)</f>
        <v>9264</v>
      </c>
      <c r="D6" s="1743">
        <f ca="1">ROUND(B6*10000/$B$2,0)</f>
        <v>1256</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2191.33</v>
      </c>
      <c r="C14" s="1741">
        <f>结果表!C118</f>
        <v>16164.6</v>
      </c>
      <c r="D14" s="1741">
        <f ca="1">结果表!H118</f>
        <v>2030</v>
      </c>
      <c r="E14" s="1741">
        <f ca="1">ROUND(D14*10000/B14,0)</f>
        <v>9264</v>
      </c>
      <c r="F14" s="1741">
        <f ca="1">ROUND(D14*10000/C14,0)</f>
        <v>1256</v>
      </c>
      <c r="G14" s="1741">
        <f ca="1">结果表!D122</f>
        <v>2030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3" t="s">
        <v>2115</v>
      </c>
      <c r="B1" s="2416"/>
      <c r="C1" s="2417" t="s">
        <v>1372</v>
      </c>
      <c r="D1" s="2416"/>
      <c r="E1" s="2416"/>
      <c r="F1" s="2418" t="s">
        <v>2116</v>
      </c>
      <c r="G1" s="2068" t="s">
        <v>3240</v>
      </c>
      <c r="H1" s="2419" t="str">
        <f>IF(G1="现房","——","估价对象范围")</f>
        <v>——</v>
      </c>
      <c r="I1" s="2420" t="s">
        <v>3241</v>
      </c>
    </row>
    <row r="2" spans="1:12" ht="21.75" customHeight="1" thickBot="1">
      <c r="A2" s="3189" t="str">
        <f>项目基本情况!S2</f>
        <v>房地产</v>
      </c>
      <c r="B2" s="3190"/>
      <c r="C2" s="3190"/>
      <c r="D2" s="3190"/>
      <c r="E2" s="3190"/>
      <c r="F2" s="3190"/>
      <c r="G2" s="3190"/>
      <c r="H2" s="3190"/>
      <c r="I2" s="3191"/>
    </row>
    <row r="3" spans="1:12" ht="12.75">
      <c r="A3" s="3193" t="s">
        <v>2117</v>
      </c>
      <c r="B3" s="3194"/>
      <c r="C3" s="3194"/>
      <c r="D3" s="3194"/>
      <c r="E3" s="3194"/>
      <c r="F3" s="3194"/>
      <c r="G3" s="3194"/>
      <c r="H3" s="3194"/>
      <c r="I3" s="3194"/>
    </row>
    <row r="4" spans="1:12" ht="14.25">
      <c r="A4" s="2423" t="s">
        <v>2118</v>
      </c>
      <c r="B4" s="2424" t="s">
        <v>2119</v>
      </c>
      <c r="C4" s="2425" t="s">
        <v>3068</v>
      </c>
      <c r="D4" s="2425" t="s">
        <v>3246</v>
      </c>
      <c r="E4" s="3186" t="s">
        <v>2120</v>
      </c>
      <c r="F4" s="3187"/>
      <c r="G4" s="3187"/>
      <c r="H4" s="3187"/>
      <c r="I4" s="3195"/>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69" t="s">
        <v>2121</v>
      </c>
      <c r="B5" s="3107">
        <v>25</v>
      </c>
      <c r="C5" s="3172">
        <v>30</v>
      </c>
      <c r="D5" s="3192">
        <f>100-C5</f>
        <v>70</v>
      </c>
      <c r="E5" s="140" t="s">
        <v>2122</v>
      </c>
      <c r="F5" s="2427"/>
      <c r="G5" s="2427"/>
      <c r="H5" s="2427"/>
      <c r="I5" s="1831"/>
    </row>
    <row r="6" spans="1:12" ht="12.75">
      <c r="A6" s="3169"/>
      <c r="B6" s="3107"/>
      <c r="C6" s="3173"/>
      <c r="D6" s="3192"/>
      <c r="E6" s="140" t="s">
        <v>2123</v>
      </c>
      <c r="F6" s="2427"/>
      <c r="G6" s="2427"/>
      <c r="H6" s="2427"/>
      <c r="I6" s="1831"/>
    </row>
    <row r="7" spans="1:12" ht="12.75">
      <c r="A7" s="3169"/>
      <c r="B7" s="3107"/>
      <c r="C7" s="3174"/>
      <c r="D7" s="3192"/>
      <c r="E7" s="140" t="s">
        <v>2124</v>
      </c>
      <c r="F7" s="2427"/>
      <c r="G7" s="2427"/>
      <c r="H7" s="2427"/>
      <c r="I7" s="1831"/>
    </row>
    <row r="8" spans="1:12" ht="12.75">
      <c r="A8" s="3169" t="s">
        <v>2125</v>
      </c>
      <c r="B8" s="3107">
        <v>15</v>
      </c>
      <c r="C8" s="3172"/>
      <c r="D8" s="3192"/>
      <c r="E8" s="140" t="s">
        <v>2126</v>
      </c>
      <c r="F8" s="2427"/>
      <c r="G8" s="2427"/>
      <c r="H8" s="2427"/>
      <c r="I8" s="1831"/>
    </row>
    <row r="9" spans="1:12" ht="12.75">
      <c r="A9" s="3169"/>
      <c r="B9" s="3107"/>
      <c r="C9" s="3174"/>
      <c r="D9" s="3192"/>
      <c r="E9" s="140" t="s">
        <v>2127</v>
      </c>
      <c r="F9" s="2427"/>
      <c r="G9" s="2427"/>
      <c r="H9" s="2427"/>
      <c r="I9" s="1831"/>
    </row>
    <row r="10" spans="1:12" ht="12.75">
      <c r="A10" s="3169" t="s">
        <v>2128</v>
      </c>
      <c r="B10" s="3107">
        <v>15</v>
      </c>
      <c r="C10" s="3172"/>
      <c r="D10" s="3192"/>
      <c r="E10" s="140" t="s">
        <v>2129</v>
      </c>
      <c r="F10" s="2427"/>
      <c r="G10" s="2427"/>
      <c r="H10" s="2427"/>
      <c r="I10" s="1831"/>
    </row>
    <row r="11" spans="1:12" ht="12.75">
      <c r="A11" s="3169"/>
      <c r="B11" s="3107"/>
      <c r="C11" s="3174"/>
      <c r="D11" s="3192"/>
      <c r="E11" s="140" t="s">
        <v>2130</v>
      </c>
      <c r="F11" s="2427"/>
      <c r="G11" s="2427"/>
      <c r="H11" s="2427"/>
      <c r="I11" s="1831"/>
    </row>
    <row r="12" spans="1:12" ht="12.75">
      <c r="A12" s="3169" t="s">
        <v>2131</v>
      </c>
      <c r="B12" s="3107">
        <v>15</v>
      </c>
      <c r="C12" s="3172"/>
      <c r="D12" s="3192"/>
      <c r="E12" s="140" t="s">
        <v>2132</v>
      </c>
      <c r="F12" s="2427"/>
      <c r="G12" s="2427"/>
      <c r="H12" s="2427"/>
      <c r="I12" s="1831"/>
    </row>
    <row r="13" spans="1:12" ht="12.75">
      <c r="A13" s="3169"/>
      <c r="B13" s="3107"/>
      <c r="C13" s="3174"/>
      <c r="D13" s="3192"/>
      <c r="E13" s="140" t="s">
        <v>2133</v>
      </c>
      <c r="F13" s="2427"/>
      <c r="G13" s="2427"/>
      <c r="H13" s="2427"/>
      <c r="I13" s="1831"/>
    </row>
    <row r="14" spans="1:12" ht="12.75">
      <c r="A14" s="3169" t="s">
        <v>2134</v>
      </c>
      <c r="B14" s="3107">
        <v>30</v>
      </c>
      <c r="C14" s="3172"/>
      <c r="D14" s="3192"/>
      <c r="E14" s="140" t="s">
        <v>2135</v>
      </c>
      <c r="F14" s="2427"/>
      <c r="G14" s="2427"/>
      <c r="H14" s="2427"/>
      <c r="I14" s="1831"/>
    </row>
    <row r="15" spans="1:12" ht="12.75">
      <c r="A15" s="3169"/>
      <c r="B15" s="3107"/>
      <c r="C15" s="3173"/>
      <c r="D15" s="3192"/>
      <c r="E15" s="140" t="s">
        <v>2136</v>
      </c>
      <c r="F15" s="2427"/>
      <c r="G15" s="2427"/>
      <c r="H15" s="2427"/>
      <c r="I15" s="1831"/>
    </row>
    <row r="16" spans="1:12" ht="12.75">
      <c r="A16" s="3169"/>
      <c r="B16" s="3107"/>
      <c r="C16" s="3174"/>
      <c r="D16" s="3192"/>
      <c r="E16" s="140" t="s">
        <v>2137</v>
      </c>
      <c r="F16" s="2427"/>
      <c r="G16" s="2427"/>
      <c r="H16" s="2427"/>
      <c r="I16" s="1831"/>
    </row>
    <row r="17" spans="1:35" ht="15">
      <c r="A17" s="2428" t="s">
        <v>2138</v>
      </c>
      <c r="B17" s="64"/>
      <c r="C17" s="141">
        <f>SUM(C5:C16)</f>
        <v>30</v>
      </c>
      <c r="D17" s="141">
        <f>SUM(D5:D16)</f>
        <v>70</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2191.33</v>
      </c>
      <c r="M18" s="2426">
        <f>IF(C1="",'数据-汇总表'!E3,SUMIF(项目类型,C1,'数据-汇总表'!E17:E26))</f>
        <v>2191.33</v>
      </c>
    </row>
    <row r="19" spans="1:35" ht="15">
      <c r="A19" s="2432" t="s">
        <v>2143</v>
      </c>
      <c r="B19" s="2433" t="s">
        <v>2144</v>
      </c>
      <c r="C19" s="143">
        <f ca="1">SUMIF(INDIRECT("'"&amp;C4&amp;"'"&amp;"!A:A"),结果表!B19,INDIRECT("'"&amp;C4&amp;"'"&amp;"!B:B"))</f>
        <v>782</v>
      </c>
      <c r="D19" s="144">
        <f ca="1">SUMIF(INDIRECT("'"&amp;D4&amp;"'"&amp;"!A:A"),结果表!B19,INDIRECT("'"&amp;D4&amp;"'"&amp;"!B:B"))</f>
        <v>2565</v>
      </c>
      <c r="E19" s="2432" t="s">
        <v>2145</v>
      </c>
      <c r="F19" s="2433" t="s">
        <v>2144</v>
      </c>
      <c r="G19" s="145">
        <f ca="1">ROUND(C19*$C$18+D19*$D$18,0)</f>
        <v>2030</v>
      </c>
      <c r="H19" s="2434" t="s">
        <v>2146</v>
      </c>
      <c r="I19" s="138"/>
      <c r="K19" s="2426" t="s">
        <v>2147</v>
      </c>
      <c r="L19" s="2426">
        <f>IF(C1="",'数据-汇总表'!D3,SUMIF(项目类型,C1,'数据-汇总表'!D17:D26)+SUMIF(项目类型,C1,'数据-汇总表'!H17:H27))</f>
        <v>16164.6</v>
      </c>
      <c r="M19" s="2426">
        <f>IF(C1="",'数据-汇总表'!D3,SUMIF(项目类型,C1,'数据-汇总表'!D17:D26))</f>
        <v>16164.6</v>
      </c>
    </row>
    <row r="20" spans="1:35" ht="15">
      <c r="A20" s="2435"/>
      <c r="B20" s="1247" t="s">
        <v>2148</v>
      </c>
      <c r="C20" s="146">
        <f ca="1">SUMIF(INDIRECT("'"&amp;C4&amp;"'"&amp;"!A:A"),结果表!B20,INDIRECT("'"&amp;C4&amp;"'"&amp;"!B:B"))</f>
        <v>3569</v>
      </c>
      <c r="D20" s="147">
        <f ca="1">SUMIF(INDIRECT("'"&amp;D4&amp;"'"&amp;"!A:A"),结果表!B20,INDIRECT("'"&amp;D4&amp;"'"&amp;"!B:B"))</f>
        <v>11705</v>
      </c>
      <c r="E20" s="2435"/>
      <c r="F20" s="1247" t="s">
        <v>2148</v>
      </c>
      <c r="G20" s="148">
        <f ca="1">ROUND(C20*$C$18+D20*$D$18,0)</f>
        <v>9264</v>
      </c>
      <c r="H20" s="980" t="s">
        <v>2149</v>
      </c>
      <c r="I20" s="138"/>
    </row>
    <row r="21" spans="1:35" ht="15" customHeight="1" thickBot="1">
      <c r="A21" s="1000"/>
      <c r="B21" s="2436" t="s">
        <v>2150</v>
      </c>
      <c r="C21" s="789">
        <f ca="1">ROUND(C19*10000/L19,0)</f>
        <v>484</v>
      </c>
      <c r="D21" s="790">
        <f ca="1">ROUND(D19*10000/L19,0)</f>
        <v>1587</v>
      </c>
      <c r="E21" s="1000"/>
      <c r="F21" s="2436" t="s">
        <v>2150</v>
      </c>
      <c r="G21" s="149">
        <f ca="1">ROUND(G19*10000/L19,0)</f>
        <v>1256</v>
      </c>
      <c r="H21" s="2437" t="s">
        <v>2149</v>
      </c>
      <c r="I21" s="138"/>
    </row>
    <row r="22" spans="1:35" ht="15" thickBot="1">
      <c r="A22" s="2279" t="s">
        <v>2151</v>
      </c>
      <c r="B22" s="2438"/>
      <c r="C22" s="2439"/>
      <c r="D22" s="791">
        <f ca="1">IF(C19&lt;D19,D19/C19-1,C19/D19-1)</f>
        <v>2.2800511508951407</v>
      </c>
      <c r="E22" s="138"/>
      <c r="F22" s="138"/>
      <c r="G22" s="138"/>
      <c r="H22" s="138"/>
      <c r="I22" s="138"/>
    </row>
    <row r="23" spans="1:35" ht="13.5" thickBot="1">
      <c r="A23" s="2416"/>
      <c r="B23" s="2416"/>
      <c r="C23" s="2416"/>
      <c r="D23" s="2416"/>
      <c r="E23" s="138"/>
      <c r="F23" s="138"/>
      <c r="G23" s="138"/>
      <c r="H23" s="138"/>
      <c r="I23" s="138"/>
    </row>
    <row r="24" spans="1:35" ht="14.25">
      <c r="A24" s="3163" t="s">
        <v>2152</v>
      </c>
      <c r="B24" s="2433" t="s">
        <v>2144</v>
      </c>
      <c r="C24" s="145">
        <f>IF(B30=0,0,D30)</f>
        <v>0</v>
      </c>
      <c r="D24" s="2440"/>
      <c r="E24" s="138"/>
      <c r="F24" s="138"/>
      <c r="G24" s="138"/>
      <c r="H24" s="138"/>
      <c r="I24" s="138"/>
    </row>
    <row r="25" spans="1:35" ht="14.25">
      <c r="A25" s="3164"/>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2030</v>
      </c>
      <c r="D32" s="2447" t="s">
        <v>2159</v>
      </c>
      <c r="E32" s="138"/>
      <c r="F32" s="138"/>
      <c r="G32" s="138"/>
      <c r="H32" s="138"/>
      <c r="I32" s="138"/>
    </row>
    <row r="33" spans="1:15" ht="15">
      <c r="A33" s="957"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5" t="e">
        <f ca="1">IF(C33="自定义",ROUND(C34/C32,3),IF(C33="收益比率",SUMIF(INDIRECT("'"&amp;D33&amp;"'"&amp;"!b:b"),"土地收益比率",INDIRECT("'"&amp;D33&amp;"'"&amp;"!c:c")),SUMIF(INDIRECT("'"&amp;D33&amp;"'"&amp;"!b:b"),"土地成本比率",INDIRECT("'"&amp;D33&amp;"'"&amp;"!c:c"))))</f>
        <v>#REF!</v>
      </c>
      <c r="E34" s="2455" t="s">
        <v>2163</v>
      </c>
      <c r="F34" s="1736"/>
      <c r="G34" s="138"/>
      <c r="H34" s="138"/>
      <c r="I34" s="138"/>
    </row>
    <row r="35" spans="1:15" ht="15.75" thickBot="1">
      <c r="A35" s="2456"/>
      <c r="B35" s="2457" t="s">
        <v>2164</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81" t="s">
        <v>2166</v>
      </c>
      <c r="B36" s="2459" t="s">
        <v>2167</v>
      </c>
      <c r="C36" s="154"/>
      <c r="D36" s="2460"/>
      <c r="E36" s="2461"/>
      <c r="F36" s="2462"/>
      <c r="G36" s="138"/>
      <c r="H36" s="138"/>
      <c r="I36" s="138"/>
    </row>
    <row r="37" spans="1:15" ht="15.75" thickBot="1">
      <c r="A37" s="3182"/>
      <c r="B37" s="2265" t="s">
        <v>2168</v>
      </c>
      <c r="C37" s="156"/>
      <c r="D37" s="1392"/>
      <c r="E37" s="1392"/>
      <c r="F37" s="2462"/>
      <c r="G37" s="138"/>
      <c r="H37" s="138"/>
      <c r="I37" s="138"/>
    </row>
    <row r="38" spans="1:15" ht="15.75" thickBot="1">
      <c r="A38" s="3183"/>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3"/>
      <c r="B43" s="2163"/>
      <c r="C43" s="2163"/>
      <c r="D43" s="2163"/>
      <c r="E43" s="2163"/>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60" t="s">
        <v>2180</v>
      </c>
      <c r="B45" s="3161"/>
      <c r="C45" s="3162"/>
      <c r="D45" s="164">
        <f ca="1">ROUND(H101*F45,0)</f>
        <v>2030</v>
      </c>
      <c r="E45" s="165" t="s">
        <v>2181</v>
      </c>
      <c r="F45" s="166">
        <v>1</v>
      </c>
      <c r="G45" s="167" t="s">
        <v>2182</v>
      </c>
      <c r="H45" s="138"/>
      <c r="I45" s="138"/>
      <c r="J45" s="3220" t="s">
        <v>2183</v>
      </c>
      <c r="K45" s="3220"/>
      <c r="L45" s="3220"/>
      <c r="M45" s="3220"/>
      <c r="N45" s="3220"/>
      <c r="O45" s="3220"/>
    </row>
    <row r="46" spans="1:15" ht="14.25" customHeight="1">
      <c r="A46" s="3157" t="s">
        <v>2184</v>
      </c>
      <c r="B46" s="3158"/>
      <c r="C46" s="3158"/>
      <c r="D46" s="3158"/>
      <c r="E46" s="3158"/>
      <c r="F46" s="3158"/>
      <c r="G46" s="3159"/>
      <c r="H46" s="2478"/>
      <c r="I46" s="168"/>
      <c r="J46" s="1809">
        <v>1</v>
      </c>
      <c r="K46" s="3220" t="s">
        <v>2185</v>
      </c>
      <c r="L46" s="3220"/>
      <c r="M46" s="3240"/>
      <c r="N46" s="3240"/>
      <c r="O46" s="3240"/>
    </row>
    <row r="47" spans="1:15" ht="12" customHeight="1">
      <c r="A47" s="169" t="s">
        <v>2186</v>
      </c>
      <c r="B47" s="170"/>
      <c r="C47" s="171"/>
      <c r="D47" s="172" t="s">
        <v>2187</v>
      </c>
      <c r="E47" s="24" t="s">
        <v>2188</v>
      </c>
      <c r="F47" s="173" t="s">
        <v>2189</v>
      </c>
      <c r="G47" s="174" t="s">
        <v>2190</v>
      </c>
      <c r="H47" s="2478"/>
      <c r="I47" s="168"/>
      <c r="J47" s="1809">
        <v>2</v>
      </c>
      <c r="K47" s="3220" t="s">
        <v>2191</v>
      </c>
      <c r="L47" s="3220"/>
      <c r="M47" s="3241">
        <f>'数据-取费表'!B2</f>
        <v>43817</v>
      </c>
      <c r="N47" s="3241"/>
      <c r="O47" s="3241"/>
    </row>
    <row r="48" spans="1:15" ht="25.5">
      <c r="A48" s="3188" t="s">
        <v>2192</v>
      </c>
      <c r="B48" s="3171"/>
      <c r="C48" s="3171"/>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220" t="s">
        <v>2195</v>
      </c>
      <c r="L48" s="3220"/>
      <c r="M48" s="3242">
        <f ca="1">H101</f>
        <v>2030</v>
      </c>
      <c r="N48" s="3242"/>
      <c r="O48" s="3242"/>
    </row>
    <row r="49" spans="1:35" ht="25.5" customHeight="1">
      <c r="A49" s="176" t="s">
        <v>2196</v>
      </c>
      <c r="B49" s="3156" t="s">
        <v>2197</v>
      </c>
      <c r="C49" s="3156"/>
      <c r="D49" s="177">
        <v>0</v>
      </c>
      <c r="E49" s="23" t="s">
        <v>2198</v>
      </c>
      <c r="F49" s="28" t="s">
        <v>34</v>
      </c>
      <c r="G49" s="3226"/>
      <c r="H49" s="138"/>
      <c r="I49" s="2481"/>
      <c r="J49" s="1809">
        <v>4</v>
      </c>
      <c r="K49" s="3220" t="str">
        <f>IF(项目基本情况!E8="房地产抵押价值","房地产抵押价值","抵押担保权已注销时的房地产抵押价值")</f>
        <v>抵押担保权已注销时的房地产抵押价值</v>
      </c>
      <c r="L49" s="3220"/>
      <c r="M49" s="3242" t="str">
        <f>IF(项目基本情况!E8="房地产抵押价值",H107,H109)</f>
        <v>——</v>
      </c>
      <c r="N49" s="3242"/>
      <c r="O49" s="3242"/>
    </row>
    <row r="50" spans="1:35" ht="25.5" customHeight="1">
      <c r="A50" s="178"/>
      <c r="B50" s="3156" t="s">
        <v>2199</v>
      </c>
      <c r="C50" s="3156"/>
      <c r="D50" s="179"/>
      <c r="E50" s="31"/>
      <c r="F50" s="180"/>
      <c r="G50" s="3227"/>
      <c r="H50" s="138"/>
      <c r="I50" s="2481"/>
      <c r="J50" s="3220" t="s">
        <v>2200</v>
      </c>
      <c r="K50" s="3220"/>
      <c r="L50" s="3220"/>
      <c r="M50" s="3220"/>
      <c r="N50" s="3220"/>
      <c r="O50" s="3220"/>
    </row>
    <row r="51" spans="1:35" ht="12" customHeight="1">
      <c r="A51" s="181"/>
      <c r="B51" s="3156" t="s">
        <v>2201</v>
      </c>
      <c r="C51" s="3156"/>
      <c r="D51" s="182"/>
      <c r="E51" s="30"/>
      <c r="F51" s="180"/>
      <c r="G51" s="3228"/>
      <c r="H51" s="138"/>
      <c r="I51" s="2481"/>
      <c r="J51" s="2482" t="s">
        <v>2202</v>
      </c>
      <c r="K51" s="3220" t="s">
        <v>2203</v>
      </c>
      <c r="L51" s="3220"/>
      <c r="M51" s="2482" t="s">
        <v>2204</v>
      </c>
      <c r="N51" s="2482" t="s">
        <v>2205</v>
      </c>
      <c r="O51" s="2482" t="s">
        <v>2206</v>
      </c>
    </row>
    <row r="52" spans="1:35" ht="24" customHeight="1">
      <c r="A52" s="183" t="s">
        <v>2207</v>
      </c>
      <c r="B52" s="3156" t="s">
        <v>2208</v>
      </c>
      <c r="C52" s="3156"/>
      <c r="D52" s="182">
        <f ca="1">ROUND(D45*'数据-取费表'!B41/(1+'数据-取费表'!C42),0)</f>
        <v>106</v>
      </c>
      <c r="E52" s="11" t="s">
        <v>2209</v>
      </c>
      <c r="F52" s="184">
        <f>'数据-取费表'!B41</f>
        <v>5.5000000000000007E-2</v>
      </c>
      <c r="G52" s="2483"/>
      <c r="H52" s="138"/>
      <c r="I52" s="2481"/>
      <c r="J52" s="1809">
        <v>1</v>
      </c>
      <c r="K52" s="3221" t="s">
        <v>2210</v>
      </c>
      <c r="L52" s="3221"/>
      <c r="M52" s="1751">
        <f>D48</f>
        <v>0</v>
      </c>
      <c r="N52" s="1809" t="str">
        <f>E48</f>
        <v>销售额×税（费）率</v>
      </c>
      <c r="O52" s="1752" t="str">
        <f>F48</f>
        <v>免征</v>
      </c>
    </row>
    <row r="53" spans="1:35" ht="12" customHeight="1">
      <c r="A53" s="183" t="s">
        <v>2211</v>
      </c>
      <c r="B53" s="3179" t="s">
        <v>2212</v>
      </c>
      <c r="C53" s="3180"/>
      <c r="D53" s="182">
        <f ca="1">ROUND(D45*'数据-取费表'!B41/(1+'数据-取费表'!C42),0)</f>
        <v>106</v>
      </c>
      <c r="E53" s="11" t="s">
        <v>2209</v>
      </c>
      <c r="F53" s="184">
        <f>'数据-取费表'!B41</f>
        <v>5.5000000000000007E-2</v>
      </c>
      <c r="G53" s="2483"/>
      <c r="H53" s="138"/>
      <c r="I53" s="2481"/>
      <c r="J53" s="1809">
        <v>2</v>
      </c>
      <c r="K53" s="3221" t="s">
        <v>2213</v>
      </c>
      <c r="L53" s="3221"/>
      <c r="M53" s="1751">
        <f t="shared" ref="M53:O54" ca="1" si="0">D55</f>
        <v>1</v>
      </c>
      <c r="N53" s="1809" t="str">
        <f t="shared" si="0"/>
        <v>销售额×税（费）率</v>
      </c>
      <c r="O53" s="1752">
        <f t="shared" si="0"/>
        <v>5.0000000000000001E-4</v>
      </c>
    </row>
    <row r="54" spans="1:35" ht="12" customHeight="1">
      <c r="A54" s="183" t="s">
        <v>2214</v>
      </c>
      <c r="B54" s="3179" t="s">
        <v>2215</v>
      </c>
      <c r="C54" s="3180"/>
      <c r="D54" s="182">
        <f ca="1">C68</f>
        <v>106</v>
      </c>
      <c r="E54" s="30" t="s">
        <v>2216</v>
      </c>
      <c r="F54" s="184">
        <f>'数据-取费表'!B41</f>
        <v>5.5000000000000007E-2</v>
      </c>
      <c r="G54" s="2483"/>
      <c r="H54" s="2484"/>
      <c r="I54" s="2481"/>
      <c r="J54" s="1809">
        <v>3</v>
      </c>
      <c r="K54" s="3221" t="s">
        <v>2217</v>
      </c>
      <c r="L54" s="3221"/>
      <c r="M54" s="1751">
        <f t="shared" ca="1" si="0"/>
        <v>1150</v>
      </c>
      <c r="N54" s="1809" t="str">
        <f t="shared" si="0"/>
        <v>增值额×税（费）率</v>
      </c>
      <c r="O54" s="1753" t="str">
        <f t="shared" si="0"/>
        <v>——</v>
      </c>
    </row>
    <row r="55" spans="1:35" ht="24" customHeight="1">
      <c r="A55" s="3170" t="s">
        <v>2218</v>
      </c>
      <c r="B55" s="3171"/>
      <c r="C55" s="3171"/>
      <c r="D55" s="185">
        <f ca="1">IF(H55="个人住宅",0,ROUND(D45*I55,0))</f>
        <v>1</v>
      </c>
      <c r="E55" s="11" t="s">
        <v>2219</v>
      </c>
      <c r="F55" s="184">
        <f>IF(H55="正常",I55,"免征")</f>
        <v>5.0000000000000001E-4</v>
      </c>
      <c r="G55" s="2483"/>
      <c r="H55" s="2480" t="s">
        <v>2220</v>
      </c>
      <c r="I55" s="186">
        <f>'数据-取费表'!B49</f>
        <v>5.0000000000000001E-4</v>
      </c>
      <c r="J55" s="1809" t="str">
        <f>IF(H59="非个人房产","",4)</f>
        <v/>
      </c>
      <c r="K55" s="3221" t="str">
        <f>IF(H59="非个人房产","——","个人所得税")</f>
        <v>——</v>
      </c>
      <c r="L55" s="3221"/>
      <c r="M55" s="1754" t="str">
        <f>D59</f>
        <v>——</v>
      </c>
      <c r="N55" s="1807" t="str">
        <f>E59</f>
        <v>——</v>
      </c>
      <c r="O55" s="1755" t="str">
        <f>F59</f>
        <v>——</v>
      </c>
    </row>
    <row r="56" spans="1:35" ht="24.75">
      <c r="A56" s="3170" t="s">
        <v>2221</v>
      </c>
      <c r="B56" s="3171"/>
      <c r="C56" s="3171"/>
      <c r="D56" s="185">
        <f ca="1">IF(H56="个人住宅",D57,D58)</f>
        <v>1150</v>
      </c>
      <c r="E56" s="11" t="s">
        <v>2222</v>
      </c>
      <c r="F56" s="184" t="str">
        <f>IF(H56="正常",F58,"免征")</f>
        <v>——</v>
      </c>
      <c r="G56" s="2485" t="s">
        <v>2223</v>
      </c>
      <c r="H56" s="2486" t="s">
        <v>2220</v>
      </c>
      <c r="I56" s="2487"/>
      <c r="J56" s="1809" t="str">
        <f>IF(项目基本情况!K6="上海银行",IF(J55="",4,J55+1),"")</f>
        <v/>
      </c>
      <c r="K56" s="3244" t="str">
        <f>IF(项目基本情况!K6="上海银行","其他处置费用","")</f>
        <v/>
      </c>
      <c r="L56" s="3245"/>
      <c r="M56" s="1751" t="str">
        <f>IF(项目基本情况!K6="上海银行",M69,"")</f>
        <v/>
      </c>
      <c r="N56" s="3247" t="str">
        <f>IF(项目基本情况!K6="上海银行","包含处置中涉及的律师、诉讼、拍卖、评估等费用","")</f>
        <v/>
      </c>
      <c r="O56" s="3248"/>
    </row>
    <row r="57" spans="1:35" ht="12.75">
      <c r="A57" s="183" t="s">
        <v>2196</v>
      </c>
      <c r="B57" s="3186" t="s">
        <v>2224</v>
      </c>
      <c r="C57" s="3195"/>
      <c r="D57" s="187">
        <v>0</v>
      </c>
      <c r="E57" s="23" t="s">
        <v>2198</v>
      </c>
      <c r="F57" s="155"/>
      <c r="G57" s="2483"/>
      <c r="H57" s="2487"/>
      <c r="I57" s="2487"/>
      <c r="J57" s="3221">
        <f>IF(AND(J55="",J56=""),4,IF(项目基本情况!K6="上海银行",结果表!J56+1,结果表!J55+1))</f>
        <v>4</v>
      </c>
      <c r="K57" s="3221" t="s">
        <v>2225</v>
      </c>
      <c r="L57" s="2488" t="s">
        <v>2226</v>
      </c>
      <c r="M57" s="1756"/>
      <c r="N57" s="1757">
        <f ca="1">SUMIF(M52:M56,"&lt;9e307")</f>
        <v>1151</v>
      </c>
      <c r="O57" s="2489"/>
      <c r="P57" s="1750" t="e">
        <f ca="1">N57/M49</f>
        <v>#VALUE!</v>
      </c>
    </row>
    <row r="58" spans="1:35" ht="24.75">
      <c r="A58" s="183" t="s">
        <v>2207</v>
      </c>
      <c r="B58" s="3186" t="s">
        <v>2227</v>
      </c>
      <c r="C58" s="3187"/>
      <c r="D58" s="185">
        <f ca="1">IF(H58="转让取得",C81,C97)</f>
        <v>1150</v>
      </c>
      <c r="E58" s="11" t="s">
        <v>2222</v>
      </c>
      <c r="F58" s="24" t="s">
        <v>34</v>
      </c>
      <c r="G58" s="2483"/>
      <c r="H58" s="2486" t="s">
        <v>2228</v>
      </c>
      <c r="I58" s="2487"/>
      <c r="J58" s="3221"/>
      <c r="K58" s="3221"/>
      <c r="L58" s="2488" t="s">
        <v>2229</v>
      </c>
      <c r="M58" s="1758"/>
      <c r="N58" s="2490" t="str">
        <f ca="1">NUMBERSTRING(INT(N57*10000),2)&amp;"元整"</f>
        <v>壹仟壹佰伍拾壹万元整</v>
      </c>
      <c r="O58" s="2491"/>
    </row>
    <row r="59" spans="1:35" ht="24.75" thickBot="1">
      <c r="A59" s="3224" t="s">
        <v>2230</v>
      </c>
      <c r="B59" s="3225"/>
      <c r="C59" s="3225"/>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222">
        <f>J57+1</f>
        <v>5</v>
      </c>
      <c r="K59" s="3221" t="s">
        <v>2232</v>
      </c>
      <c r="L59" s="1809" t="s">
        <v>2226</v>
      </c>
      <c r="M59" s="1759"/>
      <c r="N59" s="1760" t="e">
        <f ca="1">M49-N57</f>
        <v>#VALUE!</v>
      </c>
      <c r="O59" s="2493"/>
    </row>
    <row r="60" spans="1:35" ht="12" customHeight="1">
      <c r="A60" s="2494"/>
      <c r="B60" s="2416"/>
      <c r="C60" s="2416"/>
      <c r="D60" s="2416"/>
      <c r="E60" s="2164"/>
      <c r="F60" s="2487"/>
      <c r="G60" s="2487"/>
      <c r="H60" s="2495"/>
      <c r="I60" s="138"/>
      <c r="J60" s="3223"/>
      <c r="K60" s="3221"/>
      <c r="L60" s="2488" t="s">
        <v>2229</v>
      </c>
      <c r="M60" s="1758"/>
      <c r="N60" s="2490" t="e">
        <f ca="1">NUMBERSTRING(INT(N59*10000),2)&amp;"元整"</f>
        <v>#VALUE!</v>
      </c>
      <c r="O60" s="2491"/>
    </row>
    <row r="61" spans="1:35" ht="13.5" thickBot="1">
      <c r="A61" s="3168" t="s">
        <v>2233</v>
      </c>
      <c r="B61" s="3168"/>
      <c r="C61" s="3168"/>
      <c r="D61" s="3168"/>
      <c r="E61" s="3168"/>
      <c r="F61" s="2487"/>
      <c r="G61" s="2487"/>
      <c r="H61" s="2495"/>
      <c r="I61" s="138"/>
      <c r="J61" s="1809">
        <f>J59+1</f>
        <v>6</v>
      </c>
      <c r="K61" s="3221" t="s">
        <v>2234</v>
      </c>
      <c r="L61" s="3221"/>
      <c r="M61" s="1761"/>
      <c r="N61" s="1762" t="e">
        <f ca="1">ROUND(N59*10000/'数据-汇总表'!E3,0)</f>
        <v>#VALUE!</v>
      </c>
      <c r="O61" s="2496"/>
    </row>
    <row r="62" spans="1:35" ht="12.75">
      <c r="A62" s="3184" t="s">
        <v>2235</v>
      </c>
      <c r="B62" s="3185"/>
      <c r="C62" s="1801"/>
      <c r="D62" s="1801" t="s">
        <v>2236</v>
      </c>
      <c r="E62" s="192" t="s">
        <v>2237</v>
      </c>
      <c r="F62" s="2487"/>
      <c r="G62" s="2487"/>
      <c r="H62" s="2495"/>
      <c r="I62" s="138"/>
    </row>
    <row r="63" spans="1:35" ht="12.75">
      <c r="A63" s="203" t="s">
        <v>775</v>
      </c>
      <c r="B63" s="193" t="s">
        <v>2238</v>
      </c>
      <c r="C63" s="194">
        <f ca="1">ROUND((C64+C65)/(1+'数据-取费表'!C42),0)</f>
        <v>1933</v>
      </c>
      <c r="D63" s="195"/>
      <c r="E63" s="196"/>
      <c r="F63" s="2487"/>
      <c r="G63" s="2487"/>
      <c r="H63" s="2495"/>
      <c r="I63" s="138"/>
      <c r="J63" s="3246" t="s">
        <v>2239</v>
      </c>
      <c r="K63" s="2497" t="s">
        <v>2240</v>
      </c>
      <c r="L63" s="1749" t="e">
        <f>IF(M49&gt;10000,M49*0.5%,IF(AND(M49&gt;1000,M49&lt;=10000),M49*1%,IF(AND(M49&gt;100,M49&lt;=1000),M49*3%,IF(AND(M49&gt;10,M49&lt;=100),M49*5%,M49*8%))))</f>
        <v>#VALUE!</v>
      </c>
      <c r="M63" s="24" t="e">
        <f>ROUND(L63,1)</f>
        <v>#VALUE!</v>
      </c>
      <c r="Z63" s="2421"/>
      <c r="AI63" s="2422"/>
    </row>
    <row r="64" spans="1:35" ht="14.25" customHeight="1">
      <c r="A64" s="197" t="s">
        <v>770</v>
      </c>
      <c r="B64" s="198" t="s">
        <v>2241</v>
      </c>
      <c r="C64" s="199">
        <f ca="1">D45</f>
        <v>2030</v>
      </c>
      <c r="D64" s="200" t="s">
        <v>32</v>
      </c>
      <c r="E64" s="201"/>
      <c r="F64" s="2487"/>
      <c r="G64" s="2487"/>
      <c r="H64" s="2495"/>
      <c r="I64" s="138"/>
      <c r="J64" s="3246"/>
      <c r="K64" s="2497" t="s">
        <v>2242</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1"/>
      <c r="AI64" s="2422"/>
    </row>
    <row r="65" spans="1:35" ht="14.25" customHeight="1">
      <c r="A65" s="197" t="s">
        <v>771</v>
      </c>
      <c r="B65" s="198" t="s">
        <v>2244</v>
      </c>
      <c r="C65" s="202"/>
      <c r="D65" s="200"/>
      <c r="E65" s="201"/>
      <c r="F65" s="2487"/>
      <c r="G65" s="2487"/>
      <c r="H65" s="2495"/>
      <c r="I65" s="138"/>
      <c r="J65" s="3246"/>
      <c r="K65" s="2497" t="s">
        <v>2245</v>
      </c>
      <c r="L65" s="1749" t="e">
        <f>IF(M49&gt;1000,M49*0.1%,IF(AND(M49&gt;500,M49&lt;=1000),M49*0.5%,IF(AND(M49&gt;50,M49&lt;=500),M49*1%,IF(AND(M49&gt;1,M49&lt;=50),M49*1.5%))))</f>
        <v>#VALUE!</v>
      </c>
      <c r="M65" s="24" t="e">
        <f t="shared" si="1"/>
        <v>#VALUE!</v>
      </c>
      <c r="N65" s="138" t="s">
        <v>2243</v>
      </c>
      <c r="Z65" s="2421"/>
      <c r="AI65" s="2422"/>
    </row>
    <row r="66" spans="1:35" ht="14.25" customHeight="1">
      <c r="A66" s="203" t="s">
        <v>772</v>
      </c>
      <c r="B66" s="204" t="s">
        <v>2246</v>
      </c>
      <c r="C66" s="205"/>
      <c r="D66" s="206" t="s">
        <v>32</v>
      </c>
      <c r="E66" s="1773" t="s">
        <v>1366</v>
      </c>
      <c r="F66" s="2487"/>
      <c r="G66" s="2487"/>
      <c r="H66" s="2495"/>
      <c r="I66" s="138"/>
      <c r="J66" s="3246"/>
      <c r="K66" s="2497" t="s">
        <v>2247</v>
      </c>
      <c r="L66" s="1749" t="e">
        <f>M49*0.5%</f>
        <v>#VALUE!</v>
      </c>
      <c r="M66" s="24" t="e">
        <f>IF(L66&gt;0.5,0.5,ROUND(L66,0))</f>
        <v>#VALUE!</v>
      </c>
      <c r="N66" s="138" t="s">
        <v>2248</v>
      </c>
      <c r="Z66" s="2421"/>
      <c r="AI66" s="2422"/>
    </row>
    <row r="67" spans="1:35" ht="14.25" customHeight="1">
      <c r="A67" s="203" t="s">
        <v>773</v>
      </c>
      <c r="B67" s="204" t="s">
        <v>2249</v>
      </c>
      <c r="C67" s="207">
        <f ca="1">C63-C66</f>
        <v>1933</v>
      </c>
      <c r="D67" s="200" t="s">
        <v>32</v>
      </c>
      <c r="E67" s="201"/>
      <c r="F67" s="2487"/>
      <c r="G67" s="2487"/>
      <c r="H67" s="2495"/>
      <c r="I67" s="138"/>
      <c r="J67" s="3246"/>
      <c r="K67" s="2497" t="s">
        <v>2250</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8" t="s">
        <v>774</v>
      </c>
      <c r="B68" s="209" t="s">
        <v>2251</v>
      </c>
      <c r="C68" s="210">
        <f ca="1">IF(C67&lt;=0,0,ROUND(C67*D68,0))</f>
        <v>106</v>
      </c>
      <c r="D68" s="211">
        <f>'数据-取费表'!B41</f>
        <v>5.5000000000000007E-2</v>
      </c>
      <c r="E68" s="212"/>
      <c r="F68" s="2487"/>
      <c r="G68" s="2487"/>
      <c r="H68" s="2495"/>
      <c r="I68" s="138"/>
      <c r="J68" s="3246"/>
      <c r="K68" s="2497" t="s">
        <v>2252</v>
      </c>
      <c r="L68" s="1749"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246"/>
      <c r="K69" s="2497" t="s">
        <v>2253</v>
      </c>
      <c r="L69" s="2503"/>
      <c r="M69" s="24" t="e">
        <f>ROUND(SUM(M63:M68),0)</f>
        <v>#VALUE!</v>
      </c>
      <c r="N69" s="1750" t="e">
        <f>M69/M49</f>
        <v>#VALUE!</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205" t="s">
        <v>2254</v>
      </c>
      <c r="B70" s="3206"/>
      <c r="C70" s="3206"/>
      <c r="D70" s="3206"/>
      <c r="E70" s="3206"/>
      <c r="F70" s="3206"/>
      <c r="G70" s="3206"/>
      <c r="H70" s="320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84" t="s">
        <v>2235</v>
      </c>
      <c r="B71" s="3185"/>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1933</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10</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79" t="s">
        <v>2263</v>
      </c>
      <c r="F76" s="3156"/>
      <c r="G76" s="3156"/>
      <c r="H76" s="320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10</v>
      </c>
      <c r="D78" s="226">
        <f>'数据-取费表'!B43</f>
        <v>5.000000000000001E-3</v>
      </c>
      <c r="E78" s="3165" t="s">
        <v>2268</v>
      </c>
      <c r="F78" s="3166"/>
      <c r="G78" s="3166"/>
      <c r="H78" s="317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1923</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192.3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1150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205" t="s">
        <v>2272</v>
      </c>
      <c r="B83" s="3206"/>
      <c r="C83" s="3206"/>
      <c r="D83" s="3206"/>
      <c r="E83" s="3206"/>
      <c r="F83" s="3206"/>
      <c r="G83" s="3206"/>
      <c r="H83" s="320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84" t="s">
        <v>2235</v>
      </c>
      <c r="B84" s="3185"/>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1933</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10</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65" t="s">
        <v>2281</v>
      </c>
      <c r="F91" s="3166"/>
      <c r="G91" s="3166"/>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65" t="s">
        <v>2285</v>
      </c>
      <c r="F92" s="3166"/>
      <c r="G92" s="3166"/>
      <c r="H92" s="317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10</v>
      </c>
      <c r="D93" s="226">
        <f>'数据-取费表'!B43</f>
        <v>5.000000000000001E-3</v>
      </c>
      <c r="E93" s="3165" t="s">
        <v>2268</v>
      </c>
      <c r="F93" s="3166"/>
      <c r="G93" s="3166"/>
      <c r="H93" s="317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76" t="s">
        <v>2289</v>
      </c>
      <c r="F94" s="3177"/>
      <c r="G94" s="3177"/>
      <c r="H94" s="31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1923</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192.3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1150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8"/>
    </row>
    <row r="99" spans="1:35" ht="21.75" customHeight="1" thickBot="1">
      <c r="A99" s="2472" t="s">
        <v>2290</v>
      </c>
      <c r="B99" s="2416"/>
      <c r="C99" s="2416"/>
      <c r="D99" s="2416"/>
      <c r="E99" s="2164"/>
      <c r="F99" s="2164"/>
      <c r="G99" s="2164"/>
      <c r="H99" s="2163"/>
      <c r="I99" s="138"/>
    </row>
    <row r="100" spans="1:35" ht="18.75" customHeight="1">
      <c r="A100" s="3150" t="s">
        <v>2291</v>
      </c>
      <c r="B100" s="3151"/>
      <c r="C100" s="3151"/>
      <c r="D100" s="3167"/>
      <c r="E100" s="3151" t="s">
        <v>2292</v>
      </c>
      <c r="F100" s="3151"/>
      <c r="G100" s="3151"/>
      <c r="H100" s="3167"/>
      <c r="I100" s="138"/>
    </row>
    <row r="101" spans="1:35" ht="18.75" customHeight="1">
      <c r="A101" s="3229" t="s">
        <v>2293</v>
      </c>
      <c r="B101" s="3230"/>
      <c r="C101" s="736" t="str">
        <f>C4</f>
        <v>收益法</v>
      </c>
      <c r="D101" s="737" t="str">
        <f>D4</f>
        <v>比较法-商业</v>
      </c>
      <c r="E101" s="3243" t="s">
        <v>2294</v>
      </c>
      <c r="F101" s="3197"/>
      <c r="G101" s="2518" t="s">
        <v>2295</v>
      </c>
      <c r="H101" s="1045">
        <f ca="1">H118</f>
        <v>2030</v>
      </c>
      <c r="I101" s="138"/>
    </row>
    <row r="102" spans="1:35" ht="18.75" customHeight="1">
      <c r="A102" s="3199" t="s">
        <v>2296</v>
      </c>
      <c r="B102" s="2518" t="s">
        <v>2295</v>
      </c>
      <c r="C102" s="736">
        <f ca="1">C19</f>
        <v>782</v>
      </c>
      <c r="D102" s="737">
        <f ca="1">D19</f>
        <v>2565</v>
      </c>
      <c r="E102" s="3243"/>
      <c r="F102" s="3197"/>
      <c r="G102" s="2518" t="s">
        <v>2297</v>
      </c>
      <c r="H102" s="371">
        <f ca="1">I118</f>
        <v>9264</v>
      </c>
      <c r="I102" s="138"/>
    </row>
    <row r="103" spans="1:35" ht="42.75" customHeight="1">
      <c r="A103" s="3199"/>
      <c r="B103" s="2518" t="s">
        <v>2297</v>
      </c>
      <c r="C103" s="738">
        <f ca="1">C20</f>
        <v>3569</v>
      </c>
      <c r="D103" s="739">
        <f ca="1">D20</f>
        <v>11705</v>
      </c>
      <c r="E103" s="3238" t="s">
        <v>2298</v>
      </c>
      <c r="F103" s="3239"/>
      <c r="G103" s="2519" t="s">
        <v>2299</v>
      </c>
      <c r="H103" s="1045">
        <f>IF(D36="正常操作",H104+H105+H106,H105+H106)</f>
        <v>0</v>
      </c>
      <c r="I103" s="138"/>
    </row>
    <row r="104" spans="1:35" ht="18.75" customHeight="1">
      <c r="A104" s="3199" t="s">
        <v>2300</v>
      </c>
      <c r="B104" s="2520" t="s">
        <v>2295</v>
      </c>
      <c r="C104" s="740">
        <f ca="1">H118</f>
        <v>2030</v>
      </c>
      <c r="D104" s="741"/>
      <c r="E104" s="2265" t="s">
        <v>2301</v>
      </c>
      <c r="F104" s="2256"/>
      <c r="G104" s="2519" t="s">
        <v>2299</v>
      </c>
      <c r="H104" s="1046">
        <f>IF(D36="同一抵押权人同一抵押物续贷",C36&amp;"（未扣减，详见特别提示）",C36)</f>
        <v>0</v>
      </c>
      <c r="I104" s="138"/>
    </row>
    <row r="105" spans="1:35" ht="18.75" customHeight="1" thickBot="1">
      <c r="A105" s="3200"/>
      <c r="B105" s="2521" t="s">
        <v>2297</v>
      </c>
      <c r="C105" s="742">
        <f ca="1">I118</f>
        <v>9264</v>
      </c>
      <c r="D105" s="743"/>
      <c r="E105" s="2265" t="s">
        <v>2302</v>
      </c>
      <c r="F105" s="2256"/>
      <c r="G105" s="2519" t="s">
        <v>2299</v>
      </c>
      <c r="H105" s="1046">
        <f>C37</f>
        <v>0</v>
      </c>
      <c r="I105" s="138"/>
    </row>
    <row r="106" spans="1:35" ht="18.75" customHeight="1">
      <c r="A106" s="2416" t="s">
        <v>2303</v>
      </c>
      <c r="B106" s="2416"/>
      <c r="C106" s="2416"/>
      <c r="D106" s="2416"/>
      <c r="E106" s="2522" t="s">
        <v>2304</v>
      </c>
      <c r="F106" s="2256"/>
      <c r="G106" s="2519" t="s">
        <v>2299</v>
      </c>
      <c r="H106" s="1046">
        <f>C38</f>
        <v>0</v>
      </c>
      <c r="I106" s="138"/>
    </row>
    <row r="107" spans="1:35" ht="18.75" customHeight="1">
      <c r="A107" s="138"/>
      <c r="B107" s="138"/>
      <c r="C107" s="138"/>
      <c r="D107" s="138"/>
      <c r="E107" s="3196" t="str">
        <f>IF(项目基本情况!E8="已注销","——","3.房地产抵押价值")</f>
        <v>3.房地产抵押价值</v>
      </c>
      <c r="F107" s="3197"/>
      <c r="G107" s="2518" t="s">
        <v>2295</v>
      </c>
      <c r="H107" s="1045">
        <f ca="1">IF(E107="——","——",H101-H103)</f>
        <v>2030</v>
      </c>
      <c r="I107" s="138"/>
    </row>
    <row r="108" spans="1:35" ht="18.75" customHeight="1">
      <c r="A108" s="138"/>
      <c r="B108" s="138"/>
      <c r="C108" s="138"/>
      <c r="D108" s="138"/>
      <c r="E108" s="3196"/>
      <c r="F108" s="3197"/>
      <c r="G108" s="2518" t="s">
        <v>2297</v>
      </c>
      <c r="H108" s="371">
        <f ca="1">ROUND(H107*10000/'数据-汇总表'!E3,0)</f>
        <v>9264</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97"/>
      <c r="G109" s="2518" t="s">
        <v>2295</v>
      </c>
      <c r="H109" s="348" t="str">
        <f>IF(E109="——","——",H101-H105-H106)</f>
        <v>——</v>
      </c>
      <c r="I109" s="138"/>
    </row>
    <row r="110" spans="1:35" ht="18.75" customHeight="1">
      <c r="A110" s="138"/>
      <c r="B110" s="138"/>
      <c r="C110" s="138"/>
      <c r="D110" s="138"/>
      <c r="E110" s="3196"/>
      <c r="F110" s="3197"/>
      <c r="G110" s="2518" t="s">
        <v>2297</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v>
      </c>
      <c r="F111" s="3232"/>
      <c r="G111" s="2518" t="s">
        <v>2295</v>
      </c>
      <c r="H111" s="1045" t="str">
        <f>IF(E111="——","——",N59)</f>
        <v>——</v>
      </c>
      <c r="I111" s="138"/>
    </row>
    <row r="112" spans="1:35" ht="18.75" customHeight="1" thickBot="1">
      <c r="A112" s="138"/>
      <c r="B112" s="138"/>
      <c r="C112" s="138"/>
      <c r="D112" s="138"/>
      <c r="E112" s="3233"/>
      <c r="F112" s="3234"/>
      <c r="G112" s="2523" t="s">
        <v>2297</v>
      </c>
      <c r="H112" s="790" t="str">
        <f>IF(E111="——","——",N61)</f>
        <v>——</v>
      </c>
      <c r="I112" s="138"/>
    </row>
    <row r="113" spans="1:11" ht="18.75" customHeight="1">
      <c r="A113" s="138"/>
      <c r="B113" s="138"/>
      <c r="C113" s="138"/>
      <c r="D113" s="138"/>
      <c r="E113" s="3201" t="s">
        <v>2303</v>
      </c>
      <c r="F113" s="3201"/>
      <c r="G113" s="3201"/>
      <c r="H113" s="3201"/>
      <c r="I113" s="138"/>
    </row>
    <row r="114" spans="1:11" ht="3.75" customHeight="1">
      <c r="A114" s="2416"/>
      <c r="B114" s="2416"/>
      <c r="C114" s="2416"/>
      <c r="D114" s="2416"/>
      <c r="E114" s="2494"/>
      <c r="F114" s="2494"/>
      <c r="G114" s="2494"/>
      <c r="H114" s="2494"/>
      <c r="I114" s="2416"/>
    </row>
    <row r="115" spans="1:11" ht="18.75" customHeight="1">
      <c r="A115" s="3214" t="s">
        <v>2305</v>
      </c>
      <c r="B115" s="3215"/>
      <c r="C115" s="3215"/>
      <c r="D115" s="3215"/>
      <c r="E115" s="3215"/>
      <c r="F115" s="3215"/>
      <c r="G115" s="3215"/>
      <c r="H115" s="3215"/>
      <c r="I115" s="3216"/>
    </row>
    <row r="116" spans="1:11" ht="27" customHeight="1">
      <c r="A116" s="3107" t="s">
        <v>2306</v>
      </c>
      <c r="B116" s="3202" t="s">
        <v>2307</v>
      </c>
      <c r="C116" s="3202" t="s">
        <v>2308</v>
      </c>
      <c r="D116" s="3218" t="s">
        <v>2309</v>
      </c>
      <c r="E116" s="3219"/>
      <c r="F116" s="3210" t="s">
        <v>2310</v>
      </c>
      <c r="G116" s="3210"/>
      <c r="H116" s="3107" t="s">
        <v>2311</v>
      </c>
      <c r="I116" s="3107"/>
    </row>
    <row r="117" spans="1:11" ht="18.75" customHeight="1">
      <c r="A117" s="3107"/>
      <c r="B117" s="3203"/>
      <c r="C117" s="3203"/>
      <c r="D117" s="1795" t="s">
        <v>2312</v>
      </c>
      <c r="E117" s="1795" t="s">
        <v>2313</v>
      </c>
      <c r="F117" s="1795" t="s">
        <v>2312</v>
      </c>
      <c r="G117" s="1795" t="s">
        <v>2314</v>
      </c>
      <c r="H117" s="1795" t="s">
        <v>2312</v>
      </c>
      <c r="I117" s="1795" t="s">
        <v>2314</v>
      </c>
    </row>
    <row r="118" spans="1:11" ht="24.75" customHeight="1">
      <c r="A118" s="2524" t="str">
        <f>项目基本情况!S2</f>
        <v>房地产</v>
      </c>
      <c r="B118" s="1795">
        <f>M18</f>
        <v>2191.33</v>
      </c>
      <c r="C118" s="1795">
        <f>M19</f>
        <v>16164.6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2030</v>
      </c>
      <c r="I118" s="1795">
        <f ca="1">ROUND(IF(D32="楼面单价",C32,H118*10000/B118),0)</f>
        <v>9264</v>
      </c>
    </row>
    <row r="119" spans="1:11" ht="18.75" customHeight="1">
      <c r="A119" s="3107" t="s">
        <v>2315</v>
      </c>
      <c r="B119" s="3107"/>
      <c r="C119" s="3107"/>
      <c r="D119" s="3207" t="e">
        <f ca="1">NUMBERSTRING(INT(D118*10000),2)&amp;"元整"</f>
        <v>#REF!</v>
      </c>
      <c r="E119" s="3209"/>
      <c r="F119" s="3207" t="e">
        <f ca="1">NUMBERSTRING(INT(F118*10000),2)&amp;"元整"</f>
        <v>#REF!</v>
      </c>
      <c r="G119" s="3209"/>
      <c r="H119" s="3207" t="str">
        <f ca="1">NUMBERSTRING(INT(H118*10000),2)&amp;"元整"</f>
        <v>贰仟零叁拾万元整</v>
      </c>
      <c r="I119" s="3209"/>
    </row>
    <row r="120" spans="1:11" ht="18.75" customHeight="1">
      <c r="A120" s="3235" t="str">
        <f>IF(项目基本情况!B9="房地产市场价值","",MID(E103,3,LEN(E103)-2))</f>
        <v/>
      </c>
      <c r="B120" s="3236"/>
      <c r="C120" s="3237"/>
      <c r="D120" s="3235">
        <f>H103</f>
        <v>0</v>
      </c>
      <c r="E120" s="3236"/>
      <c r="F120" s="3236"/>
      <c r="G120" s="3236"/>
      <c r="H120" s="3236"/>
      <c r="I120" s="3237"/>
      <c r="K120" s="2421" t="str">
        <f>IF(D120=0,"故，本次评估不存在"&amp;A120,"故，本次评估"&amp;A120&amp;"为人民币"&amp;D120&amp;"万元整。")</f>
        <v>故，本次评估不存在</v>
      </c>
    </row>
    <row r="121" spans="1:11" ht="18.75" customHeight="1">
      <c r="A121" s="3211" t="s">
        <v>2315</v>
      </c>
      <c r="B121" s="3212"/>
      <c r="C121" s="3213"/>
      <c r="D121" s="3207" t="str">
        <f>IF(D120=0,"零元整",NUMBERSTRING(INT(D120*10000),2)&amp;"元整")</f>
        <v>零元整</v>
      </c>
      <c r="E121" s="3208"/>
      <c r="F121" s="3208"/>
      <c r="G121" s="3208"/>
      <c r="H121" s="3208"/>
      <c r="I121" s="3209"/>
    </row>
    <row r="122" spans="1:11" ht="18.75" customHeight="1">
      <c r="A122" s="3198" t="str">
        <f>IF(项目基本情况!B9="房地产市场价值","",MID(E107,3,LEN(E107)-2))</f>
        <v/>
      </c>
      <c r="B122" s="3198"/>
      <c r="C122" s="3198"/>
      <c r="D122" s="3235">
        <f ca="1">H107</f>
        <v>2030</v>
      </c>
      <c r="E122" s="3236"/>
      <c r="F122" s="3236"/>
      <c r="G122" s="3236"/>
      <c r="H122" s="3236"/>
      <c r="I122" s="3237"/>
    </row>
    <row r="123" spans="1:11" ht="18.75" customHeight="1">
      <c r="A123" s="3107" t="s">
        <v>2315</v>
      </c>
      <c r="B123" s="3107"/>
      <c r="C123" s="3107"/>
      <c r="D123" s="3207" t="str">
        <f ca="1">NUMBERSTRING(INT(D122*10000),2)&amp;"元整"</f>
        <v>贰仟零叁拾万元整</v>
      </c>
      <c r="E123" s="3208"/>
      <c r="F123" s="3208"/>
      <c r="G123" s="3208"/>
      <c r="H123" s="3208"/>
      <c r="I123" s="3209"/>
    </row>
    <row r="124" spans="1:11" ht="18.75" customHeight="1">
      <c r="A124" s="3198" t="str">
        <f>IF(项目基本情况!B9="房地产市场价值","",MID(E109,3,LEN(E109)-2))</f>
        <v/>
      </c>
      <c r="B124" s="3198"/>
      <c r="C124" s="3198"/>
      <c r="D124" s="3235" t="str">
        <f>H109</f>
        <v>——</v>
      </c>
      <c r="E124" s="3236"/>
      <c r="F124" s="3236"/>
      <c r="G124" s="3236"/>
      <c r="H124" s="3236"/>
      <c r="I124" s="3237"/>
    </row>
    <row r="125" spans="1:11" ht="18.75" customHeight="1">
      <c r="A125" s="3107" t="s">
        <v>2315</v>
      </c>
      <c r="B125" s="3107"/>
      <c r="C125" s="3107"/>
      <c r="D125" s="3207" t="e">
        <f>NUMBERSTRING(INT(D124*10000),2)&amp;"元整"</f>
        <v>#VALUE!</v>
      </c>
      <c r="E125" s="3208"/>
      <c r="F125" s="3208"/>
      <c r="G125" s="3208"/>
      <c r="H125" s="3208"/>
      <c r="I125" s="3209"/>
    </row>
    <row r="126" spans="1:11" ht="18.75" customHeight="1">
      <c r="A126" s="3198" t="str">
        <f>IF(项目基本情况!B9="房地产市场价值","",MID(E111,3,LEN(E111)-2))</f>
        <v/>
      </c>
      <c r="B126" s="3198"/>
      <c r="C126" s="3198"/>
      <c r="D126" s="3235" t="str">
        <f>H111</f>
        <v>——</v>
      </c>
      <c r="E126" s="3236"/>
      <c r="F126" s="3236"/>
      <c r="G126" s="3236"/>
      <c r="H126" s="3236"/>
      <c r="I126" s="3237"/>
    </row>
    <row r="127" spans="1:11" ht="18.75" customHeight="1">
      <c r="A127" s="3107" t="s">
        <v>2315</v>
      </c>
      <c r="B127" s="3107"/>
      <c r="C127" s="3107"/>
      <c r="D127" s="3207" t="e">
        <f>NUMBERSTRING(INT(D126*10000),2)&amp;"元整"</f>
        <v>#VALUE!</v>
      </c>
      <c r="E127" s="3208"/>
      <c r="F127" s="3208"/>
      <c r="G127" s="3208"/>
      <c r="H127" s="3208"/>
      <c r="I127" s="3209"/>
    </row>
    <row r="128" spans="1:11" ht="21.75" customHeight="1">
      <c r="A128" s="3217" t="s">
        <v>2316</v>
      </c>
      <c r="B128" s="3217"/>
      <c r="C128" s="3217"/>
      <c r="D128" s="3217"/>
      <c r="E128" s="3217"/>
      <c r="F128" s="3217"/>
      <c r="G128" s="3217"/>
      <c r="H128" s="3217"/>
      <c r="I128" s="3217"/>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H8" sqref="H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t="s">
        <v>1372</v>
      </c>
      <c r="D1" s="1820"/>
      <c r="E1" s="1821" t="s">
        <v>1381</v>
      </c>
      <c r="F1" s="1283">
        <f ca="1">J53</f>
        <v>23.16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1508</v>
      </c>
      <c r="B2" s="1844">
        <f ca="1">C40+J29+L46</f>
        <v>782</v>
      </c>
      <c r="C2" s="1845" t="s">
        <v>1509</v>
      </c>
      <c r="D2" s="1845"/>
      <c r="E2" s="1846"/>
      <c r="F2" s="1847"/>
      <c r="G2" s="1848"/>
      <c r="H2" s="1840"/>
      <c r="I2" s="1840"/>
      <c r="J2" s="1840"/>
      <c r="K2" s="1841"/>
      <c r="L2" s="1840"/>
      <c r="M2" s="1840"/>
    </row>
    <row r="3" spans="1:37" ht="18" customHeight="1" thickBot="1">
      <c r="A3" s="1849" t="s">
        <v>1510</v>
      </c>
      <c r="B3" s="1850">
        <f ca="1">IF(ISERROR(B2*10000/F43),0,ROUND(B2*10000/F43,0))</f>
        <v>3569</v>
      </c>
      <c r="C3" s="1845" t="s">
        <v>1511</v>
      </c>
      <c r="D3" s="1845"/>
      <c r="E3" s="1846"/>
      <c r="F3" s="1847"/>
      <c r="G3" s="1848"/>
      <c r="H3" s="744" t="s">
        <v>1581</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22</v>
      </c>
      <c r="D5" s="1822" t="s">
        <v>1396</v>
      </c>
      <c r="E5" s="1293"/>
      <c r="F5" s="1294"/>
      <c r="G5" s="1851"/>
      <c r="H5" s="344">
        <v>1</v>
      </c>
      <c r="I5" s="345" t="s">
        <v>1395</v>
      </c>
      <c r="J5" s="1292">
        <f ca="1">J6+J10+J12</f>
        <v>151</v>
      </c>
      <c r="K5" s="1822" t="s">
        <v>1396</v>
      </c>
      <c r="L5" s="1293"/>
      <c r="M5" s="1294"/>
    </row>
    <row r="6" spans="1:37" ht="18" customHeight="1">
      <c r="A6" s="1291" t="s">
        <v>1031</v>
      </c>
      <c r="B6" s="3251" t="s">
        <v>1397</v>
      </c>
      <c r="C6" s="1296">
        <f ca="1">ROUND(F6*F8*F7*(1-F9)/10000,0)</f>
        <v>22</v>
      </c>
      <c r="D6" s="164" t="s">
        <v>3030</v>
      </c>
      <c r="E6" s="347" t="s">
        <v>1399</v>
      </c>
      <c r="F6" s="348">
        <f ca="1">INDIRECT("'数据-取费表'!u"&amp;$G$1)</f>
        <v>0.28000000000000003</v>
      </c>
      <c r="G6" s="1851"/>
      <c r="H6" s="1291" t="s">
        <v>1031</v>
      </c>
      <c r="I6" s="3251" t="s">
        <v>1397</v>
      </c>
      <c r="J6" s="346">
        <f ca="1">ROUND(M6*M8*M7*(1-M9)/10000,0)</f>
        <v>151</v>
      </c>
      <c r="K6" s="164" t="s">
        <v>3029</v>
      </c>
      <c r="L6" s="347" t="s">
        <v>1399</v>
      </c>
      <c r="M6" s="348">
        <f ca="1">INDIRECT("'数据-取费表'!z"&amp;$G$1)</f>
        <v>2.1</v>
      </c>
    </row>
    <row r="7" spans="1:37" ht="18" customHeight="1">
      <c r="A7" s="1295"/>
      <c r="B7" s="3252"/>
      <c r="C7" s="1297"/>
      <c r="D7" s="352"/>
      <c r="E7" s="1298" t="s">
        <v>1400</v>
      </c>
      <c r="F7" s="348">
        <f ca="1">IF(INDIRECT("'数据-取费表'!ah"&amp;$G$1)="",INDIRECT("'数据-取费表'!k"&amp;$G$1),INDIRECT("'数据-取费表'!ah"&amp;$G$1))</f>
        <v>2191.33</v>
      </c>
      <c r="G7" s="1851"/>
      <c r="H7" s="349"/>
      <c r="I7" s="3252"/>
      <c r="J7" s="351"/>
      <c r="K7" s="352"/>
      <c r="L7" s="347" t="s">
        <v>1400</v>
      </c>
      <c r="M7" s="348">
        <f ca="1">F7</f>
        <v>2191.33</v>
      </c>
    </row>
    <row r="8" spans="1:37" ht="18" customHeight="1">
      <c r="A8" s="349"/>
      <c r="B8" s="3252"/>
      <c r="C8" s="351"/>
      <c r="D8" s="352"/>
      <c r="E8" s="347" t="s">
        <v>1401</v>
      </c>
      <c r="F8" s="348">
        <f ca="1">INDIRECT("'数据-取费表'!ai"&amp;$G$1)</f>
        <v>365</v>
      </c>
      <c r="G8" s="1851"/>
      <c r="H8" s="349"/>
      <c r="I8" s="3252"/>
      <c r="J8" s="351"/>
      <c r="K8" s="352"/>
      <c r="L8" s="347" t="s">
        <v>1401</v>
      </c>
      <c r="M8" s="348">
        <f ca="1">INDIRECT("'数据-取费表'!ai"&amp;$G$1)</f>
        <v>365</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0.1</v>
      </c>
    </row>
    <row r="10" spans="1:37" ht="18" customHeight="1">
      <c r="A10" s="1291" t="s">
        <v>1035</v>
      </c>
      <c r="B10" s="1823" t="s">
        <v>1403</v>
      </c>
      <c r="C10" s="361">
        <f ca="1">ROUND(IF(F10="押一",C6/12*F11,IF(F10="押二",C6/12*2*F11,IF(F10="押三",C6/12*3*F11,C11*F11))),0)</f>
        <v>0</v>
      </c>
      <c r="D10" s="1824" t="s">
        <v>3039</v>
      </c>
      <c r="E10" s="358" t="s">
        <v>1404</v>
      </c>
      <c r="F10" s="1366" t="s">
        <v>3069</v>
      </c>
      <c r="G10" s="1851"/>
      <c r="H10" s="1291" t="s">
        <v>1035</v>
      </c>
      <c r="I10" s="1823" t="s">
        <v>1403</v>
      </c>
      <c r="J10" s="346">
        <f ca="1">ROUND(IF(M10="押一",J6/12*M11,IF(M10="押二",J6/12*2*M11,IF(M10="押三",J6/12*3*M11,J11*M11))),0)</f>
        <v>0</v>
      </c>
      <c r="K10" s="1824" t="s">
        <v>3038</v>
      </c>
      <c r="L10" s="358" t="s">
        <v>1404</v>
      </c>
      <c r="M10" s="1366" t="s">
        <v>3069</v>
      </c>
    </row>
    <row r="11" spans="1:37" ht="18" customHeight="1">
      <c r="A11" s="353"/>
      <c r="B11" s="1825" t="s">
        <v>1382</v>
      </c>
      <c r="C11" s="1178"/>
      <c r="D11" s="1826"/>
      <c r="E11" s="358" t="s">
        <v>1405</v>
      </c>
      <c r="F11" s="359">
        <f ca="1">'数据-取费表'!B39</f>
        <v>1.4999999999999999E-2</v>
      </c>
      <c r="G11" s="1851"/>
      <c r="H11" s="1299"/>
      <c r="I11" s="1825" t="s">
        <v>1382</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590</v>
      </c>
      <c r="D13" s="1331" t="s">
        <v>1408</v>
      </c>
      <c r="E13" s="1331" t="s">
        <v>1409</v>
      </c>
      <c r="F13" s="1332">
        <f ca="1">INDIRECT("'数据-取费表'!y"&amp;$G$1)</f>
        <v>0.72</v>
      </c>
      <c r="G13" s="1851"/>
      <c r="H13" s="1329">
        <v>2</v>
      </c>
      <c r="I13" s="1330" t="s">
        <v>1407</v>
      </c>
      <c r="J13" s="1290">
        <f ca="1">ROUND(J14*J15,0)</f>
        <v>533</v>
      </c>
      <c r="K13" s="1337" t="s">
        <v>1408</v>
      </c>
      <c r="L13" s="1852"/>
      <c r="M13" s="1853"/>
    </row>
    <row r="14" spans="1:37" ht="18" customHeight="1">
      <c r="A14" s="1201" t="s">
        <v>1030</v>
      </c>
      <c r="B14" s="347" t="s">
        <v>1410</v>
      </c>
      <c r="C14" s="363">
        <f ca="1">INDIRECT("'数据-取费表'!m"&amp;$G$1)+INDIRECT("'数据-取费表'!t"&amp;$G$1)</f>
        <v>570</v>
      </c>
      <c r="D14" s="1800" t="s">
        <v>1411</v>
      </c>
      <c r="E14" s="1794"/>
      <c r="F14" s="364"/>
      <c r="G14" s="1851"/>
      <c r="H14" s="1201" t="s">
        <v>1031</v>
      </c>
      <c r="I14" s="347" t="s">
        <v>1412</v>
      </c>
      <c r="J14" s="24">
        <f ca="1">C29</f>
        <v>820</v>
      </c>
      <c r="K14" s="15"/>
      <c r="L14" s="979"/>
      <c r="M14" s="980"/>
    </row>
    <row r="15" spans="1:37" s="1858" customFormat="1" ht="18" customHeight="1" thickBot="1">
      <c r="A15" s="1201" t="s">
        <v>1032</v>
      </c>
      <c r="B15" s="347" t="s">
        <v>1413</v>
      </c>
      <c r="C15" s="24">
        <f ca="1">ROUND(C14*F15,0)</f>
        <v>17</v>
      </c>
      <c r="D15" s="365" t="s">
        <v>1414</v>
      </c>
      <c r="E15" s="365" t="s">
        <v>1415</v>
      </c>
      <c r="F15" s="366">
        <f>'数据-取费表'!B33</f>
        <v>0.03</v>
      </c>
      <c r="G15" s="1854"/>
      <c r="H15" s="1339" t="s">
        <v>1035</v>
      </c>
      <c r="I15" s="1340" t="s">
        <v>1409</v>
      </c>
      <c r="J15" s="1349">
        <f ca="1">INDIRECT("'数据-取费表'!ad"&amp;$G$1)</f>
        <v>0.65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ROUND(INDIRECT("'数据-取费表'!m"&amp;$G$1)*F16,0)</f>
        <v>0</v>
      </c>
      <c r="D16" s="347" t="s">
        <v>1414</v>
      </c>
      <c r="E16" s="347" t="s">
        <v>1415</v>
      </c>
      <c r="F16" s="367">
        <f ca="1">IF(INDIRECT("'数据-取费表'!c"&amp;$G$1)="住宅",'数据-取费表'!B34,0)</f>
        <v>0</v>
      </c>
      <c r="G16" s="1851"/>
      <c r="H16" s="1329" t="s">
        <v>1026</v>
      </c>
      <c r="I16" s="1330" t="s">
        <v>1417</v>
      </c>
      <c r="J16" s="355">
        <f ca="1">ROUND(J17+J22+J23+J24,0)</f>
        <v>29</v>
      </c>
      <c r="K16" s="1337" t="s">
        <v>1418</v>
      </c>
      <c r="L16" s="1338"/>
      <c r="M16" s="1294"/>
    </row>
    <row r="17" spans="1:37" s="1858" customFormat="1" ht="18" customHeight="1">
      <c r="A17" s="1201" t="s">
        <v>1384</v>
      </c>
      <c r="B17" s="347" t="s">
        <v>1419</v>
      </c>
      <c r="C17" s="24">
        <f ca="1">ROUND(F17*(F43+INDIRECT("'数据-取费表'!S"&amp;$G$1))/10000,0)</f>
        <v>44</v>
      </c>
      <c r="D17" s="347" t="s">
        <v>1420</v>
      </c>
      <c r="E17" s="347" t="s">
        <v>1421</v>
      </c>
      <c r="F17" s="26">
        <f>'数据-取费表'!B35</f>
        <v>200</v>
      </c>
      <c r="G17" s="1854"/>
      <c r="H17" s="1201" t="s">
        <v>1031</v>
      </c>
      <c r="I17" s="347" t="s">
        <v>1422</v>
      </c>
      <c r="J17" s="24">
        <f ca="1">ROUND(IF(项目基本情况!B11="自然人",J6*M17/(1+'数据-取费表'!C42),J18+J19+J20),1)</f>
        <v>17.2</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9</v>
      </c>
      <c r="D18" s="347" t="s">
        <v>1414</v>
      </c>
      <c r="E18" s="347" t="s">
        <v>1415</v>
      </c>
      <c r="F18" s="367">
        <f>'数据-取费表'!B36</f>
        <v>1.4999999999999999E-2</v>
      </c>
      <c r="G18" s="1854"/>
      <c r="H18" s="1201" t="s">
        <v>1030</v>
      </c>
      <c r="I18" s="347" t="s">
        <v>1426</v>
      </c>
      <c r="J18" s="24">
        <f ca="1">ROUND(J6*M18/(1+'数据-取费表'!C42),2)</f>
        <v>7.91</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640</v>
      </c>
      <c r="D19" s="140" t="s">
        <v>1429</v>
      </c>
      <c r="E19" s="1818"/>
      <c r="F19" s="26"/>
      <c r="G19" s="1851"/>
      <c r="H19" s="1201" t="s">
        <v>1032</v>
      </c>
      <c r="I19" s="347" t="s">
        <v>1430</v>
      </c>
      <c r="J19" s="24">
        <f ca="1">IF(K19="按租金收入计税",ROUND(J6*M19/(1+'数据-取费表'!C42),2),ROUND(C29*M19*0.7,2))</f>
        <v>6.89</v>
      </c>
      <c r="K19" s="1828" t="s">
        <v>1431</v>
      </c>
      <c r="L19" s="347" t="s">
        <v>1415</v>
      </c>
      <c r="M19" s="367">
        <f>IF(K19="按租金收入计税",'数据-取费表'!B51,'数据-取费表'!B50)</f>
        <v>1.2E-2</v>
      </c>
    </row>
    <row r="20" spans="1:37" s="1858" customFormat="1" ht="18" customHeight="1">
      <c r="A20" s="1201" t="s">
        <v>1035</v>
      </c>
      <c r="B20" s="347" t="s">
        <v>1432</v>
      </c>
      <c r="C20" s="24">
        <f ca="1">ROUND(C19*F20,0)</f>
        <v>13</v>
      </c>
      <c r="D20" s="369" t="s">
        <v>1433</v>
      </c>
      <c r="E20" s="347" t="s">
        <v>1415</v>
      </c>
      <c r="F20" s="367">
        <f>'数据-取费表'!B37</f>
        <v>0.02</v>
      </c>
      <c r="G20" s="1854"/>
      <c r="H20" s="1201" t="s">
        <v>1383</v>
      </c>
      <c r="I20" s="164" t="s">
        <v>1434</v>
      </c>
      <c r="J20" s="25">
        <f ca="1">ROUND(M20*M21/10000,2)</f>
        <v>2.42</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18</v>
      </c>
      <c r="D21" s="369" t="s">
        <v>1438</v>
      </c>
      <c r="E21" s="347" t="s">
        <v>1439</v>
      </c>
      <c r="F21" s="367">
        <f>'数据-取费表'!B38</f>
        <v>0.02</v>
      </c>
      <c r="G21" s="1854"/>
      <c r="H21" s="372"/>
      <c r="I21" s="356"/>
      <c r="J21" s="29"/>
      <c r="K21" s="373"/>
      <c r="L21" s="347" t="s">
        <v>1440</v>
      </c>
      <c r="M21" s="348">
        <f ca="1">INDIRECT("'数据-取费表'!r"&amp;$G$1)</f>
        <v>16164.6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ROUND(J14*M22,1)</f>
        <v>8.1999999999999993</v>
      </c>
      <c r="K22" s="1798" t="s">
        <v>1443</v>
      </c>
      <c r="L22" s="347" t="s">
        <v>1415</v>
      </c>
      <c r="M22" s="374">
        <f ca="1">INDIRECT("'数据-取费表'!Ak"&amp;$G$1)</f>
        <v>0.01</v>
      </c>
    </row>
    <row r="23" spans="1:37" s="1858" customFormat="1" ht="18" customHeight="1">
      <c r="A23" s="1201" t="s">
        <v>1030</v>
      </c>
      <c r="B23" s="347" t="s">
        <v>1444</v>
      </c>
      <c r="C23" s="24">
        <f ca="1">IF('数据-取费表'!B22&lt;=1,ROUND(C19*F24*F23/2,0)+ROUND(C20*F24*F23/2,0),ROUND(C19*(POWER((1+F24),F23/2)-1),0)+ROUND(C20*(POWER((1+F24),F23/2)-1),0))</f>
        <v>7</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ROUND(J13*M23,1)</f>
        <v>1.1000000000000001</v>
      </c>
      <c r="K23" s="1798" t="s">
        <v>1447</v>
      </c>
      <c r="L23" s="347" t="s">
        <v>1448</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ROUND(J5*M24,1)</f>
        <v>2.2999999999999998</v>
      </c>
      <c r="K24" s="1342" t="s">
        <v>1452</v>
      </c>
      <c r="L24" s="1340" t="s">
        <v>1448</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1453</v>
      </c>
      <c r="B25" s="347" t="s">
        <v>1454</v>
      </c>
      <c r="C25" s="24"/>
      <c r="D25" s="140" t="s">
        <v>1455</v>
      </c>
      <c r="E25" s="1818"/>
      <c r="F25" s="26"/>
      <c r="G25" s="1851"/>
      <c r="H25" s="1329" t="s">
        <v>1027</v>
      </c>
      <c r="I25" s="1344" t="s">
        <v>1456</v>
      </c>
      <c r="J25" s="355">
        <f ca="1">J5-J16</f>
        <v>122</v>
      </c>
      <c r="K25" s="1345" t="s">
        <v>1457</v>
      </c>
      <c r="L25" s="1346"/>
      <c r="M25" s="1347"/>
    </row>
    <row r="26" spans="1:37">
      <c r="A26" s="1201" t="s">
        <v>1030</v>
      </c>
      <c r="B26" s="347" t="s">
        <v>1458</v>
      </c>
      <c r="C26" s="24">
        <f ca="1">ROUND((C19+C20)*F26,0)</f>
        <v>98</v>
      </c>
      <c r="D26" s="369" t="s">
        <v>1459</v>
      </c>
      <c r="E26" s="358" t="s">
        <v>1460</v>
      </c>
      <c r="F26" s="357">
        <f ca="1">INDIRECT("'数据-取费表'!q"&amp;$G$1)</f>
        <v>0.15</v>
      </c>
      <c r="G26" s="1851"/>
      <c r="H26" s="344" t="s">
        <v>1028</v>
      </c>
      <c r="I26" s="345" t="s">
        <v>1461</v>
      </c>
      <c r="J26" s="346">
        <f ca="1">IF(J5&lt;&gt;0,ROUND(J25*(1-((1+M28)/(1+M26))^M27)/(M26-M28),0),0)</f>
        <v>1206</v>
      </c>
      <c r="K26" s="370" t="s">
        <v>1462</v>
      </c>
      <c r="L26" s="347" t="s">
        <v>1463</v>
      </c>
      <c r="M26" s="357">
        <f ca="1">INDIRECT("'数据-取费表'!I"&amp;$G$1)</f>
        <v>0.05</v>
      </c>
    </row>
    <row r="27" spans="1:37" ht="18" customHeight="1">
      <c r="A27" s="1201" t="s">
        <v>1032</v>
      </c>
      <c r="B27" s="347" t="s">
        <v>1464</v>
      </c>
      <c r="C27" s="24">
        <f ca="1">ROUND(F21*F26,4)</f>
        <v>3.0000000000000001E-3</v>
      </c>
      <c r="D27" s="369" t="s">
        <v>1465</v>
      </c>
      <c r="E27" s="365"/>
      <c r="F27" s="366"/>
      <c r="G27" s="1851"/>
      <c r="H27" s="349"/>
      <c r="I27" s="350"/>
      <c r="J27" s="351"/>
      <c r="K27" s="378" t="s">
        <v>1466</v>
      </c>
      <c r="L27" s="347" t="s">
        <v>1467</v>
      </c>
      <c r="M27" s="379">
        <f ca="1">INDIRECT("'数据-取费表'!ag"&amp;$G$1)</f>
        <v>12.13</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0.02</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820</v>
      </c>
      <c r="D29" s="1342"/>
      <c r="E29" s="1340"/>
      <c r="F29" s="1343"/>
      <c r="G29" s="1854"/>
      <c r="H29" s="380" t="s">
        <v>1029</v>
      </c>
      <c r="I29" s="381" t="s">
        <v>1472</v>
      </c>
      <c r="J29" s="382">
        <f ca="1">ROUND(J26/(1+F40)^F41,0)</f>
        <v>704</v>
      </c>
      <c r="K29" s="383" t="s">
        <v>1473</v>
      </c>
      <c r="L29" s="384"/>
      <c r="M29" s="385">
        <f ca="1">INDIRECT("'数据-取费表'!k"&amp;$G$1)</f>
        <v>2191.33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20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ROUND(IF(项目基本情况!B11="自然人",C6*F31/(1+'数据-取费表'!C42),C32+C33+C34),1)</f>
        <v>10.5</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IF(项目基本情况!B11="自然人","——",ROUND(C6*F32/(1+'数据-取费表'!C42),2))</f>
        <v>1.1499999999999999</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IF(项目基本情况!B11="自然人","——",IF(D33="按租金收入计税",ROUND(C6*F33/(1+'数据-取费表'!C42),2),IF(D33="按房产原值计税",ROUND(C29*F33*0.7,2),INDIRECT("'数据-取费表'!Aj"&amp;$G$1))))</f>
        <v>6.89</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IF(项目基本情况!B11="自然人","——",ROUND(F34*F35/10000,2))</f>
        <v>2.42</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16164.6</v>
      </c>
      <c r="G35" s="1851"/>
      <c r="H35" s="745"/>
      <c r="I35" s="1860"/>
      <c r="J35" s="1861"/>
      <c r="K35" s="1862"/>
      <c r="L35" s="1859"/>
      <c r="M35" s="1859"/>
    </row>
    <row r="36" spans="1:18" ht="18" customHeight="1">
      <c r="A36" s="1352" t="s">
        <v>1035</v>
      </c>
      <c r="B36" s="347" t="s">
        <v>1442</v>
      </c>
      <c r="C36" s="24">
        <f ca="1">ROUND(C29*F36,1)</f>
        <v>8.1999999999999993</v>
      </c>
      <c r="D36" s="1798" t="s">
        <v>1475</v>
      </c>
      <c r="E36" s="347" t="s">
        <v>1415</v>
      </c>
      <c r="F36" s="374">
        <f ca="1">INDIRECT("'数据-取费表'!Ak"&amp;$G$1)</f>
        <v>0.01</v>
      </c>
      <c r="G36" s="1851"/>
      <c r="H36" s="1859"/>
      <c r="I36" s="1860"/>
      <c r="J36" s="1861"/>
      <c r="K36" s="751"/>
      <c r="L36" s="1859"/>
      <c r="M36" s="1859"/>
    </row>
    <row r="37" spans="1:18" ht="18" customHeight="1">
      <c r="A37" s="1201" t="s">
        <v>1071</v>
      </c>
      <c r="B37" s="347" t="s">
        <v>1446</v>
      </c>
      <c r="C37" s="24">
        <f ca="1">ROUND(C13*F37,1)</f>
        <v>1.2</v>
      </c>
      <c r="D37" s="1798" t="s">
        <v>1447</v>
      </c>
      <c r="E37" s="347" t="s">
        <v>1448</v>
      </c>
      <c r="F37" s="376">
        <f ca="1">INDIRECT("'数据-取费表'!Al"&amp;$G$1)</f>
        <v>2E-3</v>
      </c>
      <c r="G37" s="1851"/>
      <c r="H37" s="1859"/>
      <c r="I37" s="1860"/>
      <c r="J37" s="1861"/>
      <c r="K37" s="751"/>
      <c r="L37" s="1859"/>
      <c r="M37" s="1859"/>
    </row>
    <row r="38" spans="1:18" ht="18" customHeight="1" thickBot="1">
      <c r="A38" s="1339" t="s">
        <v>1387</v>
      </c>
      <c r="B38" s="1340" t="s">
        <v>1432</v>
      </c>
      <c r="C38" s="1341">
        <f ca="1">ROUND(C5*F38,1)</f>
        <v>0.3</v>
      </c>
      <c r="D38" s="1342" t="s">
        <v>1452</v>
      </c>
      <c r="E38" s="1340" t="s">
        <v>1448</v>
      </c>
      <c r="F38" s="1336">
        <f ca="1">INDIRECT("'数据-取费表'!Am"&amp;$G$1)</f>
        <v>1.4999999999999999E-2</v>
      </c>
      <c r="G38" s="1851"/>
      <c r="H38" s="1859"/>
      <c r="I38" s="1860"/>
      <c r="J38" s="1861"/>
      <c r="K38" s="1865"/>
      <c r="L38" s="1859"/>
      <c r="M38" s="1859"/>
    </row>
    <row r="39" spans="1:18" ht="24.6" customHeight="1" thickTop="1">
      <c r="A39" s="1329" t="s">
        <v>1027</v>
      </c>
      <c r="B39" s="1344" t="s">
        <v>1476</v>
      </c>
      <c r="C39" s="355">
        <f ca="1">C5-C30</f>
        <v>2</v>
      </c>
      <c r="D39" s="1345" t="s">
        <v>1477</v>
      </c>
      <c r="E39" s="1346"/>
      <c r="F39" s="1347"/>
      <c r="G39" s="1851"/>
      <c r="H39" s="1859"/>
      <c r="I39" s="1860"/>
      <c r="J39" s="1861"/>
      <c r="K39" s="1865"/>
      <c r="L39" s="1859"/>
      <c r="M39" s="1859"/>
    </row>
    <row r="40" spans="1:18" ht="18" customHeight="1">
      <c r="A40" s="344" t="s">
        <v>1028</v>
      </c>
      <c r="B40" s="345" t="s">
        <v>1478</v>
      </c>
      <c r="C40" s="346">
        <f ca="1">ROUND(C39*(1-((1+F42)/(1+F40))^F41)/(F40-F42),0)</f>
        <v>17</v>
      </c>
      <c r="D40" s="370" t="s">
        <v>1462</v>
      </c>
      <c r="E40" s="347" t="s">
        <v>1463</v>
      </c>
      <c r="F40" s="357">
        <f ca="1">INDIRECT("'数据-取费表'!I"&amp;$G$1)</f>
        <v>0.05</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11.03</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f ca="1">ROUND(C40*10000/F43,0)</f>
        <v>78</v>
      </c>
      <c r="D43" s="383" t="s">
        <v>1481</v>
      </c>
      <c r="E43" s="384" t="s">
        <v>1482</v>
      </c>
      <c r="F43" s="385">
        <f ca="1">INDIRECT("'数据-取费表'!k"&amp;$G$1)</f>
        <v>2191.33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1512</v>
      </c>
      <c r="P45" s="1839"/>
      <c r="Q45" s="1839"/>
      <c r="R45" s="1839"/>
    </row>
    <row r="46" spans="1:18" s="1842" customFormat="1" ht="13.5" thickBot="1">
      <c r="A46" s="1870" t="s">
        <v>1513</v>
      </c>
      <c r="C46" s="1871">
        <f ca="1">C68-C40</f>
        <v>941</v>
      </c>
      <c r="D46" s="1872" t="str">
        <f>C2</f>
        <v>万元</v>
      </c>
      <c r="E46" s="1866"/>
      <c r="F46" s="1866"/>
      <c r="I46" s="1873" t="s">
        <v>1514</v>
      </c>
      <c r="J46" s="1874"/>
      <c r="K46" s="1875"/>
      <c r="L46" s="1876">
        <f ca="1">IF(M47="住宅",0,IF(L48&gt;J51,L60,J60))</f>
        <v>61</v>
      </c>
      <c r="O46" s="1877" t="s">
        <v>1515</v>
      </c>
      <c r="P46" s="1878" t="s">
        <v>1516</v>
      </c>
      <c r="Q46" s="1879" t="s">
        <v>1517</v>
      </c>
      <c r="R46" s="1879" t="s">
        <v>1518</v>
      </c>
    </row>
    <row r="47" spans="1:18" s="1842" customFormat="1" ht="13.5" thickBot="1">
      <c r="A47" s="1165" t="s">
        <v>1390</v>
      </c>
      <c r="B47" s="1197" t="s">
        <v>1391</v>
      </c>
      <c r="C47" s="1367" t="s">
        <v>1392</v>
      </c>
      <c r="D47" s="1197" t="s">
        <v>1393</v>
      </c>
      <c r="E47" s="1279" t="s">
        <v>1394</v>
      </c>
      <c r="F47" s="1280"/>
      <c r="G47" s="792"/>
      <c r="I47" s="1880" t="s">
        <v>1519</v>
      </c>
      <c r="J47" s="1881" t="s">
        <v>3237</v>
      </c>
      <c r="K47" s="1882" t="s">
        <v>1520</v>
      </c>
      <c r="L47" s="1883">
        <f ca="1">INDIRECT("'数据-取费表'!d"&amp;$G$1)</f>
        <v>40</v>
      </c>
      <c r="M47" s="1838" t="str">
        <f>IF(ISNUMBER(FIND("住宅",C1)),"住宅","非住宅")</f>
        <v>非住宅</v>
      </c>
      <c r="O47" s="1884" t="s">
        <v>1036</v>
      </c>
      <c r="P47" s="1885" t="s">
        <v>1521</v>
      </c>
      <c r="Q47" s="1886">
        <f ca="1">C40+J29</f>
        <v>721</v>
      </c>
      <c r="R47" s="1886" t="s">
        <v>1522</v>
      </c>
    </row>
    <row r="48" spans="1:18" s="1842" customFormat="1" ht="28.5" thickBot="1">
      <c r="A48" s="1360" t="s">
        <v>1131</v>
      </c>
      <c r="B48" s="345" t="s">
        <v>1395</v>
      </c>
      <c r="C48" s="1817">
        <f ca="1">C49+C53+C55</f>
        <v>133</v>
      </c>
      <c r="D48" s="1362"/>
      <c r="E48" s="1363"/>
      <c r="F48" s="1181"/>
      <c r="G48" s="792"/>
      <c r="H48" s="793"/>
      <c r="I48" s="1887" t="s">
        <v>1523</v>
      </c>
      <c r="J48" s="1888" t="s">
        <v>3238</v>
      </c>
      <c r="K48" s="1889" t="s">
        <v>1524</v>
      </c>
      <c r="L48" s="1890">
        <f ca="1">INDIRECT("'数据-取费表'!f"&amp;$G$1)</f>
        <v>23.16</v>
      </c>
      <c r="O48" s="1884" t="s">
        <v>1037</v>
      </c>
      <c r="P48" s="1885" t="s">
        <v>1525</v>
      </c>
      <c r="Q48" s="1886">
        <f ca="1">J60</f>
        <v>61</v>
      </c>
      <c r="R48" s="1886" t="s">
        <v>1526</v>
      </c>
    </row>
    <row r="49" spans="1:18" s="1842" customFormat="1" ht="13.5" thickBot="1">
      <c r="A49" s="1194" t="s">
        <v>1132</v>
      </c>
      <c r="B49" s="1829" t="s">
        <v>1483</v>
      </c>
      <c r="C49" s="1364">
        <f ca="1">ROUND(F49*F51*F50*(1-F52)/10000,0)</f>
        <v>133</v>
      </c>
      <c r="D49" s="1276" t="s">
        <v>3031</v>
      </c>
      <c r="E49" s="1830" t="s">
        <v>1484</v>
      </c>
      <c r="F49" s="3062">
        <v>1.85</v>
      </c>
      <c r="G49" s="1891"/>
      <c r="H49" s="793"/>
      <c r="I49" s="1887" t="s">
        <v>1527</v>
      </c>
      <c r="J49" s="1892">
        <v>2002</v>
      </c>
      <c r="K49" s="1889" t="s">
        <v>1528</v>
      </c>
      <c r="L49" s="1893"/>
      <c r="O49" s="1894" t="s">
        <v>1038</v>
      </c>
      <c r="P49" s="1885" t="s">
        <v>1529</v>
      </c>
      <c r="Q49" s="1886">
        <f ca="1">C29</f>
        <v>820</v>
      </c>
      <c r="R49" s="1886" t="s">
        <v>1522</v>
      </c>
    </row>
    <row r="50" spans="1:18" s="1842" customFormat="1" ht="13.5" thickBot="1">
      <c r="A50" s="1195"/>
      <c r="B50" s="1198"/>
      <c r="C50" s="1368"/>
      <c r="D50" s="1172"/>
      <c r="E50" s="1277" t="s">
        <v>1400</v>
      </c>
      <c r="F50" s="1278">
        <f ca="1">F7</f>
        <v>2191.33</v>
      </c>
      <c r="H50" s="793"/>
      <c r="I50" s="1887" t="s">
        <v>1530</v>
      </c>
      <c r="J50" s="1895">
        <f>SUMPRODUCT((I63:I65=J47)*(J62:L62=J48)*(J63:L65))</f>
        <v>50</v>
      </c>
      <c r="K50" s="1889" t="s">
        <v>1531</v>
      </c>
      <c r="L50" s="1893"/>
      <c r="M50" s="1896"/>
      <c r="O50" s="1894" t="s">
        <v>1039</v>
      </c>
      <c r="P50" s="1885" t="s">
        <v>1532</v>
      </c>
      <c r="Q50" s="1897">
        <f ca="1">J58</f>
        <v>0.4</v>
      </c>
      <c r="R50" s="1886"/>
    </row>
    <row r="51" spans="1:18" s="1842" customFormat="1" ht="13.5" thickBot="1">
      <c r="A51" s="1196"/>
      <c r="B51" s="1198"/>
      <c r="C51" s="1199"/>
      <c r="D51" s="1172"/>
      <c r="E51" s="1200" t="s">
        <v>1401</v>
      </c>
      <c r="F51" s="348">
        <f ca="1">F8</f>
        <v>365</v>
      </c>
      <c r="I51" s="1898" t="s">
        <v>1533</v>
      </c>
      <c r="J51" s="1899">
        <f>IF(J49="",J50,J49+J50-YEAR('数据-取费表'!B2))</f>
        <v>33</v>
      </c>
      <c r="K51" s="1900" t="s">
        <v>1534</v>
      </c>
      <c r="L51" s="1901">
        <f ca="1">ROUND(-PV(INDIRECT("'数据-取费表'!h"&amp;$G$1),L48,(C39-C13*C76),0),0)</f>
        <v>-684</v>
      </c>
      <c r="M51" s="1902"/>
      <c r="O51" s="1894" t="s">
        <v>1040</v>
      </c>
      <c r="P51" s="1885" t="s">
        <v>1535</v>
      </c>
      <c r="Q51" s="1897">
        <f>J52</f>
        <v>7.4999999999999997E-2</v>
      </c>
      <c r="R51" s="1886"/>
    </row>
    <row r="52" spans="1:18" s="1842" customFormat="1" ht="13.5" thickBot="1">
      <c r="A52" s="1196"/>
      <c r="B52" s="1198"/>
      <c r="C52" s="1199"/>
      <c r="D52" s="1172"/>
      <c r="E52" s="1200" t="s">
        <v>1402</v>
      </c>
      <c r="F52" s="1275">
        <f>'数据-取费表'!AB6</f>
        <v>0.1</v>
      </c>
      <c r="I52" s="1903" t="s">
        <v>1536</v>
      </c>
      <c r="J52" s="3057">
        <v>7.4999999999999997E-2</v>
      </c>
      <c r="K52" s="1903" t="s">
        <v>1537</v>
      </c>
      <c r="L52" s="1904">
        <v>0.04</v>
      </c>
      <c r="O52" s="1894" t="s">
        <v>1041</v>
      </c>
      <c r="P52" s="1885" t="s">
        <v>1538</v>
      </c>
      <c r="Q52" s="1886">
        <f ca="1">J53</f>
        <v>23.16</v>
      </c>
      <c r="R52" s="1886" t="s">
        <v>1539</v>
      </c>
    </row>
    <row r="53" spans="1:18" s="1842" customFormat="1" ht="24.75" thickBot="1">
      <c r="A53" s="1405" t="s">
        <v>1133</v>
      </c>
      <c r="B53" s="1831" t="s">
        <v>1403</v>
      </c>
      <c r="C53" s="361">
        <f ca="1">ROUND(IF(F53="押一",C49/12*F11,IF(F53="押二",C49/12*2*F11,IF(F53="押三",C49/12*3*F11,C54*F11))),0)</f>
        <v>0</v>
      </c>
      <c r="D53" s="1824" t="s">
        <v>3038</v>
      </c>
      <c r="E53" s="358" t="s">
        <v>1404</v>
      </c>
      <c r="F53" s="1366" t="s">
        <v>3069</v>
      </c>
      <c r="I53" s="1905" t="s">
        <v>1540</v>
      </c>
      <c r="J53" s="2950">
        <f ca="1">IF(M47="住宅",IF(D1="——",MAX(J51,L48),MAX(J51,L48-'数据-取费表'!B24)),IF(D1="——",MIN(J51,L48),MIN(J51,L48-'数据-取费表'!B24)))</f>
        <v>23.16</v>
      </c>
      <c r="K53" s="3249" t="s">
        <v>1541</v>
      </c>
      <c r="L53" s="3250"/>
      <c r="O53" s="1884" t="s">
        <v>1042</v>
      </c>
      <c r="P53" s="1885" t="s">
        <v>1542</v>
      </c>
      <c r="Q53" s="1886">
        <f ca="1">Q47+Q48</f>
        <v>782</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f ca="1">ROUND(IF(J47="钢混",J57/J50,1-(1-2%)*(J50-J57)/J50),3)</f>
        <v>0.21299999999999999</v>
      </c>
      <c r="K55" s="1911" t="s">
        <v>1545</v>
      </c>
      <c r="L55" s="1912" t="s">
        <v>1546</v>
      </c>
      <c r="O55" s="1877" t="s">
        <v>1515</v>
      </c>
      <c r="P55" s="1878" t="s">
        <v>1516</v>
      </c>
      <c r="Q55" s="1879" t="s">
        <v>1517</v>
      </c>
      <c r="R55" s="1879" t="s">
        <v>1518</v>
      </c>
    </row>
    <row r="56" spans="1:18" s="1842" customFormat="1" ht="25.5" thickTop="1" thickBot="1">
      <c r="A56" s="1176">
        <v>2</v>
      </c>
      <c r="B56" s="1177" t="s">
        <v>1407</v>
      </c>
      <c r="C56" s="276">
        <f ca="1">C13</f>
        <v>590</v>
      </c>
      <c r="D56" s="1913"/>
      <c r="E56" s="1914"/>
      <c r="F56" s="1906"/>
      <c r="I56" s="1915" t="s">
        <v>1547</v>
      </c>
      <c r="J56" s="1916" t="s">
        <v>3239</v>
      </c>
      <c r="K56" s="1887" t="s">
        <v>1548</v>
      </c>
      <c r="L56" s="1890" t="str">
        <f ca="1">IF(L48&lt;J51,"——",L48-J53)</f>
        <v>——</v>
      </c>
      <c r="O56" s="1884" t="s">
        <v>1036</v>
      </c>
      <c r="P56" s="1885" t="s">
        <v>1521</v>
      </c>
      <c r="Q56" s="1886">
        <f ca="1">C40+J29</f>
        <v>721</v>
      </c>
      <c r="R56" s="1886" t="s">
        <v>1522</v>
      </c>
    </row>
    <row r="57" spans="1:18" s="1842" customFormat="1" ht="24.75" thickBot="1">
      <c r="A57" s="1917"/>
      <c r="B57" s="1169" t="s">
        <v>1471</v>
      </c>
      <c r="C57" s="282">
        <f ca="1">C29</f>
        <v>820</v>
      </c>
      <c r="D57" s="1918"/>
      <c r="E57" s="1919"/>
      <c r="F57" s="1920"/>
      <c r="I57" s="1921" t="s">
        <v>1549</v>
      </c>
      <c r="J57" s="1922">
        <f ca="1">IF(OR(M47="住宅",J51&lt;L48,J56="是"),"——",J51-L48)</f>
        <v>9.84</v>
      </c>
      <c r="K57" s="1887" t="s">
        <v>1550</v>
      </c>
      <c r="L57" s="1890" t="str">
        <f ca="1">IF(L48&lt;J51,"——",IF(L55="比较法",L49,IF(L55="基准地价",L50,L51)))</f>
        <v>——</v>
      </c>
      <c r="O57" s="1884" t="s">
        <v>1037</v>
      </c>
      <c r="P57" s="1885" t="s">
        <v>1551</v>
      </c>
      <c r="Q57" s="1886">
        <f ca="1">L60</f>
        <v>0</v>
      </c>
      <c r="R57" s="1886" t="s">
        <v>1552</v>
      </c>
    </row>
    <row r="58" spans="1:18" s="1842" customFormat="1" ht="24.75" thickBot="1">
      <c r="A58" s="360" t="s">
        <v>1026</v>
      </c>
      <c r="B58" s="1177" t="s">
        <v>1417</v>
      </c>
      <c r="C58" s="361">
        <f ca="1">ROUND(C59+C64+C65+C66,0)</f>
        <v>28</v>
      </c>
      <c r="D58" s="1179" t="s">
        <v>1418</v>
      </c>
      <c r="E58" s="1180"/>
      <c r="F58" s="1181"/>
      <c r="I58" s="1921" t="s">
        <v>1553</v>
      </c>
      <c r="J58" s="1923">
        <f ca="1">IF(J55&lt;0.4,0.4,J55)</f>
        <v>0.4</v>
      </c>
      <c r="K58" s="1900" t="s">
        <v>1554</v>
      </c>
      <c r="L58" s="1890">
        <f ca="1">ROUND(POWER(1+L52,L47-L48)*(POWER(1+L52,L48)-1)/(POWER(1+L52,L47)-1),4)</f>
        <v>0.75380000000000003</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ROUND(IF(项目基本情况!B11="自然人",C48*F59,C60+C61+C62),1)</f>
        <v>16.3</v>
      </c>
      <c r="D59" s="1182" t="s">
        <v>1423</v>
      </c>
      <c r="E59" s="1183" t="s">
        <v>1424</v>
      </c>
      <c r="F59" s="368" t="str">
        <f ca="1">IF(项目基本情况!B11="企业","",IF(INDIRECT("'数据-取费表'!c"&amp;$G$1)="住宅",5%,IF(F49*F50*F51/12/(1+'数据-取费表'!C42)&gt;20000,12%,7%)))</f>
        <v/>
      </c>
      <c r="I59" s="1921" t="s">
        <v>1556</v>
      </c>
      <c r="J59" s="1922">
        <f ca="1">IF(OR(M47="住宅",J51&lt;L48,J56="是"),"——",ROUND(C29*J58,0))</f>
        <v>328</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f ca="1">ROUND(IF(D1="在建（套用方法）",M59,IF(D1="土地（套用方法）",N59,POWER(1+L52,L47-J51)*(POWER(1+L52,J51)-1)/(POWER(1+L52,L47)-1))),4)</f>
        <v>0.91690000000000005</v>
      </c>
      <c r="M59" s="1838">
        <f ca="1">ROUND(POWER(1+L52,L47-(J51+'数据-取费表'!B24))*(POWER(1+L52,(J51+'数据-取费表'!B24))-1)/(POWER(1+L52,L47)-1),4)</f>
        <v>0.91690000000000005</v>
      </c>
      <c r="N59" s="1838">
        <f ca="1">ROUND(POWER(1+L52,L47-(J51+'数据-取费表'!B20))*(POWER(1+L52,(J51+'数据-取费表'!B20))-1)/(POWER(1+L52,L47)-1),4)</f>
        <v>0.92359999999999998</v>
      </c>
      <c r="O59" s="1894" t="s">
        <v>1039</v>
      </c>
      <c r="P59" s="1885" t="s">
        <v>1557</v>
      </c>
      <c r="Q59" s="1897">
        <f>L52</f>
        <v>0.04</v>
      </c>
      <c r="R59" s="1886"/>
    </row>
    <row r="60" spans="1:18" s="1842" customFormat="1" ht="16.5" thickBot="1">
      <c r="A60" s="1201" t="s">
        <v>1030</v>
      </c>
      <c r="B60" s="1169" t="s">
        <v>1426</v>
      </c>
      <c r="C60" s="24">
        <f ca="1">IF(项目基本情况!B11="自然人","——",ROUND(C48*F60/(1+'数据-取费表'!C42),2))</f>
        <v>6.97</v>
      </c>
      <c r="D60" s="1183" t="s">
        <v>1427</v>
      </c>
      <c r="E60" s="1169" t="s">
        <v>1415</v>
      </c>
      <c r="F60" s="377">
        <f t="shared" ref="F60:F66" si="0">F32</f>
        <v>5.5000000000000007E-2</v>
      </c>
      <c r="I60" s="1924" t="s">
        <v>1558</v>
      </c>
      <c r="J60" s="1925">
        <f ca="1">IF(OR(M47="住宅",J51&lt;L48,J56="是"),"0",ROUND(J59/(1+J52)^J53,0))</f>
        <v>61</v>
      </c>
      <c r="K60" s="1926" t="s">
        <v>1559</v>
      </c>
      <c r="L60" s="1925">
        <f ca="1">IF(OR(M47="住宅",L48&lt;J51),0,ROUND(L57*(L58/L59-1),0))</f>
        <v>0</v>
      </c>
      <c r="O60" s="1894" t="s">
        <v>1040</v>
      </c>
      <c r="P60" s="1885" t="s">
        <v>1560</v>
      </c>
      <c r="Q60" s="1886">
        <f ca="1">L58</f>
        <v>0.75380000000000003</v>
      </c>
      <c r="R60" s="1886" t="s">
        <v>1561</v>
      </c>
    </row>
    <row r="61" spans="1:18" s="1842" customFormat="1" ht="13.5" thickBot="1">
      <c r="A61" s="1201" t="s">
        <v>1485</v>
      </c>
      <c r="B61" s="1169" t="s">
        <v>1486</v>
      </c>
      <c r="C61" s="24">
        <f ca="1">IF(项目基本情况!B11="自然人","——",IF(D61="按租金收入计税",ROUND(C48*F61,2),IF(D61="按房产原值计税",ROUND(C57*F61*0.7,2),INDIRECT("'数据-取费表'!Aj"&amp;$G$1))))</f>
        <v>6.89</v>
      </c>
      <c r="D61" s="1828" t="s">
        <v>1431</v>
      </c>
      <c r="E61" s="1169" t="s">
        <v>1487</v>
      </c>
      <c r="F61" s="367">
        <f t="shared" si="0"/>
        <v>1.2E-2</v>
      </c>
      <c r="I61" s="1927"/>
      <c r="J61" s="1927"/>
      <c r="K61" s="1927"/>
      <c r="L61" s="1927"/>
      <c r="O61" s="1894" t="s">
        <v>1041</v>
      </c>
      <c r="P61" s="1885" t="str">
        <f>K59</f>
        <v>建设期及建筑物耐用年限下的土地年期修正系数Kn</v>
      </c>
      <c r="Q61" s="1886">
        <f ca="1">L59</f>
        <v>0.91690000000000005</v>
      </c>
      <c r="R61" s="1886" t="s">
        <v>1562</v>
      </c>
    </row>
    <row r="62" spans="1:18" s="1842" customFormat="1" ht="13.5" thickBot="1">
      <c r="A62" s="1201" t="s">
        <v>1488</v>
      </c>
      <c r="B62" s="1168" t="s">
        <v>1489</v>
      </c>
      <c r="C62" s="25">
        <f ca="1">IF(项目基本情况!B11="自然人","——",ROUND(F62*F63/10000,2))</f>
        <v>2.42</v>
      </c>
      <c r="D62" s="1184" t="s">
        <v>1490</v>
      </c>
      <c r="E62" s="1169" t="s">
        <v>1491</v>
      </c>
      <c r="F62" s="371">
        <f t="shared" si="0"/>
        <v>1.5</v>
      </c>
      <c r="I62" s="1928" t="s">
        <v>1563</v>
      </c>
      <c r="J62" s="1929" t="s">
        <v>1564</v>
      </c>
      <c r="K62" s="1929" t="s">
        <v>1565</v>
      </c>
      <c r="L62" s="1929" t="s">
        <v>1566</v>
      </c>
      <c r="M62" s="1930" t="s">
        <v>1567</v>
      </c>
      <c r="O62" s="1884" t="s">
        <v>1042</v>
      </c>
      <c r="P62" s="1885" t="s">
        <v>1568</v>
      </c>
      <c r="Q62" s="1886">
        <f ca="1">Q56+Q57</f>
        <v>721</v>
      </c>
      <c r="R62" s="1886" t="s">
        <v>1043</v>
      </c>
    </row>
    <row r="63" spans="1:18" s="1842" customFormat="1" ht="13.5" thickBot="1">
      <c r="A63" s="372"/>
      <c r="B63" s="1175"/>
      <c r="C63" s="29"/>
      <c r="D63" s="1185"/>
      <c r="E63" s="1169" t="s">
        <v>1492</v>
      </c>
      <c r="F63" s="348">
        <f t="shared" ca="1" si="0"/>
        <v>16164.6</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ROUND(C57*F64,1)</f>
        <v>8.1999999999999993</v>
      </c>
      <c r="D64" s="1183" t="s">
        <v>1495</v>
      </c>
      <c r="E64" s="1169" t="s">
        <v>1487</v>
      </c>
      <c r="F64" s="374">
        <f t="shared" ca="1" si="0"/>
        <v>0.01</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ROUND(C56*F65,1)</f>
        <v>1.2</v>
      </c>
      <c r="D65" s="1183" t="s">
        <v>1447</v>
      </c>
      <c r="E65" s="1169" t="s">
        <v>1448</v>
      </c>
      <c r="F65" s="376">
        <f t="shared" ca="1" si="0"/>
        <v>2E-3</v>
      </c>
      <c r="I65" s="1928" t="s">
        <v>1572</v>
      </c>
      <c r="J65" s="1929">
        <v>40</v>
      </c>
      <c r="K65" s="1929">
        <v>30</v>
      </c>
      <c r="L65" s="1929">
        <v>50</v>
      </c>
      <c r="M65" s="1931">
        <v>0.02</v>
      </c>
      <c r="O65" s="1884" t="s">
        <v>1036</v>
      </c>
      <c r="P65" s="1885" t="s">
        <v>1573</v>
      </c>
      <c r="Q65" s="1886">
        <f ca="1">C40+J29</f>
        <v>721</v>
      </c>
      <c r="R65" s="1886" t="s">
        <v>1522</v>
      </c>
    </row>
    <row r="66" spans="1:18" s="1842" customFormat="1" ht="16.5" thickBot="1">
      <c r="A66" s="1201" t="s">
        <v>1497</v>
      </c>
      <c r="B66" s="1169" t="s">
        <v>1432</v>
      </c>
      <c r="C66" s="24">
        <f ca="1">ROUND(C48*F66,1)</f>
        <v>2</v>
      </c>
      <c r="D66" s="1183" t="s">
        <v>1498</v>
      </c>
      <c r="E66" s="1169" t="s">
        <v>1415</v>
      </c>
      <c r="F66" s="357">
        <f t="shared" ca="1" si="0"/>
        <v>1.4999999999999999E-2</v>
      </c>
      <c r="O66" s="1884" t="s">
        <v>1037</v>
      </c>
      <c r="P66" s="1885" t="s">
        <v>1551</v>
      </c>
      <c r="Q66" s="1886">
        <f ca="1">L60</f>
        <v>0</v>
      </c>
      <c r="R66" s="1886" t="s">
        <v>1574</v>
      </c>
    </row>
    <row r="67" spans="1:18" s="1842" customFormat="1" ht="16.5" thickBot="1">
      <c r="A67" s="1176" t="s">
        <v>1027</v>
      </c>
      <c r="B67" s="1186" t="s">
        <v>1456</v>
      </c>
      <c r="C67" s="361">
        <f ca="1">C48-C58</f>
        <v>105</v>
      </c>
      <c r="D67" s="1182" t="s">
        <v>1457</v>
      </c>
      <c r="E67" s="1187"/>
      <c r="F67" s="1188"/>
      <c r="O67" s="1894" t="s">
        <v>1038</v>
      </c>
      <c r="P67" s="1885" t="s">
        <v>1555</v>
      </c>
      <c r="Q67" s="1932">
        <f ca="1">L51</f>
        <v>-684</v>
      </c>
      <c r="R67" s="1886" t="s">
        <v>1575</v>
      </c>
    </row>
    <row r="68" spans="1:18" s="1842" customFormat="1" ht="16.5" thickBot="1">
      <c r="A68" s="1166" t="s">
        <v>1028</v>
      </c>
      <c r="B68" s="1167" t="s">
        <v>1478</v>
      </c>
      <c r="C68" s="346">
        <f ca="1">ROUND(C67*(1-((1+F70)/(1+F68))^F69)/(F68-F70),0)</f>
        <v>958</v>
      </c>
      <c r="D68" s="1184" t="s">
        <v>1462</v>
      </c>
      <c r="E68" s="1169" t="s">
        <v>1463</v>
      </c>
      <c r="F68" s="357">
        <f ca="1">F40</f>
        <v>0.05</v>
      </c>
      <c r="O68" s="1894" t="s">
        <v>1039</v>
      </c>
      <c r="P68" s="1933" t="s">
        <v>1576</v>
      </c>
      <c r="Q68" s="1886">
        <f ca="1">ROUND(Q69-Q70*Q71,0)</f>
        <v>-48</v>
      </c>
      <c r="R68" s="1886" t="s">
        <v>1047</v>
      </c>
    </row>
    <row r="69" spans="1:18" s="1842" customFormat="1" ht="13.5" thickBot="1">
      <c r="A69" s="1170"/>
      <c r="B69" s="1171"/>
      <c r="C69" s="351"/>
      <c r="D69" s="1189" t="s">
        <v>1466</v>
      </c>
      <c r="E69" s="1169" t="s">
        <v>1467</v>
      </c>
      <c r="F69" s="379">
        <f ca="1">F41</f>
        <v>11.03</v>
      </c>
      <c r="O69" s="1894" t="s">
        <v>1044</v>
      </c>
      <c r="P69" s="1933" t="s">
        <v>1577</v>
      </c>
      <c r="Q69" s="1886">
        <f ca="1">C39</f>
        <v>2</v>
      </c>
      <c r="R69" s="1886" t="s">
        <v>1522</v>
      </c>
    </row>
    <row r="70" spans="1:18" s="1842" customFormat="1" ht="13.5" thickBot="1">
      <c r="A70" s="1173"/>
      <c r="B70" s="1174"/>
      <c r="C70" s="355"/>
      <c r="D70" s="1185"/>
      <c r="E70" s="1169" t="s">
        <v>1470</v>
      </c>
      <c r="F70" s="1275">
        <f>'数据-取费表'!AA6</f>
        <v>0.02</v>
      </c>
      <c r="O70" s="1894" t="s">
        <v>1045</v>
      </c>
      <c r="P70" s="1933" t="s">
        <v>1578</v>
      </c>
      <c r="Q70" s="1886">
        <f ca="1">C13</f>
        <v>590</v>
      </c>
      <c r="R70" s="1886" t="s">
        <v>1522</v>
      </c>
    </row>
    <row r="71" spans="1:18" s="1842" customFormat="1" ht="13.5" thickBot="1">
      <c r="A71" s="1190" t="s">
        <v>1029</v>
      </c>
      <c r="B71" s="1191" t="s">
        <v>1480</v>
      </c>
      <c r="C71" s="382">
        <f ca="1">ROUND(C68*10000/F71,0)</f>
        <v>4372</v>
      </c>
      <c r="D71" s="1192" t="s">
        <v>1481</v>
      </c>
      <c r="E71" s="1193" t="s">
        <v>1482</v>
      </c>
      <c r="F71" s="385">
        <f ca="1">F43</f>
        <v>2191.33</v>
      </c>
      <c r="O71" s="1894" t="s">
        <v>1046</v>
      </c>
      <c r="P71" s="1933" t="s">
        <v>1579</v>
      </c>
      <c r="Q71" s="1897">
        <f ca="1">C76</f>
        <v>8.5000000000000006E-2</v>
      </c>
      <c r="R71" s="1886"/>
    </row>
    <row r="72" spans="1:18" s="1842" customFormat="1" ht="13.5" thickBot="1">
      <c r="B72" s="796"/>
      <c r="C72" s="796"/>
      <c r="O72" s="1894" t="s">
        <v>1040</v>
      </c>
      <c r="P72" s="1885" t="s">
        <v>1557</v>
      </c>
      <c r="Q72" s="1897">
        <f>L52</f>
        <v>0.04</v>
      </c>
      <c r="R72" s="1886"/>
    </row>
    <row r="73" spans="1:18" ht="16.5" thickBot="1">
      <c r="A73" s="1842"/>
      <c r="B73" s="796"/>
      <c r="C73" s="796"/>
      <c r="D73" s="1842"/>
      <c r="E73" s="1842"/>
      <c r="F73" s="1842"/>
      <c r="O73" s="1894" t="s">
        <v>1041</v>
      </c>
      <c r="P73" s="1885" t="s">
        <v>1560</v>
      </c>
      <c r="Q73" s="1886">
        <f ca="1">L58</f>
        <v>0.75380000000000003</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f ca="1">L59</f>
        <v>0.91690000000000005</v>
      </c>
      <c r="R74" s="1886" t="s">
        <v>1562</v>
      </c>
    </row>
    <row r="75" spans="1:18" ht="13.5" thickBot="1">
      <c r="A75" s="1842"/>
      <c r="B75" s="386" t="s">
        <v>1499</v>
      </c>
      <c r="C75" s="387">
        <f ca="1">ROUND(C13*C76,0)</f>
        <v>50</v>
      </c>
      <c r="D75" s="1842"/>
      <c r="E75" s="1842"/>
      <c r="F75" s="1842"/>
      <c r="K75" s="1868"/>
      <c r="L75" s="1842"/>
      <c r="O75" s="1884" t="s">
        <v>1042</v>
      </c>
      <c r="P75" s="1885" t="s">
        <v>1542</v>
      </c>
      <c r="Q75" s="1886">
        <f ca="1">Q65+Q66</f>
        <v>721</v>
      </c>
      <c r="R75" s="1886" t="s">
        <v>1043</v>
      </c>
    </row>
    <row r="76" spans="1:18">
      <c r="B76" s="388" t="s">
        <v>1500</v>
      </c>
      <c r="C76" s="389">
        <f ca="1">INDIRECT("'数据-取费表'!j"&amp;$G$1)</f>
        <v>8.5000000000000006E-2</v>
      </c>
      <c r="I76" s="1842"/>
      <c r="J76" s="1842"/>
      <c r="K76" s="1868"/>
      <c r="L76" s="1842"/>
    </row>
    <row r="77" spans="1:18">
      <c r="B77" s="390" t="s">
        <v>1501</v>
      </c>
      <c r="C77" s="391"/>
      <c r="I77" s="1842"/>
      <c r="J77" s="1842"/>
      <c r="K77" s="1868"/>
      <c r="L77" s="1842"/>
    </row>
    <row r="78" spans="1:18">
      <c r="B78" s="314" t="s">
        <v>1502</v>
      </c>
      <c r="C78" s="392"/>
    </row>
    <row r="79" spans="1:18">
      <c r="B79" s="386" t="s">
        <v>1503</v>
      </c>
      <c r="C79" s="318">
        <f ca="1">1-C80</f>
        <v>-24</v>
      </c>
    </row>
    <row r="80" spans="1:18">
      <c r="B80" s="386" t="s">
        <v>1504</v>
      </c>
      <c r="C80" s="318">
        <f ca="1">ROUND(C75/C39,3)</f>
        <v>25</v>
      </c>
    </row>
    <row r="81" spans="2:3">
      <c r="B81" s="314" t="s">
        <v>1505</v>
      </c>
      <c r="C81" s="282"/>
    </row>
    <row r="82" spans="2:3">
      <c r="B82" s="317" t="s">
        <v>1506</v>
      </c>
      <c r="C82" s="319">
        <f ca="1">1-C83</f>
        <v>-33.706000000000003</v>
      </c>
    </row>
    <row r="83" spans="2:3">
      <c r="B83" s="317" t="s">
        <v>1507</v>
      </c>
      <c r="C83" s="318">
        <f ca="1">ROUND(C13/C40,3)</f>
        <v>34.706000000000003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63" t="str">
        <f>项目基本情况!B1</f>
        <v>房地产市场价值预评估</v>
      </c>
      <c r="C37" s="3063"/>
      <c r="D37" s="3063"/>
      <c r="E37" s="3063"/>
      <c r="F37" s="3063"/>
      <c r="G37" s="3063"/>
      <c r="H37" s="3063"/>
      <c r="I37" s="3063"/>
    </row>
    <row r="38" spans="1:9">
      <c r="A38" s="1016"/>
      <c r="B38" s="1016"/>
    </row>
    <row r="39" spans="1:9">
      <c r="A39" s="1014" t="s">
        <v>818</v>
      </c>
      <c r="B39" s="1014" t="s">
        <v>820</v>
      </c>
    </row>
    <row r="40" spans="1:9">
      <c r="A40" s="1014"/>
      <c r="B40" s="1941" t="str">
        <f>项目基本情况!B5</f>
        <v>昆明嘉丽泽投资有限公司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6"/>
      <c r="C1" s="2553"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692</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3158</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350613</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350613</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350613</v>
      </c>
      <c r="D10" s="1032">
        <f ca="1">IF(B1="",'数据-汇总表'!E6,IF(INDIRECT("'数据-取费表'!c"&amp;$G$1)="住宅",INDIRECT("'数据-取费表'!s"&amp;$G$1),INDIRECT("'数据-取费表'!k"&amp;$G$1)+INDIRECT("'数据-取费表'!s"&amp;$G$1)))</f>
        <v>2191.33</v>
      </c>
      <c r="E10" s="269">
        <f>'数据-取费表'!B28</f>
        <v>160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438266</v>
      </c>
      <c r="D19" s="1036">
        <f ca="1">D9+D10</f>
        <v>2191.33</v>
      </c>
      <c r="E19" s="255">
        <f>'数据-取费表'!B31</f>
        <v>200</v>
      </c>
      <c r="F19" s="275"/>
      <c r="G19" s="2550"/>
    </row>
    <row r="20" spans="1:7" s="258" customFormat="1" ht="13.5" customHeight="1">
      <c r="A20" s="299" t="s">
        <v>2437</v>
      </c>
      <c r="B20" s="254" t="s">
        <v>2438</v>
      </c>
      <c r="C20" s="276">
        <f ca="1">ROUND((C5+C19)*F20,0)</f>
        <v>15778</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17330</v>
      </c>
      <c r="D22" s="279">
        <f ca="1">C26</f>
        <v>2.0000000000000001E-4</v>
      </c>
      <c r="E22" s="280" t="s">
        <v>2442</v>
      </c>
      <c r="F22" s="281">
        <f ca="1">'数据-取费表'!B40</f>
        <v>4.3499999999999997E-2</v>
      </c>
      <c r="G22" s="278" t="str">
        <f>IF('数据-取费表'!B22&lt;=1,"单利计息","复利计息")</f>
        <v>单利计息</v>
      </c>
    </row>
    <row r="23" spans="1:7" s="258" customFormat="1" ht="13.5" customHeight="1">
      <c r="A23" s="951" t="s">
        <v>2335</v>
      </c>
      <c r="B23" s="259" t="s">
        <v>2446</v>
      </c>
      <c r="C23" s="1381">
        <f ca="1">ROUND(IF('数据-取费表'!B22&lt;=1,C5*F22*'数据-取费表'!B22,C5*(POWER((1+F22),'数据-取费表'!B22)-1)),0)</f>
        <v>7626</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9532</v>
      </c>
      <c r="D24" s="282"/>
      <c r="E24" s="282"/>
      <c r="F24" s="283"/>
      <c r="G24" s="284" t="s">
        <v>2449</v>
      </c>
    </row>
    <row r="25" spans="1:7" s="258" customFormat="1" ht="24">
      <c r="A25" s="951" t="s">
        <v>2339</v>
      </c>
      <c r="B25" s="259" t="s">
        <v>2450</v>
      </c>
      <c r="C25" s="1381">
        <f ca="1">ROUND(IF('数据-取费表'!B22&lt;=1,C20*F22*'数据-取费表'!B22/2,C20*(POWER((1+F22),'数据-取费表'!B22/2)-1)),0)</f>
        <v>172</v>
      </c>
      <c r="D25" s="282"/>
      <c r="E25" s="285"/>
      <c r="F25" s="283"/>
      <c r="G25" s="286" t="s">
        <v>2451</v>
      </c>
    </row>
    <row r="26" spans="1:7" s="258" customFormat="1">
      <c r="A26" s="951" t="s">
        <v>795</v>
      </c>
      <c r="B26" s="259" t="s">
        <v>2374</v>
      </c>
      <c r="C26" s="282">
        <f ca="1">ROUND(IF('数据-取费表'!B22&lt;=1,F21*F22*'数据-取费表'!B22/2,F21*(POWER((1+F22),'数据-取费表'!B22/2)-1)),4)</f>
        <v>2.0000000000000001E-4</v>
      </c>
      <c r="D26" s="282"/>
      <c r="E26" s="285"/>
      <c r="F26" s="283"/>
      <c r="G26" s="287"/>
    </row>
    <row r="27" spans="1:7" s="258" customFormat="1" ht="24.75">
      <c r="A27" s="299" t="s">
        <v>2375</v>
      </c>
      <c r="B27" s="288" t="s">
        <v>2376</v>
      </c>
      <c r="C27" s="289">
        <f ca="1">C28</f>
        <v>120699</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ROUND((C5+C19+C20)*F27,0)</f>
        <v>120699</v>
      </c>
      <c r="D28" s="279"/>
      <c r="E28" s="280"/>
      <c r="F28" s="290"/>
      <c r="G28" s="291"/>
    </row>
    <row r="29" spans="1:7" s="258" customFormat="1" ht="13.5" customHeight="1">
      <c r="A29" s="951" t="s">
        <v>792</v>
      </c>
      <c r="B29" s="292" t="s">
        <v>2380</v>
      </c>
      <c r="C29" s="282">
        <f ca="1">ROUND(C21*F27,4)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1019781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6392110</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5697458</v>
      </c>
      <c r="D34" s="261"/>
      <c r="E34" s="264"/>
      <c r="F34" s="301"/>
      <c r="G34" s="263"/>
    </row>
    <row r="35" spans="1:7" ht="13.5" customHeight="1">
      <c r="A35" s="951" t="s">
        <v>796</v>
      </c>
      <c r="B35" s="259" t="s">
        <v>2390</v>
      </c>
      <c r="C35" s="264">
        <f ca="1">ROUND(C34*F35,0)</f>
        <v>170924</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0.1</v>
      </c>
      <c r="G36" s="304" t="s">
        <v>2393</v>
      </c>
    </row>
    <row r="37" spans="1:7" s="302" customFormat="1" ht="13.5" customHeight="1">
      <c r="A37" s="951" t="s">
        <v>798</v>
      </c>
      <c r="B37" s="259" t="s">
        <v>2394</v>
      </c>
      <c r="C37" s="293">
        <f ca="1">ROUND(E37*D37,0)</f>
        <v>438266</v>
      </c>
      <c r="D37" s="261">
        <f ca="1">D19</f>
        <v>2191.33</v>
      </c>
      <c r="E37" s="293">
        <f>'数据-取费表'!B35</f>
        <v>200</v>
      </c>
      <c r="F37" s="303"/>
      <c r="G37" s="305"/>
    </row>
    <row r="38" spans="1:7" ht="13.5" customHeight="1">
      <c r="A38" s="951" t="s">
        <v>799</v>
      </c>
      <c r="B38" s="259" t="s">
        <v>2396</v>
      </c>
      <c r="C38" s="264">
        <f ca="1">ROUND(C34*F38,0)</f>
        <v>85462</v>
      </c>
      <c r="D38" s="264"/>
      <c r="E38" s="264"/>
      <c r="F38" s="303">
        <f>'数据-取费表'!B36</f>
        <v>1.4999999999999999E-2</v>
      </c>
      <c r="G38" s="263" t="s">
        <v>2391</v>
      </c>
    </row>
    <row r="39" spans="1:7" s="258" customFormat="1" ht="13.5" customHeight="1">
      <c r="A39" s="299" t="s">
        <v>2397</v>
      </c>
      <c r="B39" s="254" t="s">
        <v>2398</v>
      </c>
      <c r="C39" s="276">
        <f ca="1">ROUND(C33*F20,0)</f>
        <v>127842</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70904</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ROUND(IF('数据-取费表'!B22&lt;=1,C33*F22*'数据-取费表'!B20/2,C33*(POWER((1+F22),'数据-取费表'!B20/2)-1)),0)</f>
        <v>69514</v>
      </c>
      <c r="D42" s="282"/>
      <c r="E42" s="282"/>
      <c r="F42" s="283"/>
      <c r="G42" s="3254" t="s">
        <v>2454</v>
      </c>
    </row>
    <row r="43" spans="1:7" ht="13.5" customHeight="1">
      <c r="A43" s="951" t="s">
        <v>792</v>
      </c>
      <c r="B43" s="259" t="s">
        <v>2408</v>
      </c>
      <c r="C43" s="282">
        <f ca="1">ROUND(IF('数据-取费表'!B22&lt;=1,C39*F22*'数据-取费表'!B20/2,C39*(POWER((1+F22),'数据-取费表'!B20/2)-1)),0)</f>
        <v>1390</v>
      </c>
      <c r="D43" s="282"/>
      <c r="E43" s="282"/>
      <c r="F43" s="283"/>
      <c r="G43" s="3255"/>
    </row>
    <row r="44" spans="1:7" ht="13.5" customHeight="1">
      <c r="A44" s="951" t="s">
        <v>793</v>
      </c>
      <c r="B44" s="259" t="s">
        <v>2409</v>
      </c>
      <c r="C44" s="282">
        <f ca="1">ROUND(IF('数据-取费表'!B22&lt;=1,C40*F22*'数据-取费表'!B20/2,C40*(POWER((1+F22),'数据-取费表'!B20/2)-1)),4)</f>
        <v>2.0000000000000001E-4</v>
      </c>
      <c r="D44" s="282"/>
      <c r="E44" s="282"/>
      <c r="F44" s="283"/>
      <c r="G44" s="3256"/>
    </row>
    <row r="45" spans="1:7" s="258" customFormat="1" ht="13.5" customHeight="1">
      <c r="A45" s="299" t="s">
        <v>2410</v>
      </c>
      <c r="B45" s="288" t="s">
        <v>2376</v>
      </c>
      <c r="C45" s="289">
        <f ca="1">C46</f>
        <v>977993</v>
      </c>
      <c r="D45" s="279">
        <f ca="1">C47</f>
        <v>3.0000000000000001E-3</v>
      </c>
      <c r="E45" s="280" t="s">
        <v>2402</v>
      </c>
      <c r="F45" s="290"/>
      <c r="G45" s="291" t="s">
        <v>2411</v>
      </c>
    </row>
    <row r="46" spans="1:7" s="258" customFormat="1" ht="13.5" customHeight="1">
      <c r="A46" s="951" t="s">
        <v>791</v>
      </c>
      <c r="B46" s="292" t="s">
        <v>2412</v>
      </c>
      <c r="C46" s="293">
        <f ca="1">ROUND((C33+C39)*F27,0)</f>
        <v>977993</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8187850</v>
      </c>
      <c r="D49" s="276"/>
      <c r="E49" s="276"/>
      <c r="F49" s="308"/>
      <c r="G49" s="278" t="s">
        <v>2417</v>
      </c>
    </row>
    <row r="50" spans="1:7" s="302" customFormat="1">
      <c r="A50" s="299" t="s">
        <v>2418</v>
      </c>
      <c r="B50" s="254" t="s">
        <v>2419</v>
      </c>
      <c r="C50" s="276"/>
      <c r="D50" s="276"/>
      <c r="E50" s="276"/>
      <c r="F50" s="308">
        <f>IF('数据-取费表'!B24=0,'数据-取费表'!N16,1)</f>
        <v>0.72</v>
      </c>
      <c r="G50" s="291"/>
    </row>
    <row r="51" spans="1:7" ht="16.5" customHeight="1">
      <c r="A51" s="299" t="s">
        <v>2421</v>
      </c>
      <c r="B51" s="254" t="s">
        <v>2456</v>
      </c>
      <c r="C51" s="276">
        <f ca="1">ROUND(C49*F50,0)</f>
        <v>5895252</v>
      </c>
      <c r="D51" s="276"/>
      <c r="E51" s="276"/>
      <c r="F51" s="308"/>
      <c r="G51" s="278" t="s">
        <v>2423</v>
      </c>
    </row>
    <row r="52" spans="1:7" s="252" customFormat="1" ht="16.5" thickBot="1">
      <c r="A52" s="309" t="s">
        <v>2424</v>
      </c>
      <c r="B52" s="310"/>
      <c r="C52" s="311">
        <f ca="1">C31+C51</f>
        <v>6915033</v>
      </c>
      <c r="D52" s="310"/>
      <c r="E52" s="310"/>
      <c r="F52" s="310"/>
      <c r="G52" s="312"/>
    </row>
    <row r="55" spans="1:7" ht="15">
      <c r="B55" s="314" t="s">
        <v>2425</v>
      </c>
      <c r="C55" s="315"/>
    </row>
    <row r="56" spans="1:7">
      <c r="B56" s="317" t="s">
        <v>1506</v>
      </c>
      <c r="C56" s="319">
        <f ca="1">1-C57</f>
        <v>0.14700000000000002</v>
      </c>
    </row>
    <row r="57" spans="1:7">
      <c r="B57" s="317" t="s">
        <v>1507</v>
      </c>
      <c r="C57" s="318">
        <f ca="1">ROUND(C51/C52,3)</f>
        <v>0.85299999999999998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-40</v>
      </c>
      <c r="C2" s="320" t="s">
        <v>2458</v>
      </c>
      <c r="D2" s="320"/>
      <c r="E2" s="320"/>
      <c r="F2" s="320"/>
      <c r="G2" s="320"/>
      <c r="H2" s="320"/>
      <c r="I2" s="320"/>
      <c r="J2" s="320"/>
      <c r="K2" s="320"/>
    </row>
    <row r="3" spans="1:33" ht="18" customHeight="1" thickBot="1">
      <c r="A3" s="247" t="s">
        <v>2327</v>
      </c>
      <c r="B3" s="248">
        <f ca="1">ROUND(B2*10000/IF(C1="",'数据-汇总表'!E3,INDIRECT("'数据-取费表'!K"&amp;$K$1)),0)</f>
        <v>-183</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2479</v>
      </c>
      <c r="C12" s="24">
        <f ca="1">ROUND(C11*F12,0)</f>
        <v>0</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0.1</v>
      </c>
      <c r="G13" s="8" t="s">
        <v>2482</v>
      </c>
      <c r="H13" s="968"/>
      <c r="I13" s="968"/>
      <c r="J13" s="968"/>
      <c r="K13" s="969"/>
    </row>
    <row r="14" spans="1:33" s="977" customFormat="1" ht="13.5" customHeight="1">
      <c r="A14" s="971" t="s">
        <v>1332</v>
      </c>
      <c r="B14" s="972" t="s">
        <v>2483</v>
      </c>
      <c r="C14" s="24">
        <f ca="1">ROUND(D14*E14*F11/10000,0)</f>
        <v>0</v>
      </c>
      <c r="D14" s="1033">
        <f ca="1">IF(C1="",'数据-汇总表'!E3,INDIRECT("'数据-取费表'!K"&amp;$K$1)+INDIRECT("'数据-取费表'!S"&amp;$K$1))</f>
        <v>2191.33</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2191.33</v>
      </c>
      <c r="E17" s="24">
        <f>'数据-取费表'!B32</f>
        <v>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35</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35</v>
      </c>
      <c r="D20" s="1033">
        <f ca="1">IF(C1="",'数据-汇总表'!E6,IF(INDIRECT("'数据-取费表'!c"&amp;$K$1)="住宅",INDIRECT("'数据-取费表'!s"&amp;$K$1),INDIRECT("'数据-取费表'!k"&amp;$K$1)+INDIRECT("'数据-取费表'!s"&amp;$K$1)))</f>
        <v>2191.33</v>
      </c>
      <c r="E20" s="24">
        <f>'数据-取费表'!B28</f>
        <v>160</v>
      </c>
      <c r="F20" s="976"/>
      <c r="G20" s="15"/>
      <c r="H20" s="981"/>
      <c r="I20" s="981"/>
      <c r="J20" s="981"/>
      <c r="K20" s="982"/>
    </row>
    <row r="21" spans="1:33" s="975" customFormat="1" ht="13.5" customHeight="1">
      <c r="A21" s="961" t="s">
        <v>802</v>
      </c>
      <c r="B21" s="985" t="s">
        <v>2494</v>
      </c>
      <c r="C21" s="986">
        <f ca="1">C16+C17+C18</f>
        <v>35</v>
      </c>
      <c r="D21" s="987"/>
      <c r="E21" s="325"/>
      <c r="F21" s="325"/>
      <c r="G21" s="140" t="s">
        <v>2495</v>
      </c>
      <c r="H21" s="979"/>
      <c r="I21" s="979"/>
      <c r="J21" s="979"/>
      <c r="K21" s="980"/>
    </row>
    <row r="22" spans="1:33" s="975" customFormat="1" ht="13.5" customHeight="1">
      <c r="A22" s="961" t="s">
        <v>2467</v>
      </c>
      <c r="B22" s="985" t="s">
        <v>2496</v>
      </c>
      <c r="C22" s="986">
        <f ca="1">ROUND(C21*F22,0)</f>
        <v>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2507</v>
      </c>
      <c r="B28" s="2559" t="s">
        <v>2508</v>
      </c>
      <c r="C28" s="331">
        <f ca="1">C30</f>
        <v>5</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5</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-40</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1582</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1583</v>
      </c>
      <c r="B2" s="1844" t="e">
        <f ca="1">ROUND(D2/10000,0)</f>
        <v>#DIV/0!</v>
      </c>
      <c r="C2" s="1845" t="s">
        <v>1584</v>
      </c>
      <c r="D2" s="1937" t="e">
        <f ca="1">C40+J29+L46</f>
        <v>#DIV/0!</v>
      </c>
      <c r="E2" s="1846" t="s">
        <v>1585</v>
      </c>
      <c r="F2" s="1847"/>
      <c r="G2" s="1848"/>
      <c r="H2" s="1840"/>
      <c r="I2" s="1840"/>
      <c r="J2" s="1840"/>
      <c r="K2" s="1841"/>
      <c r="L2" s="1840"/>
      <c r="M2" s="1840"/>
    </row>
    <row r="3" spans="1:37" ht="18" customHeight="1" thickBot="1">
      <c r="A3" s="1849" t="s">
        <v>1586</v>
      </c>
      <c r="B3" s="1850">
        <f ca="1">IF(ISERROR(D2/F43),0,ROUND(D2/F43,0))</f>
        <v>0</v>
      </c>
      <c r="C3" s="1845" t="s">
        <v>1587</v>
      </c>
      <c r="D3" s="1845"/>
      <c r="E3" s="1846"/>
      <c r="F3" s="1847"/>
      <c r="G3" s="1848"/>
      <c r="H3" s="744" t="s">
        <v>1581</v>
      </c>
      <c r="I3" s="1840"/>
      <c r="J3" s="1840"/>
      <c r="K3" s="1841"/>
      <c r="L3" s="1840"/>
      <c r="M3" s="1840"/>
    </row>
    <row r="4" spans="1:37" ht="18" customHeight="1">
      <c r="A4" s="340" t="s">
        <v>1588</v>
      </c>
      <c r="B4" s="341" t="s">
        <v>1589</v>
      </c>
      <c r="C4" s="341" t="s">
        <v>1590</v>
      </c>
      <c r="D4" s="341" t="s">
        <v>1591</v>
      </c>
      <c r="E4" s="342" t="s">
        <v>1592</v>
      </c>
      <c r="F4" s="343"/>
      <c r="G4" s="1851"/>
      <c r="H4" s="340" t="s">
        <v>1588</v>
      </c>
      <c r="I4" s="341" t="s">
        <v>1589</v>
      </c>
      <c r="J4" s="341" t="s">
        <v>1590</v>
      </c>
      <c r="K4" s="341" t="s">
        <v>1591</v>
      </c>
      <c r="L4" s="342" t="s">
        <v>1592</v>
      </c>
      <c r="M4" s="343"/>
    </row>
    <row r="5" spans="1:37" ht="18" customHeight="1">
      <c r="A5" s="344">
        <v>1</v>
      </c>
      <c r="B5" s="345" t="s">
        <v>1593</v>
      </c>
      <c r="C5" s="1292">
        <f ca="1">C6+C10+C12</f>
        <v>0</v>
      </c>
      <c r="D5" s="1822" t="s">
        <v>1594</v>
      </c>
      <c r="E5" s="1293"/>
      <c r="F5" s="1294"/>
      <c r="G5" s="1851"/>
      <c r="H5" s="344">
        <v>1</v>
      </c>
      <c r="I5" s="345" t="s">
        <v>1593</v>
      </c>
      <c r="J5" s="1292">
        <f ca="1">J6+J10+J12</f>
        <v>0</v>
      </c>
      <c r="K5" s="1822" t="s">
        <v>1594</v>
      </c>
      <c r="L5" s="1293"/>
      <c r="M5" s="1294"/>
    </row>
    <row r="6" spans="1:37" ht="18" customHeight="1">
      <c r="A6" s="1291" t="s">
        <v>1031</v>
      </c>
      <c r="B6" s="3251" t="s">
        <v>1397</v>
      </c>
      <c r="C6" s="1296">
        <f ca="1">ROUND(F6*F8*F7*(1-F9),0)</f>
        <v>0</v>
      </c>
      <c r="D6" s="164" t="s">
        <v>3027</v>
      </c>
      <c r="E6" s="347" t="s">
        <v>1399</v>
      </c>
      <c r="F6" s="348">
        <f ca="1">INDIRECT("'数据-取费表'!u"&amp;$G$1)</f>
        <v>0</v>
      </c>
      <c r="G6" s="1851"/>
      <c r="H6" s="1291" t="s">
        <v>1031</v>
      </c>
      <c r="I6" s="3251" t="s">
        <v>1397</v>
      </c>
      <c r="J6" s="346">
        <f ca="1">ROUND(M6*M8*M7*(1-M9),0)</f>
        <v>0</v>
      </c>
      <c r="K6" s="1834" t="s">
        <v>3028</v>
      </c>
      <c r="L6" s="347" t="s">
        <v>1399</v>
      </c>
      <c r="M6" s="348">
        <f ca="1">INDIRECT("'数据-取费表'!z"&amp;$G$1)</f>
        <v>0</v>
      </c>
    </row>
    <row r="7" spans="1:37" ht="18" customHeight="1">
      <c r="A7" s="1295"/>
      <c r="B7" s="3252"/>
      <c r="C7" s="1297"/>
      <c r="D7" s="352"/>
      <c r="E7" s="1298" t="s">
        <v>1400</v>
      </c>
      <c r="F7" s="348">
        <f ca="1">IF(INDIRECT("'数据-取费表'!ah"&amp;$G$1)="",INDIRECT("'数据-取费表'!k"&amp;$G$1),INDIRECT("'数据-取费表'!ah"&amp;$G$1))</f>
        <v>0</v>
      </c>
      <c r="G7" s="1851"/>
      <c r="H7" s="349"/>
      <c r="I7" s="3252"/>
      <c r="J7" s="351"/>
      <c r="K7" s="352"/>
      <c r="L7" s="347" t="s">
        <v>1400</v>
      </c>
      <c r="M7" s="348">
        <f ca="1">F7</f>
        <v>0</v>
      </c>
    </row>
    <row r="8" spans="1:37" ht="18" customHeight="1">
      <c r="A8" s="349"/>
      <c r="B8" s="3252"/>
      <c r="C8" s="351"/>
      <c r="D8" s="352"/>
      <c r="E8" s="347" t="s">
        <v>1401</v>
      </c>
      <c r="F8" s="348">
        <f ca="1">INDIRECT("'数据-取费表'!ai"&amp;$G$1)</f>
        <v>0</v>
      </c>
      <c r="G8" s="1851"/>
      <c r="H8" s="349"/>
      <c r="I8" s="3252"/>
      <c r="J8" s="351"/>
      <c r="K8" s="352"/>
      <c r="L8" s="347" t="s">
        <v>1401</v>
      </c>
      <c r="M8" s="348">
        <f ca="1">INDIRECT("'数据-取费表'!ai"&amp;$G$1)</f>
        <v>0</v>
      </c>
    </row>
    <row r="9" spans="1:37" ht="18" customHeight="1">
      <c r="A9" s="349"/>
      <c r="B9" s="3253"/>
      <c r="C9" s="351"/>
      <c r="D9" s="352"/>
      <c r="E9" s="347" t="s">
        <v>1402</v>
      </c>
      <c r="F9" s="357">
        <f ca="1">INDIRECT("'数据-取费表'!w"&amp;$G$1)</f>
        <v>0</v>
      </c>
      <c r="G9" s="1851"/>
      <c r="H9" s="349"/>
      <c r="I9" s="325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1595</v>
      </c>
      <c r="C11" s="1178"/>
      <c r="D11" s="352"/>
      <c r="E11" s="358" t="s">
        <v>1405</v>
      </c>
      <c r="F11" s="359">
        <f ca="1">'数据-取费表'!B39</f>
        <v>1.4999999999999999E-2</v>
      </c>
      <c r="G11" s="1851"/>
      <c r="H11" s="1299"/>
      <c r="I11" s="1825" t="s">
        <v>1596</v>
      </c>
      <c r="J11" s="1178"/>
      <c r="K11" s="748"/>
      <c r="L11" s="358" t="s">
        <v>1405</v>
      </c>
      <c r="M11" s="1056">
        <f ca="1">'数据-取费表'!B39</f>
        <v>1.4999999999999999E-2</v>
      </c>
    </row>
    <row r="12" spans="1:37" ht="18" customHeight="1" thickBot="1">
      <c r="A12" s="1333" t="s">
        <v>1071</v>
      </c>
      <c r="B12" s="1827" t="s">
        <v>1406</v>
      </c>
      <c r="C12" s="1334"/>
      <c r="D12" s="1335"/>
      <c r="E12" s="1340"/>
      <c r="F12" s="1336"/>
      <c r="G12" s="1851"/>
      <c r="H12" s="1333" t="s">
        <v>1071</v>
      </c>
      <c r="I12" s="1827" t="s">
        <v>1406</v>
      </c>
      <c r="J12" s="1334"/>
      <c r="K12" s="1348"/>
      <c r="L12" s="1340"/>
      <c r="M12" s="1349"/>
    </row>
    <row r="13" spans="1:37" ht="18" customHeight="1" thickTop="1">
      <c r="A13" s="1329">
        <v>2</v>
      </c>
      <c r="B13" s="1330" t="s">
        <v>1407</v>
      </c>
      <c r="C13" s="355">
        <f ca="1">ROUND(C29*F13,0)</f>
        <v>0</v>
      </c>
      <c r="D13" s="1331" t="s">
        <v>1408</v>
      </c>
      <c r="E13" s="1331" t="s">
        <v>1409</v>
      </c>
      <c r="F13" s="1332">
        <f ca="1">INDIRECT("'数据-取费表'!y"&amp;$G$1)</f>
        <v>0</v>
      </c>
      <c r="G13" s="1851"/>
      <c r="H13" s="1329">
        <v>2</v>
      </c>
      <c r="I13" s="1330" t="s">
        <v>1407</v>
      </c>
      <c r="J13" s="1290">
        <f ca="1">ROUND(J14*J15,0)</f>
        <v>0</v>
      </c>
      <c r="K13" s="1337" t="s">
        <v>1408</v>
      </c>
      <c r="L13" s="1852"/>
      <c r="M13" s="1853"/>
    </row>
    <row r="14" spans="1:37" ht="18" customHeight="1">
      <c r="A14" s="1201" t="s">
        <v>1030</v>
      </c>
      <c r="B14" s="347" t="s">
        <v>1410</v>
      </c>
      <c r="C14" s="363">
        <f ca="1">ROUND(INDIRECT("'数据-取费表'!l"&amp;$G$1)*F43+'数据-取费表'!L14*INDIRECT("'数据-取费表'!S"&amp;$G$1),0)</f>
        <v>0</v>
      </c>
      <c r="D14" s="1800" t="s">
        <v>1411</v>
      </c>
      <c r="E14" s="1794"/>
      <c r="F14" s="364"/>
      <c r="G14" s="1851"/>
      <c r="H14" s="1201" t="s">
        <v>1031</v>
      </c>
      <c r="I14" s="347" t="s">
        <v>1412</v>
      </c>
      <c r="J14" s="24">
        <f ca="1">C29</f>
        <v>0</v>
      </c>
      <c r="K14" s="15"/>
      <c r="L14" s="979"/>
      <c r="M14" s="980"/>
    </row>
    <row r="15" spans="1:37" s="1858" customFormat="1" ht="18" customHeight="1" thickBot="1">
      <c r="A15" s="1201" t="s">
        <v>1032</v>
      </c>
      <c r="B15" s="347" t="s">
        <v>1413</v>
      </c>
      <c r="C15" s="24">
        <f ca="1">ROUND(C14*F15,0)</f>
        <v>0</v>
      </c>
      <c r="D15" s="365" t="s">
        <v>1414</v>
      </c>
      <c r="E15" s="365" t="s">
        <v>1415</v>
      </c>
      <c r="F15" s="366">
        <f>'数据-取费表'!B33</f>
        <v>0.03</v>
      </c>
      <c r="G15" s="1854"/>
      <c r="H15" s="1339" t="s">
        <v>1035</v>
      </c>
      <c r="I15" s="1340" t="s">
        <v>1409</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1416</v>
      </c>
      <c r="C16" s="24">
        <f ca="1">ROUND(INDIRECT("'数据-取费表'!l"&amp;$G$1)*F43*F16,0)</f>
        <v>0</v>
      </c>
      <c r="D16" s="347" t="s">
        <v>1414</v>
      </c>
      <c r="E16" s="347" t="s">
        <v>1415</v>
      </c>
      <c r="F16" s="367">
        <f ca="1">IF(INDIRECT("'数据-取费表'!c"&amp;$G$1)="住宅",'数据-取费表'!B34,0)</f>
        <v>0</v>
      </c>
      <c r="G16" s="1851"/>
      <c r="H16" s="1329" t="s">
        <v>1026</v>
      </c>
      <c r="I16" s="1330" t="s">
        <v>1417</v>
      </c>
      <c r="J16" s="355">
        <f ca="1">ROUND(J17+J22+J23+J24,0)</f>
        <v>0</v>
      </c>
      <c r="K16" s="1337" t="s">
        <v>1418</v>
      </c>
      <c r="L16" s="1338"/>
      <c r="M16" s="1294"/>
    </row>
    <row r="17" spans="1:37" s="1858" customFormat="1" ht="18" customHeight="1">
      <c r="A17" s="1201" t="s">
        <v>1384</v>
      </c>
      <c r="B17" s="347" t="s">
        <v>1419</v>
      </c>
      <c r="C17" s="24">
        <f ca="1">ROUND(F17*(F43+INDIRECT("'数据-取费表'!S"&amp;$G$1)),0)</f>
        <v>0</v>
      </c>
      <c r="D17" s="347" t="s">
        <v>1420</v>
      </c>
      <c r="E17" s="347" t="s">
        <v>1421</v>
      </c>
      <c r="F17" s="26">
        <f>'数据-取费表'!B35</f>
        <v>200</v>
      </c>
      <c r="G17" s="1854"/>
      <c r="H17" s="1201" t="s">
        <v>1031</v>
      </c>
      <c r="I17" s="347" t="s">
        <v>1422</v>
      </c>
      <c r="J17" s="24">
        <f ca="1">ROUND(IF(项目基本情况!B11="自然人",J6*M17/(1+'数据-取费表'!C42),J18+J19+J20),0)</f>
        <v>0</v>
      </c>
      <c r="K17" s="1800" t="s">
        <v>1423</v>
      </c>
      <c r="L17" s="1798" t="s">
        <v>1424</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1425</v>
      </c>
      <c r="C18" s="24">
        <f ca="1">ROUND(C14*F18,0)</f>
        <v>0</v>
      </c>
      <c r="D18" s="347" t="s">
        <v>1414</v>
      </c>
      <c r="E18" s="347" t="s">
        <v>1415</v>
      </c>
      <c r="F18" s="367">
        <f>'数据-取费表'!B36</f>
        <v>1.4999999999999999E-2</v>
      </c>
      <c r="G18" s="1854"/>
      <c r="H18" s="1201" t="s">
        <v>1030</v>
      </c>
      <c r="I18" s="347" t="s">
        <v>1426</v>
      </c>
      <c r="J18" s="24">
        <f ca="1">ROUND(J6*M18/(1+'数据-取费表'!C42),0)</f>
        <v>0</v>
      </c>
      <c r="K18" s="1798" t="s">
        <v>1427</v>
      </c>
      <c r="L18" s="347" t="s">
        <v>1415</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1428</v>
      </c>
      <c r="C19" s="24">
        <f ca="1">SUM(C14:C18)</f>
        <v>0</v>
      </c>
      <c r="D19" s="140" t="s">
        <v>1429</v>
      </c>
      <c r="E19" s="1818"/>
      <c r="F19" s="26"/>
      <c r="G19" s="1851"/>
      <c r="H19" s="1201" t="s">
        <v>1032</v>
      </c>
      <c r="I19" s="347" t="s">
        <v>1430</v>
      </c>
      <c r="J19" s="24">
        <f ca="1">IF(K19="按租金收入计税",ROUND(J6*M19/(1+'数据-取费表'!C42),0),ROUND(C29*M19*0.7,0))</f>
        <v>0</v>
      </c>
      <c r="K19" s="1828" t="s">
        <v>1431</v>
      </c>
      <c r="L19" s="347" t="s">
        <v>1415</v>
      </c>
      <c r="M19" s="367">
        <f>IF(K19="按租金收入计税",'数据-取费表'!B51,'数据-取费表'!B50)</f>
        <v>1.2E-2</v>
      </c>
    </row>
    <row r="20" spans="1:37" s="1858" customFormat="1" ht="18" customHeight="1">
      <c r="A20" s="1201" t="s">
        <v>1035</v>
      </c>
      <c r="B20" s="347" t="s">
        <v>1432</v>
      </c>
      <c r="C20" s="24">
        <f ca="1">ROUND(C19*F20,0)</f>
        <v>0</v>
      </c>
      <c r="D20" s="369" t="s">
        <v>1433</v>
      </c>
      <c r="E20" s="347" t="s">
        <v>1415</v>
      </c>
      <c r="F20" s="367">
        <f>'数据-取费表'!B37</f>
        <v>0.02</v>
      </c>
      <c r="G20" s="1854"/>
      <c r="H20" s="1201" t="s">
        <v>1383</v>
      </c>
      <c r="I20" s="164" t="s">
        <v>1434</v>
      </c>
      <c r="J20" s="25">
        <f ca="1">ROUND(M20*M21,0)</f>
        <v>0</v>
      </c>
      <c r="K20" s="370" t="s">
        <v>1435</v>
      </c>
      <c r="L20" s="347" t="s">
        <v>1436</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1437</v>
      </c>
      <c r="C21" s="24" t="s">
        <v>1</v>
      </c>
      <c r="D21" s="369" t="s">
        <v>1438</v>
      </c>
      <c r="E21" s="347" t="s">
        <v>1439</v>
      </c>
      <c r="F21" s="367">
        <f>'数据-取费表'!B38</f>
        <v>0.02</v>
      </c>
      <c r="G21" s="1854"/>
      <c r="H21" s="372"/>
      <c r="I21" s="356"/>
      <c r="J21" s="29"/>
      <c r="K21" s="373"/>
      <c r="L21" s="347" t="s">
        <v>1440</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1441</v>
      </c>
      <c r="C22" s="24"/>
      <c r="D22" s="140" t="str">
        <f>IF(F23&lt;=1,"单利计息。","复利计息。")&amp;"建造成本、管理费用、销售费用产生的利息。"</f>
        <v>单利计息。建造成本、管理费用、销售费用产生的利息。</v>
      </c>
      <c r="E22" s="1818"/>
      <c r="F22" s="26"/>
      <c r="G22" s="1851"/>
      <c r="H22" s="1201" t="s">
        <v>1035</v>
      </c>
      <c r="I22" s="347" t="s">
        <v>1442</v>
      </c>
      <c r="J22" s="24">
        <f ca="1">ROUND(J14*M22,0)</f>
        <v>0</v>
      </c>
      <c r="K22" s="1798" t="s">
        <v>1443</v>
      </c>
      <c r="L22" s="347" t="s">
        <v>1415</v>
      </c>
      <c r="M22" s="374">
        <f ca="1">INDIRECT("'数据-取费表'!Ak"&amp;$G$1)</f>
        <v>0</v>
      </c>
    </row>
    <row r="23" spans="1:37" s="1858" customFormat="1" ht="18" customHeight="1">
      <c r="A23" s="1201" t="s">
        <v>1030</v>
      </c>
      <c r="B23" s="347" t="s">
        <v>1444</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1445</v>
      </c>
      <c r="F23" s="371">
        <f>'数据-取费表'!B20</f>
        <v>0.5</v>
      </c>
      <c r="G23" s="1854"/>
      <c r="H23" s="1201" t="s">
        <v>1071</v>
      </c>
      <c r="I23" s="347" t="s">
        <v>1446</v>
      </c>
      <c r="J23" s="24">
        <f ca="1">ROUND(J13*M23,0)</f>
        <v>0</v>
      </c>
      <c r="K23" s="1798" t="s">
        <v>1447</v>
      </c>
      <c r="L23" s="347" t="s">
        <v>1448</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1449</v>
      </c>
      <c r="B24" s="347" t="s">
        <v>1450</v>
      </c>
      <c r="C24" s="24">
        <f ca="1">ROUND(IF('数据-取费表'!B22&lt;=1,F21*F24*F23/2,F21*(POWER((1+F24),F23/2)-1)),4)</f>
        <v>2.0000000000000001E-4</v>
      </c>
      <c r="D24" s="375" t="str">
        <f>IF(F23&lt;=1,"销售费用×利率×(建设周期÷2)","销售费用×((1+利率)^(建设周期÷2)-1)")</f>
        <v>销售费用×利率×(建设周期÷2)</v>
      </c>
      <c r="E24" s="347" t="s">
        <v>1451</v>
      </c>
      <c r="F24" s="377">
        <f ca="1">'数据-取费表'!B40</f>
        <v>4.3499999999999997E-2</v>
      </c>
      <c r="G24" s="1854"/>
      <c r="H24" s="1339" t="s">
        <v>1387</v>
      </c>
      <c r="I24" s="1340" t="s">
        <v>1432</v>
      </c>
      <c r="J24" s="1341">
        <f ca="1">ROUND(J5*M24,0)</f>
        <v>0</v>
      </c>
      <c r="K24" s="1342" t="s">
        <v>1452</v>
      </c>
      <c r="L24" s="1340" t="s">
        <v>1448</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1453</v>
      </c>
      <c r="B25" s="347" t="s">
        <v>1454</v>
      </c>
      <c r="C25" s="24"/>
      <c r="D25" s="140" t="s">
        <v>1455</v>
      </c>
      <c r="E25" s="1818"/>
      <c r="F25" s="26"/>
      <c r="G25" s="1851"/>
      <c r="H25" s="1329" t="s">
        <v>1027</v>
      </c>
      <c r="I25" s="1344" t="s">
        <v>1456</v>
      </c>
      <c r="J25" s="355">
        <f ca="1">J5-J16</f>
        <v>0</v>
      </c>
      <c r="K25" s="1345" t="s">
        <v>1457</v>
      </c>
      <c r="L25" s="1346"/>
      <c r="M25" s="1347"/>
    </row>
    <row r="26" spans="1:37" ht="18" customHeight="1">
      <c r="A26" s="1201" t="s">
        <v>1030</v>
      </c>
      <c r="B26" s="347" t="s">
        <v>1458</v>
      </c>
      <c r="C26" s="24">
        <f ca="1">ROUND((C19+C20)*F26,0)</f>
        <v>0</v>
      </c>
      <c r="D26" s="369" t="s">
        <v>1459</v>
      </c>
      <c r="E26" s="358" t="s">
        <v>1460</v>
      </c>
      <c r="F26" s="357">
        <f ca="1">INDIRECT("'数据-取费表'!q"&amp;$G$1)</f>
        <v>0</v>
      </c>
      <c r="G26" s="1851"/>
      <c r="H26" s="344" t="s">
        <v>1028</v>
      </c>
      <c r="I26" s="345" t="s">
        <v>1461</v>
      </c>
      <c r="J26" s="346">
        <f ca="1">IF(J5&lt;&gt;0,ROUND(J25*(1-((1+M28)/(1+M26))^M27)/(M26-M28),0),0)</f>
        <v>0</v>
      </c>
      <c r="K26" s="370" t="s">
        <v>1462</v>
      </c>
      <c r="L26" s="347" t="s">
        <v>1463</v>
      </c>
      <c r="M26" s="357">
        <f ca="1">INDIRECT("'数据-取费表'!I"&amp;$G$1)</f>
        <v>0</v>
      </c>
    </row>
    <row r="27" spans="1:37" ht="18" customHeight="1">
      <c r="A27" s="1201" t="s">
        <v>1032</v>
      </c>
      <c r="B27" s="347" t="s">
        <v>1464</v>
      </c>
      <c r="C27" s="24">
        <f ca="1">ROUND(F21*F26,4)</f>
        <v>0</v>
      </c>
      <c r="D27" s="369" t="s">
        <v>1465</v>
      </c>
      <c r="E27" s="365"/>
      <c r="F27" s="366"/>
      <c r="G27" s="1851"/>
      <c r="H27" s="349"/>
      <c r="I27" s="350"/>
      <c r="J27" s="351"/>
      <c r="K27" s="378" t="s">
        <v>1466</v>
      </c>
      <c r="L27" s="347" t="s">
        <v>1467</v>
      </c>
      <c r="M27" s="379">
        <f ca="1">INDIRECT("'数据-取费表'!ag"&amp;$G$1)</f>
        <v>0</v>
      </c>
    </row>
    <row r="28" spans="1:37" s="1858" customFormat="1" ht="18" customHeight="1">
      <c r="A28" s="1201" t="s">
        <v>1033</v>
      </c>
      <c r="B28" s="347" t="s">
        <v>1468</v>
      </c>
      <c r="C28" s="24">
        <f>ROUND(F28/(1+'数据-取费表'!C42),4)</f>
        <v>5.2400000000000002E-2</v>
      </c>
      <c r="D28" s="369" t="s">
        <v>1469</v>
      </c>
      <c r="E28" s="347" t="s">
        <v>1415</v>
      </c>
      <c r="F28" s="367">
        <f>'数据-取费表'!B41</f>
        <v>5.5000000000000007E-2</v>
      </c>
      <c r="G28" s="1854"/>
      <c r="H28" s="353"/>
      <c r="I28" s="354"/>
      <c r="J28" s="355"/>
      <c r="K28" s="373"/>
      <c r="L28" s="347" t="s">
        <v>1470</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1471</v>
      </c>
      <c r="C29" s="1341">
        <f ca="1">ROUND((C19+C20+C23+C26)/(1-F21-C24-C27-C28),0)</f>
        <v>0</v>
      </c>
      <c r="D29" s="1342"/>
      <c r="E29" s="1340"/>
      <c r="F29" s="1343"/>
      <c r="G29" s="1854"/>
      <c r="H29" s="380" t="s">
        <v>1029</v>
      </c>
      <c r="I29" s="381" t="s">
        <v>1472</v>
      </c>
      <c r="J29" s="382">
        <f ca="1">ROUND(J26/(1+F40)^F41,0)</f>
        <v>0</v>
      </c>
      <c r="K29" s="383" t="s">
        <v>1473</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1417</v>
      </c>
      <c r="C30" s="355">
        <f ca="1">ROUND(C31+C36+C37+C38,0)</f>
        <v>0</v>
      </c>
      <c r="D30" s="1337" t="s">
        <v>1418</v>
      </c>
      <c r="E30" s="1338"/>
      <c r="F30" s="1294"/>
      <c r="G30" s="1851"/>
      <c r="H30" s="745"/>
      <c r="I30" s="746"/>
      <c r="J30" s="747"/>
      <c r="K30" s="748"/>
      <c r="L30" s="749"/>
      <c r="M30" s="750"/>
    </row>
    <row r="31" spans="1:37" ht="18" customHeight="1">
      <c r="A31" s="1201" t="s">
        <v>1031</v>
      </c>
      <c r="B31" s="347" t="s">
        <v>1422</v>
      </c>
      <c r="C31" s="24">
        <f ca="1">ROUND(IF(项目基本情况!B11="自然人",C6*F31/(1+'数据-取费表'!C42),C32+C33+C34),0)</f>
        <v>0</v>
      </c>
      <c r="D31" s="1800" t="s">
        <v>1423</v>
      </c>
      <c r="E31" s="1798" t="s">
        <v>1474</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1426</v>
      </c>
      <c r="C32" s="24">
        <f ca="1">IF(项目基本情况!B11="自然人","——",ROUND(C6*F32/(1+'数据-取费表'!C42),0))</f>
        <v>0</v>
      </c>
      <c r="D32" s="1798" t="s">
        <v>1427</v>
      </c>
      <c r="E32" s="347" t="s">
        <v>1415</v>
      </c>
      <c r="F32" s="377">
        <f>'数据-取费表'!B41</f>
        <v>5.5000000000000007E-2</v>
      </c>
      <c r="G32" s="1851"/>
      <c r="H32" s="745"/>
      <c r="I32" s="746"/>
      <c r="J32" s="747"/>
      <c r="K32" s="748"/>
      <c r="L32" s="749"/>
      <c r="M32" s="750"/>
    </row>
    <row r="33" spans="1:18" ht="18" customHeight="1">
      <c r="A33" s="1201" t="s">
        <v>1032</v>
      </c>
      <c r="B33" s="347" t="s">
        <v>1430</v>
      </c>
      <c r="C33" s="24">
        <f ca="1">IF(项目基本情况!B11="自然人","——",IF(D33="按租金收入计税",ROUND(C6*F33/(1+'数据-取费表'!C42),0),IF(D33="按房产原值计税",ROUND(C29*F33*0.7,0),INDIRECT("'数据-取费表'!Aj"&amp;$G$1))))</f>
        <v>0</v>
      </c>
      <c r="D33" s="1828" t="s">
        <v>1431</v>
      </c>
      <c r="E33" s="347" t="s">
        <v>1415</v>
      </c>
      <c r="F33" s="367">
        <f>IF(D33="按票据","——",IF(D33="按租金收入计税",'数据-取费表'!B51,'数据-取费表'!B50))</f>
        <v>1.2E-2</v>
      </c>
      <c r="G33" s="1851"/>
      <c r="H33" s="1859"/>
      <c r="I33" s="1860"/>
      <c r="J33" s="1861"/>
      <c r="K33" s="1862"/>
      <c r="L33" s="1859"/>
      <c r="M33" s="1859"/>
    </row>
    <row r="34" spans="1:18" ht="18" customHeight="1">
      <c r="A34" s="1291" t="s">
        <v>1383</v>
      </c>
      <c r="B34" s="164" t="s">
        <v>1434</v>
      </c>
      <c r="C34" s="25">
        <f ca="1">IF(项目基本情况!B11="自然人","——",ROUND(F34*F35,))</f>
        <v>0</v>
      </c>
      <c r="D34" s="370" t="s">
        <v>1435</v>
      </c>
      <c r="E34" s="347" t="s">
        <v>1436</v>
      </c>
      <c r="F34" s="371">
        <f>'数据-取费表'!B52</f>
        <v>1.5</v>
      </c>
      <c r="G34" s="1851"/>
      <c r="H34" s="745"/>
      <c r="I34" s="1860"/>
      <c r="J34" s="1861"/>
      <c r="K34" s="1863"/>
      <c r="L34" s="1864"/>
      <c r="M34" s="1864"/>
    </row>
    <row r="35" spans="1:18" ht="18" customHeight="1">
      <c r="A35" s="1353"/>
      <c r="B35" s="1351"/>
      <c r="C35" s="29"/>
      <c r="D35" s="373"/>
      <c r="E35" s="347" t="s">
        <v>1440</v>
      </c>
      <c r="F35" s="348">
        <f ca="1">INDIRECT("'数据-取费表'!r"&amp;$G$1)</f>
        <v>0</v>
      </c>
      <c r="G35" s="1851"/>
      <c r="H35" s="745"/>
      <c r="I35" s="1860"/>
      <c r="J35" s="1861"/>
      <c r="K35" s="1862"/>
      <c r="L35" s="1859"/>
      <c r="M35" s="1859"/>
    </row>
    <row r="36" spans="1:18" ht="18" customHeight="1">
      <c r="A36" s="1352" t="s">
        <v>1035</v>
      </c>
      <c r="B36" s="347" t="s">
        <v>1442</v>
      </c>
      <c r="C36" s="24">
        <f ca="1">ROUND(C29*F36,0)</f>
        <v>0</v>
      </c>
      <c r="D36" s="1798" t="s">
        <v>1475</v>
      </c>
      <c r="E36" s="347" t="s">
        <v>1415</v>
      </c>
      <c r="F36" s="374">
        <f ca="1">INDIRECT("'数据-取费表'!Ak"&amp;$G$1)</f>
        <v>0</v>
      </c>
      <c r="G36" s="1851"/>
      <c r="H36" s="1859"/>
      <c r="I36" s="1860"/>
      <c r="J36" s="1861"/>
      <c r="K36" s="751"/>
      <c r="L36" s="1859"/>
      <c r="M36" s="1859"/>
    </row>
    <row r="37" spans="1:18" ht="18" customHeight="1">
      <c r="A37" s="1201" t="s">
        <v>1071</v>
      </c>
      <c r="B37" s="347" t="s">
        <v>1446</v>
      </c>
      <c r="C37" s="24">
        <f ca="1">ROUND(C13*F37,0)</f>
        <v>0</v>
      </c>
      <c r="D37" s="1798" t="s">
        <v>1447</v>
      </c>
      <c r="E37" s="347" t="s">
        <v>1448</v>
      </c>
      <c r="F37" s="376">
        <f ca="1">INDIRECT("'数据-取费表'!Al"&amp;$G$1)</f>
        <v>0</v>
      </c>
      <c r="G37" s="1851"/>
      <c r="H37" s="1859"/>
      <c r="I37" s="1860"/>
      <c r="J37" s="1861"/>
      <c r="K37" s="751"/>
      <c r="L37" s="1859"/>
      <c r="M37" s="1859"/>
    </row>
    <row r="38" spans="1:18" ht="18" customHeight="1" thickBot="1">
      <c r="A38" s="1339" t="s">
        <v>1387</v>
      </c>
      <c r="B38" s="1340" t="s">
        <v>1432</v>
      </c>
      <c r="C38" s="1341">
        <f ca="1">ROUND(C5*F38,1)</f>
        <v>0</v>
      </c>
      <c r="D38" s="1342" t="s">
        <v>1452</v>
      </c>
      <c r="E38" s="1340" t="s">
        <v>1448</v>
      </c>
      <c r="F38" s="1336">
        <f ca="1">INDIRECT("'数据-取费表'!Am"&amp;$G$1)</f>
        <v>0</v>
      </c>
      <c r="G38" s="1851"/>
      <c r="H38" s="1859"/>
      <c r="I38" s="1860"/>
      <c r="J38" s="1861"/>
      <c r="K38" s="1865"/>
      <c r="L38" s="1859"/>
      <c r="M38" s="1859"/>
    </row>
    <row r="39" spans="1:18" ht="24.6" customHeight="1" thickTop="1">
      <c r="A39" s="1329" t="s">
        <v>1027</v>
      </c>
      <c r="B39" s="1344" t="s">
        <v>1476</v>
      </c>
      <c r="C39" s="355">
        <f ca="1">C5-C30</f>
        <v>0</v>
      </c>
      <c r="D39" s="1345" t="s">
        <v>1477</v>
      </c>
      <c r="E39" s="1346"/>
      <c r="F39" s="1347"/>
      <c r="G39" s="1851"/>
      <c r="H39" s="1859"/>
      <c r="I39" s="1860"/>
      <c r="J39" s="1861"/>
      <c r="K39" s="1865"/>
      <c r="L39" s="1859"/>
      <c r="M39" s="1859"/>
    </row>
    <row r="40" spans="1:18" ht="18" customHeight="1">
      <c r="A40" s="344" t="s">
        <v>1028</v>
      </c>
      <c r="B40" s="345" t="s">
        <v>1478</v>
      </c>
      <c r="C40" s="346" t="e">
        <f ca="1">ROUND(C39*(1-((1+F42)/(1+F40))^F41)/(F40-F42),0)</f>
        <v>#DIV/0!</v>
      </c>
      <c r="D40" s="370" t="s">
        <v>1462</v>
      </c>
      <c r="E40" s="347" t="s">
        <v>1463</v>
      </c>
      <c r="F40" s="357">
        <f ca="1">INDIRECT("'数据-取费表'!I"&amp;$G$1)</f>
        <v>0</v>
      </c>
      <c r="G40" s="1851"/>
      <c r="H40" s="1839"/>
      <c r="I40" s="1860"/>
      <c r="J40" s="1861"/>
      <c r="K40" s="1865"/>
      <c r="L40" s="1839"/>
      <c r="M40" s="1839"/>
    </row>
    <row r="41" spans="1:18" ht="18" customHeight="1">
      <c r="A41" s="349"/>
      <c r="B41" s="350"/>
      <c r="C41" s="351"/>
      <c r="D41" s="378" t="s">
        <v>1479</v>
      </c>
      <c r="E41" s="347" t="s">
        <v>1467</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1470</v>
      </c>
      <c r="F42" s="357">
        <f ca="1">INDIRECT("'数据-取费表'!v"&amp;$G$1)</f>
        <v>0</v>
      </c>
      <c r="G42" s="1851"/>
      <c r="H42" s="732"/>
      <c r="I42" s="1860"/>
      <c r="J42" s="1861"/>
      <c r="K42" s="751"/>
      <c r="L42" s="732"/>
      <c r="M42" s="732"/>
    </row>
    <row r="43" spans="1:18" ht="18" customHeight="1" thickBot="1">
      <c r="A43" s="380" t="s">
        <v>1029</v>
      </c>
      <c r="B43" s="381" t="s">
        <v>1480</v>
      </c>
      <c r="C43" s="382" t="e">
        <f ca="1">ROUND(C40/F43,0)</f>
        <v>#DIV/0!</v>
      </c>
      <c r="D43" s="383" t="s">
        <v>1481</v>
      </c>
      <c r="E43" s="384" t="s">
        <v>1482</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1597</v>
      </c>
      <c r="E45" s="1866"/>
      <c r="F45" s="1866"/>
      <c r="O45" s="1869" t="s">
        <v>1512</v>
      </c>
      <c r="P45" s="1839"/>
      <c r="Q45" s="1839"/>
      <c r="R45" s="1839"/>
    </row>
    <row r="46" spans="1:18" s="1842" customFormat="1" ht="13.5" thickBot="1">
      <c r="A46" s="1870" t="s">
        <v>1513</v>
      </c>
      <c r="C46" s="1871" t="e">
        <f ca="1">ROUND(C45/10000,0)</f>
        <v>#DIV/0!</v>
      </c>
      <c r="D46" s="1872" t="str">
        <f>C2</f>
        <v>万元</v>
      </c>
      <c r="I46" s="1873" t="s">
        <v>1514</v>
      </c>
      <c r="J46" s="1874"/>
      <c r="K46" s="1875"/>
      <c r="L46" s="1876" t="e">
        <f ca="1">IF(M47="住宅",0,IF(L48&gt;J51,L60,J60))</f>
        <v>#DIV/0!</v>
      </c>
      <c r="O46" s="1877" t="s">
        <v>1515</v>
      </c>
      <c r="P46" s="1878" t="s">
        <v>1516</v>
      </c>
      <c r="Q46" s="1879" t="s">
        <v>1517</v>
      </c>
      <c r="R46" s="1879" t="s">
        <v>1518</v>
      </c>
    </row>
    <row r="47" spans="1:18" s="1842" customFormat="1" ht="13.5" thickBot="1">
      <c r="A47" s="1165" t="s">
        <v>1390</v>
      </c>
      <c r="B47" s="1197" t="s">
        <v>1391</v>
      </c>
      <c r="C47" s="1197" t="s">
        <v>1392</v>
      </c>
      <c r="D47" s="1197" t="s">
        <v>1393</v>
      </c>
      <c r="E47" s="1279" t="s">
        <v>1394</v>
      </c>
      <c r="F47" s="1280"/>
      <c r="G47" s="792"/>
      <c r="I47" s="1880" t="s">
        <v>1519</v>
      </c>
      <c r="J47" s="1881"/>
      <c r="K47" s="1882" t="s">
        <v>1520</v>
      </c>
      <c r="L47" s="1883">
        <f ca="1">INDIRECT("'数据-取费表'!d"&amp;$G$1)</f>
        <v>0</v>
      </c>
      <c r="M47" s="1838" t="str">
        <f>IF(ISNUMBER(FIND("住宅",C1)),"住宅","非住宅")</f>
        <v>非住宅</v>
      </c>
      <c r="O47" s="1884" t="s">
        <v>1036</v>
      </c>
      <c r="P47" s="1885" t="s">
        <v>1521</v>
      </c>
      <c r="Q47" s="1886" t="e">
        <f ca="1">C40+J29</f>
        <v>#DIV/0!</v>
      </c>
      <c r="R47" s="1886" t="s">
        <v>1522</v>
      </c>
    </row>
    <row r="48" spans="1:18" s="1842" customFormat="1" ht="28.5" thickBot="1">
      <c r="A48" s="1360" t="s">
        <v>1131</v>
      </c>
      <c r="B48" s="345" t="s">
        <v>1395</v>
      </c>
      <c r="C48" s="1817">
        <f ca="1">C49+C53+C55</f>
        <v>0</v>
      </c>
      <c r="D48" s="1362"/>
      <c r="E48" s="1363"/>
      <c r="F48" s="1181"/>
      <c r="G48" s="792"/>
      <c r="H48" s="793"/>
      <c r="I48" s="1887" t="s">
        <v>1523</v>
      </c>
      <c r="J48" s="1888"/>
      <c r="K48" s="1889" t="s">
        <v>1524</v>
      </c>
      <c r="L48" s="1890">
        <f ca="1">INDIRECT("'数据-取费表'!f"&amp;$G$1)</f>
        <v>0</v>
      </c>
      <c r="O48" s="1884" t="s">
        <v>1037</v>
      </c>
      <c r="P48" s="1885" t="s">
        <v>1525</v>
      </c>
      <c r="Q48" s="1886" t="e">
        <f ca="1">J60</f>
        <v>#DIV/0!</v>
      </c>
      <c r="R48" s="1886" t="s">
        <v>1526</v>
      </c>
    </row>
    <row r="49" spans="1:18" s="1842" customFormat="1" ht="13.5" thickBot="1">
      <c r="A49" s="1194" t="s">
        <v>1132</v>
      </c>
      <c r="B49" s="1829" t="s">
        <v>1483</v>
      </c>
      <c r="C49" s="1364">
        <f ca="1">ROUND(F49*F51*F50*(1-F52),0)</f>
        <v>0</v>
      </c>
      <c r="D49" s="1276" t="s">
        <v>1398</v>
      </c>
      <c r="E49" s="1830" t="s">
        <v>1484</v>
      </c>
      <c r="F49" s="1281"/>
      <c r="G49" s="1891"/>
      <c r="H49" s="793"/>
      <c r="I49" s="1887" t="s">
        <v>1527</v>
      </c>
      <c r="J49" s="1892"/>
      <c r="K49" s="1889" t="s">
        <v>1528</v>
      </c>
      <c r="L49" s="1893"/>
      <c r="O49" s="1894" t="s">
        <v>1038</v>
      </c>
      <c r="P49" s="1885" t="s">
        <v>1529</v>
      </c>
      <c r="Q49" s="1886">
        <f ca="1">C29</f>
        <v>0</v>
      </c>
      <c r="R49" s="1886" t="s">
        <v>1522</v>
      </c>
    </row>
    <row r="50" spans="1:18" s="1842" customFormat="1" ht="13.5" thickBot="1">
      <c r="A50" s="1195"/>
      <c r="B50" s="1198"/>
      <c r="C50" s="1199"/>
      <c r="D50" s="1172"/>
      <c r="E50" s="1277" t="s">
        <v>1400</v>
      </c>
      <c r="F50" s="1278">
        <f ca="1">F7</f>
        <v>0</v>
      </c>
      <c r="H50" s="793"/>
      <c r="I50" s="1887" t="s">
        <v>1530</v>
      </c>
      <c r="J50" s="1895">
        <f>SUMPRODUCT((I63:I65=J47)*(J62:L62=J48)*(J63:L65))</f>
        <v>0</v>
      </c>
      <c r="K50" s="1889" t="s">
        <v>1531</v>
      </c>
      <c r="L50" s="1893"/>
      <c r="M50" s="1896"/>
      <c r="O50" s="1894" t="s">
        <v>1039</v>
      </c>
      <c r="P50" s="1885" t="s">
        <v>1532</v>
      </c>
      <c r="Q50" s="1897" t="e">
        <f ca="1">J58</f>
        <v>#DIV/0!</v>
      </c>
      <c r="R50" s="1886"/>
    </row>
    <row r="51" spans="1:18" s="1842" customFormat="1" ht="13.5" thickBot="1">
      <c r="A51" s="1196"/>
      <c r="B51" s="1198"/>
      <c r="C51" s="1199"/>
      <c r="D51" s="1172"/>
      <c r="E51" s="1200" t="s">
        <v>1401</v>
      </c>
      <c r="F51" s="348">
        <f ca="1">F8</f>
        <v>0</v>
      </c>
      <c r="I51" s="1898" t="s">
        <v>1533</v>
      </c>
      <c r="J51" s="1899">
        <f>IF(J49="",J50,J49+J50-YEAR('数据-取费表'!B2))</f>
        <v>0</v>
      </c>
      <c r="K51" s="1900" t="s">
        <v>1534</v>
      </c>
      <c r="L51" s="1901">
        <f ca="1">ROUND(-PV(INDIRECT("'数据-取费表'!h"&amp;$G$1),L48,(C39-C13*C76),0),0)</f>
        <v>0</v>
      </c>
      <c r="M51" s="1902"/>
      <c r="O51" s="1894" t="s">
        <v>1040</v>
      </c>
      <c r="P51" s="1885" t="s">
        <v>1535</v>
      </c>
      <c r="Q51" s="1897">
        <f>J52</f>
        <v>0</v>
      </c>
      <c r="R51" s="1886"/>
    </row>
    <row r="52" spans="1:18" s="1842" customFormat="1" ht="13.5" thickBot="1">
      <c r="A52" s="1196"/>
      <c r="B52" s="1198"/>
      <c r="C52" s="1199"/>
      <c r="D52" s="1172"/>
      <c r="E52" s="1200" t="s">
        <v>1402</v>
      </c>
      <c r="F52" s="1275"/>
      <c r="I52" s="1903" t="s">
        <v>1536</v>
      </c>
      <c r="J52" s="1904"/>
      <c r="K52" s="1903" t="s">
        <v>1537</v>
      </c>
      <c r="L52" s="1904"/>
      <c r="O52" s="1894" t="s">
        <v>1041</v>
      </c>
      <c r="P52" s="1885" t="s">
        <v>1538</v>
      </c>
      <c r="Q52" s="1886">
        <f ca="1">J53</f>
        <v>0</v>
      </c>
      <c r="R52" s="1886" t="s">
        <v>1539</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1540</v>
      </c>
      <c r="J53" s="2950">
        <f ca="1">IF(M47="住宅",IF(D1="——",MAX(J51,L48),MAX(J51,L48-'数据-取费表'!B24)),IF(D1="——",MIN(J51,L48),MIN(J51,L48-'数据-取费表'!B24)))</f>
        <v>0</v>
      </c>
      <c r="K53" s="3249" t="s">
        <v>1541</v>
      </c>
      <c r="L53" s="3250"/>
      <c r="O53" s="1884" t="s">
        <v>1042</v>
      </c>
      <c r="P53" s="1885" t="s">
        <v>1542</v>
      </c>
      <c r="Q53" s="1886" t="e">
        <f ca="1">Q47+Q48</f>
        <v>#DIV/0!</v>
      </c>
      <c r="R53" s="1886" t="s">
        <v>1043</v>
      </c>
    </row>
    <row r="54" spans="1:18" s="1842" customFormat="1" ht="13.5" thickBot="1">
      <c r="A54" s="1194"/>
      <c r="B54" s="1940" t="s">
        <v>1596</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1543</v>
      </c>
      <c r="P54" s="1839"/>
      <c r="Q54" s="1839"/>
      <c r="R54" s="1839"/>
    </row>
    <row r="55" spans="1:18" s="1842" customFormat="1" ht="13.5" thickBot="1">
      <c r="A55" s="1333" t="s">
        <v>1071</v>
      </c>
      <c r="B55" s="1827" t="s">
        <v>1406</v>
      </c>
      <c r="C55" s="1334"/>
      <c r="D55" s="1824"/>
      <c r="E55" s="1832"/>
      <c r="F55" s="1906"/>
      <c r="I55" s="1909" t="s">
        <v>1544</v>
      </c>
      <c r="J55" s="1910" t="e">
        <f ca="1">ROUND(IF(J47="钢混",J57/J50,1-(1-2%)*(J50-J57)/J50),3)</f>
        <v>#DIV/0!</v>
      </c>
      <c r="K55" s="1911" t="s">
        <v>1545</v>
      </c>
      <c r="L55" s="1912"/>
      <c r="O55" s="1877" t="s">
        <v>1515</v>
      </c>
      <c r="P55" s="1878" t="s">
        <v>1516</v>
      </c>
      <c r="Q55" s="1879" t="s">
        <v>1517</v>
      </c>
      <c r="R55" s="1879" t="s">
        <v>1518</v>
      </c>
    </row>
    <row r="56" spans="1:18" s="1842" customFormat="1" ht="36" customHeight="1" thickTop="1" thickBot="1">
      <c r="A56" s="1176">
        <v>2</v>
      </c>
      <c r="B56" s="1177" t="s">
        <v>1407</v>
      </c>
      <c r="C56" s="276">
        <f ca="1">C13</f>
        <v>0</v>
      </c>
      <c r="D56" s="1913"/>
      <c r="E56" s="1914"/>
      <c r="F56" s="1906"/>
      <c r="I56" s="1915" t="s">
        <v>1547</v>
      </c>
      <c r="J56" s="1916"/>
      <c r="K56" s="1887" t="s">
        <v>1548</v>
      </c>
      <c r="L56" s="1890">
        <f ca="1">IF(L48&lt;J51,"——",L48-J51)</f>
        <v>0</v>
      </c>
      <c r="O56" s="1884" t="s">
        <v>1036</v>
      </c>
      <c r="P56" s="1885" t="s">
        <v>1521</v>
      </c>
      <c r="Q56" s="1886" t="e">
        <f ca="1">C40+J29</f>
        <v>#DIV/0!</v>
      </c>
      <c r="R56" s="1886" t="s">
        <v>1522</v>
      </c>
    </row>
    <row r="57" spans="1:18" s="1842" customFormat="1" ht="24.75" thickBot="1">
      <c r="A57" s="1917"/>
      <c r="B57" s="1169" t="s">
        <v>1471</v>
      </c>
      <c r="C57" s="282">
        <f ca="1">C29</f>
        <v>0</v>
      </c>
      <c r="D57" s="1918"/>
      <c r="E57" s="1919"/>
      <c r="F57" s="1920"/>
      <c r="I57" s="1921" t="s">
        <v>1549</v>
      </c>
      <c r="J57" s="1922">
        <f ca="1">IF(OR(M47="住宅",J51&lt;L48,J56="是"),"——",J51-L48)</f>
        <v>0</v>
      </c>
      <c r="K57" s="1887" t="s">
        <v>1598</v>
      </c>
      <c r="L57" s="1890">
        <f ca="1">IF(L48&lt;J51,"——",IF(L55="比较法",L49,IF(L55="基准地价",L50,L51)))</f>
        <v>0</v>
      </c>
      <c r="O57" s="1884" t="s">
        <v>1037</v>
      </c>
      <c r="P57" s="1885" t="s">
        <v>1599</v>
      </c>
      <c r="Q57" s="1886" t="e">
        <f ca="1">L60</f>
        <v>#DIV/0!</v>
      </c>
      <c r="R57" s="1886" t="s">
        <v>1600</v>
      </c>
    </row>
    <row r="58" spans="1:18" s="1842" customFormat="1" ht="24.75" thickBot="1">
      <c r="A58" s="360" t="s">
        <v>1026</v>
      </c>
      <c r="B58" s="1177" t="s">
        <v>1417</v>
      </c>
      <c r="C58" s="361">
        <f ca="1">ROUND(C59+C64+C65+C66,0)</f>
        <v>0</v>
      </c>
      <c r="D58" s="1179" t="s">
        <v>1418</v>
      </c>
      <c r="E58" s="1180"/>
      <c r="F58" s="1181"/>
      <c r="I58" s="1921" t="s">
        <v>1553</v>
      </c>
      <c r="J58" s="1923" t="e">
        <f ca="1">IF(J55&lt;0.4,0.4,J55)</f>
        <v>#DIV/0!</v>
      </c>
      <c r="K58" s="1900" t="s">
        <v>1601</v>
      </c>
      <c r="L58" s="1890" t="e">
        <f ca="1">ROUND(POWER(1+L52,L47-L48)*(POWER(1+L52,L48)-1)/(POWER(1+L52,L47)-1),4)</f>
        <v>#DIV/0!</v>
      </c>
      <c r="O58" s="1894" t="s">
        <v>1038</v>
      </c>
      <c r="P58" s="1885" t="s">
        <v>1555</v>
      </c>
      <c r="Q58" s="1886">
        <f>IF(L55="比较法",L49,IF(L55="基准地价",L50,0))</f>
        <v>0</v>
      </c>
      <c r="R58" s="1886" t="s">
        <v>1522</v>
      </c>
    </row>
    <row r="59" spans="1:18" s="1842" customFormat="1" ht="24.75" thickBot="1">
      <c r="A59" s="1201" t="s">
        <v>1031</v>
      </c>
      <c r="B59" s="1169" t="s">
        <v>1422</v>
      </c>
      <c r="C59" s="24">
        <f ca="1">ROUND(IF(项目基本情况!B11="自然人",C48*F59,C60+C61+C62),0)</f>
        <v>0</v>
      </c>
      <c r="D59" s="1182" t="s">
        <v>1423</v>
      </c>
      <c r="E59" s="1183" t="s">
        <v>1424</v>
      </c>
      <c r="F59" s="368" t="str">
        <f ca="1">IF(项目基本情况!B11="企业","",IF(INDIRECT("'数据-取费表'!c"&amp;$G$1)="住宅",5%,IF(F49*F50*F51/12/(1+'数据-取费表'!C42)&gt;20000,12%,7%)))</f>
        <v/>
      </c>
      <c r="I59" s="1921" t="s">
        <v>1556</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1557</v>
      </c>
      <c r="Q59" s="1897">
        <f>L52</f>
        <v>0</v>
      </c>
      <c r="R59" s="1886"/>
    </row>
    <row r="60" spans="1:18" s="1842" customFormat="1" ht="16.5" thickBot="1">
      <c r="A60" s="1201" t="s">
        <v>1030</v>
      </c>
      <c r="B60" s="1169" t="s">
        <v>1426</v>
      </c>
      <c r="C60" s="24">
        <f ca="1">IF(项目基本情况!B11="自然人","——",ROUND(C48*F60/(1+'数据-取费表'!C42),0))</f>
        <v>0</v>
      </c>
      <c r="D60" s="1183" t="s">
        <v>1427</v>
      </c>
      <c r="E60" s="1169" t="s">
        <v>1415</v>
      </c>
      <c r="F60" s="377">
        <f t="shared" ref="F60:F66" si="0">F32</f>
        <v>5.5000000000000007E-2</v>
      </c>
      <c r="I60" s="1924" t="s">
        <v>1558</v>
      </c>
      <c r="J60" s="1925" t="e">
        <f ca="1">IF(OR(M47="住宅",J51&lt;L48,J56="是"),"0",ROUND(J59/(1+J52)^J53,0))</f>
        <v>#DIV/0!</v>
      </c>
      <c r="K60" s="1926" t="s">
        <v>1559</v>
      </c>
      <c r="L60" s="1925" t="e">
        <f ca="1">IF(OR(M47="住宅",L48&lt;J51),0,ROUND(L57*(L58/L59-1),0))</f>
        <v>#DIV/0!</v>
      </c>
      <c r="O60" s="1894" t="s">
        <v>1040</v>
      </c>
      <c r="P60" s="1885" t="s">
        <v>1560</v>
      </c>
      <c r="Q60" s="1886" t="e">
        <f ca="1">L58</f>
        <v>#DIV/0!</v>
      </c>
      <c r="R60" s="1886" t="s">
        <v>1561</v>
      </c>
    </row>
    <row r="61" spans="1:18" s="1842" customFormat="1" ht="13.5" thickBot="1">
      <c r="A61" s="1201" t="s">
        <v>1485</v>
      </c>
      <c r="B61" s="1169" t="s">
        <v>1486</v>
      </c>
      <c r="C61" s="24">
        <f ca="1">IF(项目基本情况!B11="自然人","——",IF(D61="按租金收入计税",ROUND(C48*F61,0),IF(D61="按房产原值计税",ROUND(C57*F61*0.7,0),INDIRECT("'数据-取费表'!Aj"&amp;$G$1))))</f>
        <v>0</v>
      </c>
      <c r="D61" s="1828" t="s">
        <v>1431</v>
      </c>
      <c r="E61" s="1169" t="s">
        <v>1487</v>
      </c>
      <c r="F61" s="367">
        <f t="shared" si="0"/>
        <v>1.2E-2</v>
      </c>
      <c r="I61" s="1927"/>
      <c r="J61" s="1927"/>
      <c r="K61" s="1927"/>
      <c r="L61" s="1927"/>
      <c r="O61" s="1894" t="s">
        <v>1041</v>
      </c>
      <c r="P61" s="1885" t="str">
        <f>K59</f>
        <v>建设期及建筑物耐用年限下的土地年期修正系数Kn</v>
      </c>
      <c r="Q61" s="1886" t="e">
        <f ca="1">L59</f>
        <v>#DIV/0!</v>
      </c>
      <c r="R61" s="1886" t="s">
        <v>1562</v>
      </c>
    </row>
    <row r="62" spans="1:18" s="1842" customFormat="1" ht="13.5" thickBot="1">
      <c r="A62" s="1201" t="s">
        <v>1488</v>
      </c>
      <c r="B62" s="1168" t="s">
        <v>1489</v>
      </c>
      <c r="C62" s="25">
        <f ca="1">IF(项目基本情况!B11="自然人","——",ROUND(F62*F63,0))</f>
        <v>0</v>
      </c>
      <c r="D62" s="1184" t="s">
        <v>1490</v>
      </c>
      <c r="E62" s="1169" t="s">
        <v>1491</v>
      </c>
      <c r="F62" s="371">
        <f t="shared" si="0"/>
        <v>1.5</v>
      </c>
      <c r="I62" s="1928" t="s">
        <v>1563</v>
      </c>
      <c r="J62" s="1929" t="s">
        <v>1564</v>
      </c>
      <c r="K62" s="1929" t="s">
        <v>1565</v>
      </c>
      <c r="L62" s="1929" t="s">
        <v>1566</v>
      </c>
      <c r="M62" s="1930" t="s">
        <v>1567</v>
      </c>
      <c r="O62" s="1884" t="s">
        <v>1042</v>
      </c>
      <c r="P62" s="1885" t="s">
        <v>1568</v>
      </c>
      <c r="Q62" s="1886" t="e">
        <f ca="1">Q56+Q57</f>
        <v>#DIV/0!</v>
      </c>
      <c r="R62" s="1886" t="s">
        <v>1043</v>
      </c>
    </row>
    <row r="63" spans="1:18" s="1842" customFormat="1" ht="13.5" thickBot="1">
      <c r="A63" s="372"/>
      <c r="B63" s="1175"/>
      <c r="C63" s="29"/>
      <c r="D63" s="1185"/>
      <c r="E63" s="1169" t="s">
        <v>1492</v>
      </c>
      <c r="F63" s="348">
        <f t="shared" ca="1" si="0"/>
        <v>0</v>
      </c>
      <c r="I63" s="1928" t="s">
        <v>1569</v>
      </c>
      <c r="J63" s="1929">
        <v>70</v>
      </c>
      <c r="K63" s="1929">
        <v>50</v>
      </c>
      <c r="L63" s="1929">
        <v>80</v>
      </c>
      <c r="M63" s="1931">
        <v>0.02</v>
      </c>
      <c r="O63" s="1869" t="s">
        <v>1570</v>
      </c>
      <c r="P63" s="1839"/>
      <c r="Q63" s="1839"/>
      <c r="R63" s="1839"/>
    </row>
    <row r="64" spans="1:18" s="1842" customFormat="1" ht="13.5" thickBot="1">
      <c r="A64" s="1201" t="s">
        <v>1493</v>
      </c>
      <c r="B64" s="1169" t="s">
        <v>1494</v>
      </c>
      <c r="C64" s="24">
        <f ca="1">ROUND(C57*F64,0)</f>
        <v>0</v>
      </c>
      <c r="D64" s="1183" t="s">
        <v>1495</v>
      </c>
      <c r="E64" s="1169" t="s">
        <v>1487</v>
      </c>
      <c r="F64" s="374">
        <f t="shared" ca="1" si="0"/>
        <v>0</v>
      </c>
      <c r="I64" s="1928" t="s">
        <v>1571</v>
      </c>
      <c r="J64" s="1929">
        <v>50</v>
      </c>
      <c r="K64" s="1929">
        <v>35</v>
      </c>
      <c r="L64" s="1929">
        <v>60</v>
      </c>
      <c r="M64" s="1930">
        <v>0</v>
      </c>
      <c r="O64" s="1877" t="s">
        <v>1515</v>
      </c>
      <c r="P64" s="1878" t="s">
        <v>1516</v>
      </c>
      <c r="Q64" s="1879" t="s">
        <v>1517</v>
      </c>
      <c r="R64" s="1879" t="s">
        <v>1518</v>
      </c>
    </row>
    <row r="65" spans="1:18" s="1842" customFormat="1" ht="13.5" thickBot="1">
      <c r="A65" s="1201" t="s">
        <v>1496</v>
      </c>
      <c r="B65" s="1169" t="s">
        <v>1446</v>
      </c>
      <c r="C65" s="24">
        <f ca="1">ROUND(C56*F65,0)</f>
        <v>0</v>
      </c>
      <c r="D65" s="1183" t="s">
        <v>1447</v>
      </c>
      <c r="E65" s="1169" t="s">
        <v>1448</v>
      </c>
      <c r="F65" s="376">
        <f t="shared" ca="1" si="0"/>
        <v>0</v>
      </c>
      <c r="I65" s="1928" t="s">
        <v>1572</v>
      </c>
      <c r="J65" s="1929">
        <v>40</v>
      </c>
      <c r="K65" s="1929">
        <v>30</v>
      </c>
      <c r="L65" s="1929">
        <v>50</v>
      </c>
      <c r="M65" s="1931">
        <v>0.02</v>
      </c>
      <c r="O65" s="1884" t="s">
        <v>1036</v>
      </c>
      <c r="P65" s="1885" t="s">
        <v>1573</v>
      </c>
      <c r="Q65" s="1886" t="e">
        <f ca="1">C40+J29</f>
        <v>#DIV/0!</v>
      </c>
      <c r="R65" s="1886" t="s">
        <v>1522</v>
      </c>
    </row>
    <row r="66" spans="1:18" s="1842" customFormat="1" ht="16.5" thickBot="1">
      <c r="A66" s="1201" t="s">
        <v>1497</v>
      </c>
      <c r="B66" s="1169" t="s">
        <v>1432</v>
      </c>
      <c r="C66" s="24">
        <f ca="1">ROUND(C48*F66,0)</f>
        <v>0</v>
      </c>
      <c r="D66" s="1183" t="s">
        <v>1498</v>
      </c>
      <c r="E66" s="1169" t="s">
        <v>1415</v>
      </c>
      <c r="F66" s="357">
        <f t="shared" ca="1" si="0"/>
        <v>0</v>
      </c>
      <c r="O66" s="1884" t="s">
        <v>1037</v>
      </c>
      <c r="P66" s="1885" t="s">
        <v>1551</v>
      </c>
      <c r="Q66" s="1886" t="e">
        <f ca="1">L60</f>
        <v>#DIV/0!</v>
      </c>
      <c r="R66" s="1886" t="s">
        <v>1574</v>
      </c>
    </row>
    <row r="67" spans="1:18" s="1842" customFormat="1" ht="16.5" thickBot="1">
      <c r="A67" s="1176" t="s">
        <v>1027</v>
      </c>
      <c r="B67" s="1186" t="s">
        <v>1456</v>
      </c>
      <c r="C67" s="361">
        <f ca="1">C48-C58</f>
        <v>0</v>
      </c>
      <c r="D67" s="1182" t="s">
        <v>1457</v>
      </c>
      <c r="E67" s="1187"/>
      <c r="F67" s="1188"/>
      <c r="O67" s="1894" t="s">
        <v>1038</v>
      </c>
      <c r="P67" s="1885" t="s">
        <v>1555</v>
      </c>
      <c r="Q67" s="1932">
        <f ca="1">L51</f>
        <v>0</v>
      </c>
      <c r="R67" s="1886" t="s">
        <v>1575</v>
      </c>
    </row>
    <row r="68" spans="1:18" s="1842" customFormat="1" ht="16.5" thickBot="1">
      <c r="A68" s="1166" t="s">
        <v>1028</v>
      </c>
      <c r="B68" s="1167" t="s">
        <v>1478</v>
      </c>
      <c r="C68" s="346" t="e">
        <f ca="1">ROUND(C67*(1-((1+F70)/(1+F68))^F69)/(F68-F70),0)</f>
        <v>#DIV/0!</v>
      </c>
      <c r="D68" s="1184" t="s">
        <v>1462</v>
      </c>
      <c r="E68" s="1169" t="s">
        <v>1463</v>
      </c>
      <c r="F68" s="357">
        <f ca="1">F40</f>
        <v>0</v>
      </c>
      <c r="O68" s="1894" t="s">
        <v>1039</v>
      </c>
      <c r="P68" s="1933" t="s">
        <v>1576</v>
      </c>
      <c r="Q68" s="1886">
        <f ca="1">ROUND(Q69-Q70*Q71,0)</f>
        <v>0</v>
      </c>
      <c r="R68" s="1886" t="s">
        <v>1047</v>
      </c>
    </row>
    <row r="69" spans="1:18" s="1842" customFormat="1" ht="13.5" thickBot="1">
      <c r="A69" s="1170"/>
      <c r="B69" s="1171"/>
      <c r="C69" s="351"/>
      <c r="D69" s="1189" t="s">
        <v>1466</v>
      </c>
      <c r="E69" s="1169" t="s">
        <v>1467</v>
      </c>
      <c r="F69" s="379">
        <f ca="1">F41</f>
        <v>0</v>
      </c>
      <c r="O69" s="1894" t="s">
        <v>1044</v>
      </c>
      <c r="P69" s="1933" t="s">
        <v>1577</v>
      </c>
      <c r="Q69" s="1886">
        <f ca="1">C39</f>
        <v>0</v>
      </c>
      <c r="R69" s="1886" t="s">
        <v>1522</v>
      </c>
    </row>
    <row r="70" spans="1:18" s="1842" customFormat="1" ht="13.5" thickBot="1">
      <c r="A70" s="1173"/>
      <c r="B70" s="1174"/>
      <c r="C70" s="355"/>
      <c r="D70" s="1185"/>
      <c r="E70" s="1169" t="s">
        <v>1470</v>
      </c>
      <c r="F70" s="1275">
        <f ca="1">F42</f>
        <v>0</v>
      </c>
      <c r="O70" s="1894" t="s">
        <v>1045</v>
      </c>
      <c r="P70" s="1933" t="s">
        <v>1578</v>
      </c>
      <c r="Q70" s="1886">
        <f ca="1">C13</f>
        <v>0</v>
      </c>
      <c r="R70" s="1886" t="s">
        <v>1522</v>
      </c>
    </row>
    <row r="71" spans="1:18" s="1842" customFormat="1" ht="13.5" thickBot="1">
      <c r="A71" s="1190" t="s">
        <v>1029</v>
      </c>
      <c r="B71" s="1191" t="s">
        <v>1480</v>
      </c>
      <c r="C71" s="382" t="e">
        <f ca="1">ROUND(C68/F71,0)</f>
        <v>#DIV/0!</v>
      </c>
      <c r="D71" s="1192" t="s">
        <v>1481</v>
      </c>
      <c r="E71" s="1193" t="s">
        <v>1482</v>
      </c>
      <c r="F71" s="385">
        <f ca="1">F43</f>
        <v>0</v>
      </c>
      <c r="O71" s="1894" t="s">
        <v>1046</v>
      </c>
      <c r="P71" s="1933" t="s">
        <v>1579</v>
      </c>
      <c r="Q71" s="1897">
        <f ca="1">C76</f>
        <v>0</v>
      </c>
      <c r="R71" s="1886"/>
    </row>
    <row r="72" spans="1:18" s="1842" customFormat="1" ht="13.5" thickBot="1">
      <c r="B72" s="796"/>
      <c r="C72" s="796"/>
      <c r="O72" s="1894" t="s">
        <v>1040</v>
      </c>
      <c r="P72" s="1885" t="s">
        <v>1557</v>
      </c>
      <c r="Q72" s="1897">
        <f>L52</f>
        <v>0</v>
      </c>
      <c r="R72" s="1886"/>
    </row>
    <row r="73" spans="1:18" ht="16.5" thickBot="1">
      <c r="A73" s="1842"/>
      <c r="B73" s="796"/>
      <c r="C73" s="796"/>
      <c r="D73" s="1842"/>
      <c r="E73" s="1842"/>
      <c r="F73" s="1842"/>
      <c r="O73" s="1894" t="s">
        <v>1041</v>
      </c>
      <c r="P73" s="1885" t="s">
        <v>1560</v>
      </c>
      <c r="Q73" s="1886" t="e">
        <f ca="1">L58</f>
        <v>#DIV/0!</v>
      </c>
      <c r="R73" s="1886" t="s">
        <v>1561</v>
      </c>
    </row>
    <row r="74" spans="1:18" ht="13.5" thickBot="1">
      <c r="A74" s="1842"/>
      <c r="B74" s="317" t="s">
        <v>1580</v>
      </c>
      <c r="C74" s="1935"/>
      <c r="D74" s="1842"/>
      <c r="E74" s="1842"/>
      <c r="F74" s="1842"/>
      <c r="O74" s="1894" t="s">
        <v>1048</v>
      </c>
      <c r="P74" s="1885" t="str">
        <f>K59</f>
        <v>建设期及建筑物耐用年限下的土地年期修正系数Kn</v>
      </c>
      <c r="Q74" s="1886" t="e">
        <f ca="1">L59</f>
        <v>#DIV/0!</v>
      </c>
      <c r="R74" s="1886" t="s">
        <v>1562</v>
      </c>
    </row>
    <row r="75" spans="1:18" ht="13.5" thickBot="1">
      <c r="A75" s="1842"/>
      <c r="B75" s="386" t="s">
        <v>1499</v>
      </c>
      <c r="C75" s="387">
        <f ca="1">ROUND(C13*C76,0)</f>
        <v>0</v>
      </c>
      <c r="D75" s="1842"/>
      <c r="E75" s="1842"/>
      <c r="F75" s="1842"/>
      <c r="K75" s="1868"/>
      <c r="L75" s="1842"/>
      <c r="O75" s="1884" t="s">
        <v>1042</v>
      </c>
      <c r="P75" s="1885" t="s">
        <v>1542</v>
      </c>
      <c r="Q75" s="1886" t="e">
        <f ca="1">Q65+Q66</f>
        <v>#DIV/0!</v>
      </c>
      <c r="R75" s="1886" t="s">
        <v>1043</v>
      </c>
    </row>
    <row r="76" spans="1:18">
      <c r="B76" s="388" t="s">
        <v>1500</v>
      </c>
      <c r="C76" s="389">
        <f ca="1">INDIRECT("'数据-取费表'!j"&amp;$G$1)</f>
        <v>0</v>
      </c>
      <c r="I76" s="1842"/>
      <c r="J76" s="1842"/>
      <c r="K76" s="1868"/>
      <c r="L76" s="1842"/>
    </row>
    <row r="77" spans="1:18">
      <c r="B77" s="390" t="s">
        <v>1501</v>
      </c>
      <c r="C77" s="391"/>
      <c r="I77" s="1842"/>
      <c r="J77" s="1842"/>
      <c r="K77" s="1868"/>
      <c r="L77" s="1842"/>
    </row>
    <row r="78" spans="1:18">
      <c r="B78" s="314" t="s">
        <v>1502</v>
      </c>
      <c r="C78" s="392"/>
    </row>
    <row r="79" spans="1:18">
      <c r="B79" s="386" t="s">
        <v>1503</v>
      </c>
      <c r="C79" s="318" t="e">
        <f ca="1">1-C80</f>
        <v>#DIV/0!</v>
      </c>
    </row>
    <row r="80" spans="1:18">
      <c r="B80" s="386" t="s">
        <v>1504</v>
      </c>
      <c r="C80" s="318" t="e">
        <f ca="1">ROUND(C75/C39,3)</f>
        <v>#DIV/0!</v>
      </c>
    </row>
    <row r="81" spans="2:3">
      <c r="B81" s="314" t="s">
        <v>1505</v>
      </c>
      <c r="C81" s="282"/>
    </row>
    <row r="82" spans="2:3">
      <c r="B82" s="317" t="s">
        <v>1506</v>
      </c>
      <c r="C82" s="319" t="e">
        <f ca="1">1-C83</f>
        <v>#DIV/0!</v>
      </c>
    </row>
    <row r="83" spans="2:3">
      <c r="B83" s="317" t="s">
        <v>1507</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68"/>
  <sheetViews>
    <sheetView view="pageBreakPreview" topLeftCell="B1" zoomScale="90" zoomScaleNormal="100" zoomScaleSheetLayoutView="90" workbookViewId="0">
      <selection activeCell="H18" sqref="H18"/>
    </sheetView>
  </sheetViews>
  <sheetFormatPr defaultRowHeight="13.5"/>
  <cols>
    <col min="1" max="1" width="7.625" style="2960" customWidth="1"/>
    <col min="2" max="2" width="14.5" style="2960" customWidth="1"/>
    <col min="3" max="14" width="10.625" style="2960" customWidth="1"/>
    <col min="15" max="15" width="25" style="2960" customWidth="1"/>
    <col min="16" max="16" width="13.25" style="2960" customWidth="1"/>
    <col min="17" max="17" width="15.125" style="2960" customWidth="1"/>
    <col min="18" max="20" width="10.5" style="2960" customWidth="1"/>
    <col min="21" max="256" width="9" style="2960"/>
    <col min="257" max="257" width="7.625" style="2960" customWidth="1"/>
    <col min="258" max="258" width="14.5" style="2960" customWidth="1"/>
    <col min="259" max="270" width="10.625" style="2960" customWidth="1"/>
    <col min="271" max="271" width="25" style="2960" customWidth="1"/>
    <col min="272" max="272" width="13.25" style="2960" customWidth="1"/>
    <col min="273" max="273" width="15.125" style="2960" customWidth="1"/>
    <col min="274" max="276" width="10.5" style="2960" customWidth="1"/>
    <col min="277" max="512" width="9" style="2960"/>
    <col min="513" max="513" width="7.625" style="2960" customWidth="1"/>
    <col min="514" max="514" width="14.5" style="2960" customWidth="1"/>
    <col min="515" max="526" width="10.625" style="2960" customWidth="1"/>
    <col min="527" max="527" width="25" style="2960" customWidth="1"/>
    <col min="528" max="528" width="13.25" style="2960" customWidth="1"/>
    <col min="529" max="529" width="15.125" style="2960" customWidth="1"/>
    <col min="530" max="532" width="10.5" style="2960" customWidth="1"/>
    <col min="533" max="768" width="9" style="2960"/>
    <col min="769" max="769" width="7.625" style="2960" customWidth="1"/>
    <col min="770" max="770" width="14.5" style="2960" customWidth="1"/>
    <col min="771" max="782" width="10.625" style="2960" customWidth="1"/>
    <col min="783" max="783" width="25" style="2960" customWidth="1"/>
    <col min="784" max="784" width="13.25" style="2960" customWidth="1"/>
    <col min="785" max="785" width="15.125" style="2960" customWidth="1"/>
    <col min="786" max="788" width="10.5" style="2960" customWidth="1"/>
    <col min="789" max="1024" width="9" style="2960"/>
    <col min="1025" max="1025" width="7.625" style="2960" customWidth="1"/>
    <col min="1026" max="1026" width="14.5" style="2960" customWidth="1"/>
    <col min="1027" max="1038" width="10.625" style="2960" customWidth="1"/>
    <col min="1039" max="1039" width="25" style="2960" customWidth="1"/>
    <col min="1040" max="1040" width="13.25" style="2960" customWidth="1"/>
    <col min="1041" max="1041" width="15.125" style="2960" customWidth="1"/>
    <col min="1042" max="1044" width="10.5" style="2960" customWidth="1"/>
    <col min="1045" max="1280" width="9" style="2960"/>
    <col min="1281" max="1281" width="7.625" style="2960" customWidth="1"/>
    <col min="1282" max="1282" width="14.5" style="2960" customWidth="1"/>
    <col min="1283" max="1294" width="10.625" style="2960" customWidth="1"/>
    <col min="1295" max="1295" width="25" style="2960" customWidth="1"/>
    <col min="1296" max="1296" width="13.25" style="2960" customWidth="1"/>
    <col min="1297" max="1297" width="15.125" style="2960" customWidth="1"/>
    <col min="1298" max="1300" width="10.5" style="2960" customWidth="1"/>
    <col min="1301" max="1536" width="9" style="2960"/>
    <col min="1537" max="1537" width="7.625" style="2960" customWidth="1"/>
    <col min="1538" max="1538" width="14.5" style="2960" customWidth="1"/>
    <col min="1539" max="1550" width="10.625" style="2960" customWidth="1"/>
    <col min="1551" max="1551" width="25" style="2960" customWidth="1"/>
    <col min="1552" max="1552" width="13.25" style="2960" customWidth="1"/>
    <col min="1553" max="1553" width="15.125" style="2960" customWidth="1"/>
    <col min="1554" max="1556" width="10.5" style="2960" customWidth="1"/>
    <col min="1557" max="1792" width="9" style="2960"/>
    <col min="1793" max="1793" width="7.625" style="2960" customWidth="1"/>
    <col min="1794" max="1794" width="14.5" style="2960" customWidth="1"/>
    <col min="1795" max="1806" width="10.625" style="2960" customWidth="1"/>
    <col min="1807" max="1807" width="25" style="2960" customWidth="1"/>
    <col min="1808" max="1808" width="13.25" style="2960" customWidth="1"/>
    <col min="1809" max="1809" width="15.125" style="2960" customWidth="1"/>
    <col min="1810" max="1812" width="10.5" style="2960" customWidth="1"/>
    <col min="1813" max="2048" width="9" style="2960"/>
    <col min="2049" max="2049" width="7.625" style="2960" customWidth="1"/>
    <col min="2050" max="2050" width="14.5" style="2960" customWidth="1"/>
    <col min="2051" max="2062" width="10.625" style="2960" customWidth="1"/>
    <col min="2063" max="2063" width="25" style="2960" customWidth="1"/>
    <col min="2064" max="2064" width="13.25" style="2960" customWidth="1"/>
    <col min="2065" max="2065" width="15.125" style="2960" customWidth="1"/>
    <col min="2066" max="2068" width="10.5" style="2960" customWidth="1"/>
    <col min="2069" max="2304" width="9" style="2960"/>
    <col min="2305" max="2305" width="7.625" style="2960" customWidth="1"/>
    <col min="2306" max="2306" width="14.5" style="2960" customWidth="1"/>
    <col min="2307" max="2318" width="10.625" style="2960" customWidth="1"/>
    <col min="2319" max="2319" width="25" style="2960" customWidth="1"/>
    <col min="2320" max="2320" width="13.25" style="2960" customWidth="1"/>
    <col min="2321" max="2321" width="15.125" style="2960" customWidth="1"/>
    <col min="2322" max="2324" width="10.5" style="2960" customWidth="1"/>
    <col min="2325" max="2560" width="9" style="2960"/>
    <col min="2561" max="2561" width="7.625" style="2960" customWidth="1"/>
    <col min="2562" max="2562" width="14.5" style="2960" customWidth="1"/>
    <col min="2563" max="2574" width="10.625" style="2960" customWidth="1"/>
    <col min="2575" max="2575" width="25" style="2960" customWidth="1"/>
    <col min="2576" max="2576" width="13.25" style="2960" customWidth="1"/>
    <col min="2577" max="2577" width="15.125" style="2960" customWidth="1"/>
    <col min="2578" max="2580" width="10.5" style="2960" customWidth="1"/>
    <col min="2581" max="2816" width="9" style="2960"/>
    <col min="2817" max="2817" width="7.625" style="2960" customWidth="1"/>
    <col min="2818" max="2818" width="14.5" style="2960" customWidth="1"/>
    <col min="2819" max="2830" width="10.625" style="2960" customWidth="1"/>
    <col min="2831" max="2831" width="25" style="2960" customWidth="1"/>
    <col min="2832" max="2832" width="13.25" style="2960" customWidth="1"/>
    <col min="2833" max="2833" width="15.125" style="2960" customWidth="1"/>
    <col min="2834" max="2836" width="10.5" style="2960" customWidth="1"/>
    <col min="2837" max="3072" width="9" style="2960"/>
    <col min="3073" max="3073" width="7.625" style="2960" customWidth="1"/>
    <col min="3074" max="3074" width="14.5" style="2960" customWidth="1"/>
    <col min="3075" max="3086" width="10.625" style="2960" customWidth="1"/>
    <col min="3087" max="3087" width="25" style="2960" customWidth="1"/>
    <col min="3088" max="3088" width="13.25" style="2960" customWidth="1"/>
    <col min="3089" max="3089" width="15.125" style="2960" customWidth="1"/>
    <col min="3090" max="3092" width="10.5" style="2960" customWidth="1"/>
    <col min="3093" max="3328" width="9" style="2960"/>
    <col min="3329" max="3329" width="7.625" style="2960" customWidth="1"/>
    <col min="3330" max="3330" width="14.5" style="2960" customWidth="1"/>
    <col min="3331" max="3342" width="10.625" style="2960" customWidth="1"/>
    <col min="3343" max="3343" width="25" style="2960" customWidth="1"/>
    <col min="3344" max="3344" width="13.25" style="2960" customWidth="1"/>
    <col min="3345" max="3345" width="15.125" style="2960" customWidth="1"/>
    <col min="3346" max="3348" width="10.5" style="2960" customWidth="1"/>
    <col min="3349" max="3584" width="9" style="2960"/>
    <col min="3585" max="3585" width="7.625" style="2960" customWidth="1"/>
    <col min="3586" max="3586" width="14.5" style="2960" customWidth="1"/>
    <col min="3587" max="3598" width="10.625" style="2960" customWidth="1"/>
    <col min="3599" max="3599" width="25" style="2960" customWidth="1"/>
    <col min="3600" max="3600" width="13.25" style="2960" customWidth="1"/>
    <col min="3601" max="3601" width="15.125" style="2960" customWidth="1"/>
    <col min="3602" max="3604" width="10.5" style="2960" customWidth="1"/>
    <col min="3605" max="3840" width="9" style="2960"/>
    <col min="3841" max="3841" width="7.625" style="2960" customWidth="1"/>
    <col min="3842" max="3842" width="14.5" style="2960" customWidth="1"/>
    <col min="3843" max="3854" width="10.625" style="2960" customWidth="1"/>
    <col min="3855" max="3855" width="25" style="2960" customWidth="1"/>
    <col min="3856" max="3856" width="13.25" style="2960" customWidth="1"/>
    <col min="3857" max="3857" width="15.125" style="2960" customWidth="1"/>
    <col min="3858" max="3860" width="10.5" style="2960" customWidth="1"/>
    <col min="3861" max="4096" width="9" style="2960"/>
    <col min="4097" max="4097" width="7.625" style="2960" customWidth="1"/>
    <col min="4098" max="4098" width="14.5" style="2960" customWidth="1"/>
    <col min="4099" max="4110" width="10.625" style="2960" customWidth="1"/>
    <col min="4111" max="4111" width="25" style="2960" customWidth="1"/>
    <col min="4112" max="4112" width="13.25" style="2960" customWidth="1"/>
    <col min="4113" max="4113" width="15.125" style="2960" customWidth="1"/>
    <col min="4114" max="4116" width="10.5" style="2960" customWidth="1"/>
    <col min="4117" max="4352" width="9" style="2960"/>
    <col min="4353" max="4353" width="7.625" style="2960" customWidth="1"/>
    <col min="4354" max="4354" width="14.5" style="2960" customWidth="1"/>
    <col min="4355" max="4366" width="10.625" style="2960" customWidth="1"/>
    <col min="4367" max="4367" width="25" style="2960" customWidth="1"/>
    <col min="4368" max="4368" width="13.25" style="2960" customWidth="1"/>
    <col min="4369" max="4369" width="15.125" style="2960" customWidth="1"/>
    <col min="4370" max="4372" width="10.5" style="2960" customWidth="1"/>
    <col min="4373" max="4608" width="9" style="2960"/>
    <col min="4609" max="4609" width="7.625" style="2960" customWidth="1"/>
    <col min="4610" max="4610" width="14.5" style="2960" customWidth="1"/>
    <col min="4611" max="4622" width="10.625" style="2960" customWidth="1"/>
    <col min="4623" max="4623" width="25" style="2960" customWidth="1"/>
    <col min="4624" max="4624" width="13.25" style="2960" customWidth="1"/>
    <col min="4625" max="4625" width="15.125" style="2960" customWidth="1"/>
    <col min="4626" max="4628" width="10.5" style="2960" customWidth="1"/>
    <col min="4629" max="4864" width="9" style="2960"/>
    <col min="4865" max="4865" width="7.625" style="2960" customWidth="1"/>
    <col min="4866" max="4866" width="14.5" style="2960" customWidth="1"/>
    <col min="4867" max="4878" width="10.625" style="2960" customWidth="1"/>
    <col min="4879" max="4879" width="25" style="2960" customWidth="1"/>
    <col min="4880" max="4880" width="13.25" style="2960" customWidth="1"/>
    <col min="4881" max="4881" width="15.125" style="2960" customWidth="1"/>
    <col min="4882" max="4884" width="10.5" style="2960" customWidth="1"/>
    <col min="4885" max="5120" width="9" style="2960"/>
    <col min="5121" max="5121" width="7.625" style="2960" customWidth="1"/>
    <col min="5122" max="5122" width="14.5" style="2960" customWidth="1"/>
    <col min="5123" max="5134" width="10.625" style="2960" customWidth="1"/>
    <col min="5135" max="5135" width="25" style="2960" customWidth="1"/>
    <col min="5136" max="5136" width="13.25" style="2960" customWidth="1"/>
    <col min="5137" max="5137" width="15.125" style="2960" customWidth="1"/>
    <col min="5138" max="5140" width="10.5" style="2960" customWidth="1"/>
    <col min="5141" max="5376" width="9" style="2960"/>
    <col min="5377" max="5377" width="7.625" style="2960" customWidth="1"/>
    <col min="5378" max="5378" width="14.5" style="2960" customWidth="1"/>
    <col min="5379" max="5390" width="10.625" style="2960" customWidth="1"/>
    <col min="5391" max="5391" width="25" style="2960" customWidth="1"/>
    <col min="5392" max="5392" width="13.25" style="2960" customWidth="1"/>
    <col min="5393" max="5393" width="15.125" style="2960" customWidth="1"/>
    <col min="5394" max="5396" width="10.5" style="2960" customWidth="1"/>
    <col min="5397" max="5632" width="9" style="2960"/>
    <col min="5633" max="5633" width="7.625" style="2960" customWidth="1"/>
    <col min="5634" max="5634" width="14.5" style="2960" customWidth="1"/>
    <col min="5635" max="5646" width="10.625" style="2960" customWidth="1"/>
    <col min="5647" max="5647" width="25" style="2960" customWidth="1"/>
    <col min="5648" max="5648" width="13.25" style="2960" customWidth="1"/>
    <col min="5649" max="5649" width="15.125" style="2960" customWidth="1"/>
    <col min="5650" max="5652" width="10.5" style="2960" customWidth="1"/>
    <col min="5653" max="5888" width="9" style="2960"/>
    <col min="5889" max="5889" width="7.625" style="2960" customWidth="1"/>
    <col min="5890" max="5890" width="14.5" style="2960" customWidth="1"/>
    <col min="5891" max="5902" width="10.625" style="2960" customWidth="1"/>
    <col min="5903" max="5903" width="25" style="2960" customWidth="1"/>
    <col min="5904" max="5904" width="13.25" style="2960" customWidth="1"/>
    <col min="5905" max="5905" width="15.125" style="2960" customWidth="1"/>
    <col min="5906" max="5908" width="10.5" style="2960" customWidth="1"/>
    <col min="5909" max="6144" width="9" style="2960"/>
    <col min="6145" max="6145" width="7.625" style="2960" customWidth="1"/>
    <col min="6146" max="6146" width="14.5" style="2960" customWidth="1"/>
    <col min="6147" max="6158" width="10.625" style="2960" customWidth="1"/>
    <col min="6159" max="6159" width="25" style="2960" customWidth="1"/>
    <col min="6160" max="6160" width="13.25" style="2960" customWidth="1"/>
    <col min="6161" max="6161" width="15.125" style="2960" customWidth="1"/>
    <col min="6162" max="6164" width="10.5" style="2960" customWidth="1"/>
    <col min="6165" max="6400" width="9" style="2960"/>
    <col min="6401" max="6401" width="7.625" style="2960" customWidth="1"/>
    <col min="6402" max="6402" width="14.5" style="2960" customWidth="1"/>
    <col min="6403" max="6414" width="10.625" style="2960" customWidth="1"/>
    <col min="6415" max="6415" width="25" style="2960" customWidth="1"/>
    <col min="6416" max="6416" width="13.25" style="2960" customWidth="1"/>
    <col min="6417" max="6417" width="15.125" style="2960" customWidth="1"/>
    <col min="6418" max="6420" width="10.5" style="2960" customWidth="1"/>
    <col min="6421" max="6656" width="9" style="2960"/>
    <col min="6657" max="6657" width="7.625" style="2960" customWidth="1"/>
    <col min="6658" max="6658" width="14.5" style="2960" customWidth="1"/>
    <col min="6659" max="6670" width="10.625" style="2960" customWidth="1"/>
    <col min="6671" max="6671" width="25" style="2960" customWidth="1"/>
    <col min="6672" max="6672" width="13.25" style="2960" customWidth="1"/>
    <col min="6673" max="6673" width="15.125" style="2960" customWidth="1"/>
    <col min="6674" max="6676" width="10.5" style="2960" customWidth="1"/>
    <col min="6677" max="6912" width="9" style="2960"/>
    <col min="6913" max="6913" width="7.625" style="2960" customWidth="1"/>
    <col min="6914" max="6914" width="14.5" style="2960" customWidth="1"/>
    <col min="6915" max="6926" width="10.625" style="2960" customWidth="1"/>
    <col min="6927" max="6927" width="25" style="2960" customWidth="1"/>
    <col min="6928" max="6928" width="13.25" style="2960" customWidth="1"/>
    <col min="6929" max="6929" width="15.125" style="2960" customWidth="1"/>
    <col min="6930" max="6932" width="10.5" style="2960" customWidth="1"/>
    <col min="6933" max="7168" width="9" style="2960"/>
    <col min="7169" max="7169" width="7.625" style="2960" customWidth="1"/>
    <col min="7170" max="7170" width="14.5" style="2960" customWidth="1"/>
    <col min="7171" max="7182" width="10.625" style="2960" customWidth="1"/>
    <col min="7183" max="7183" width="25" style="2960" customWidth="1"/>
    <col min="7184" max="7184" width="13.25" style="2960" customWidth="1"/>
    <col min="7185" max="7185" width="15.125" style="2960" customWidth="1"/>
    <col min="7186" max="7188" width="10.5" style="2960" customWidth="1"/>
    <col min="7189" max="7424" width="9" style="2960"/>
    <col min="7425" max="7425" width="7.625" style="2960" customWidth="1"/>
    <col min="7426" max="7426" width="14.5" style="2960" customWidth="1"/>
    <col min="7427" max="7438" width="10.625" style="2960" customWidth="1"/>
    <col min="7439" max="7439" width="25" style="2960" customWidth="1"/>
    <col min="7440" max="7440" width="13.25" style="2960" customWidth="1"/>
    <col min="7441" max="7441" width="15.125" style="2960" customWidth="1"/>
    <col min="7442" max="7444" width="10.5" style="2960" customWidth="1"/>
    <col min="7445" max="7680" width="9" style="2960"/>
    <col min="7681" max="7681" width="7.625" style="2960" customWidth="1"/>
    <col min="7682" max="7682" width="14.5" style="2960" customWidth="1"/>
    <col min="7683" max="7694" width="10.625" style="2960" customWidth="1"/>
    <col min="7695" max="7695" width="25" style="2960" customWidth="1"/>
    <col min="7696" max="7696" width="13.25" style="2960" customWidth="1"/>
    <col min="7697" max="7697" width="15.125" style="2960" customWidth="1"/>
    <col min="7698" max="7700" width="10.5" style="2960" customWidth="1"/>
    <col min="7701" max="7936" width="9" style="2960"/>
    <col min="7937" max="7937" width="7.625" style="2960" customWidth="1"/>
    <col min="7938" max="7938" width="14.5" style="2960" customWidth="1"/>
    <col min="7939" max="7950" width="10.625" style="2960" customWidth="1"/>
    <col min="7951" max="7951" width="25" style="2960" customWidth="1"/>
    <col min="7952" max="7952" width="13.25" style="2960" customWidth="1"/>
    <col min="7953" max="7953" width="15.125" style="2960" customWidth="1"/>
    <col min="7954" max="7956" width="10.5" style="2960" customWidth="1"/>
    <col min="7957" max="8192" width="9" style="2960"/>
    <col min="8193" max="8193" width="7.625" style="2960" customWidth="1"/>
    <col min="8194" max="8194" width="14.5" style="2960" customWidth="1"/>
    <col min="8195" max="8206" width="10.625" style="2960" customWidth="1"/>
    <col min="8207" max="8207" width="25" style="2960" customWidth="1"/>
    <col min="8208" max="8208" width="13.25" style="2960" customWidth="1"/>
    <col min="8209" max="8209" width="15.125" style="2960" customWidth="1"/>
    <col min="8210" max="8212" width="10.5" style="2960" customWidth="1"/>
    <col min="8213" max="8448" width="9" style="2960"/>
    <col min="8449" max="8449" width="7.625" style="2960" customWidth="1"/>
    <col min="8450" max="8450" width="14.5" style="2960" customWidth="1"/>
    <col min="8451" max="8462" width="10.625" style="2960" customWidth="1"/>
    <col min="8463" max="8463" width="25" style="2960" customWidth="1"/>
    <col min="8464" max="8464" width="13.25" style="2960" customWidth="1"/>
    <col min="8465" max="8465" width="15.125" style="2960" customWidth="1"/>
    <col min="8466" max="8468" width="10.5" style="2960" customWidth="1"/>
    <col min="8469" max="8704" width="9" style="2960"/>
    <col min="8705" max="8705" width="7.625" style="2960" customWidth="1"/>
    <col min="8706" max="8706" width="14.5" style="2960" customWidth="1"/>
    <col min="8707" max="8718" width="10.625" style="2960" customWidth="1"/>
    <col min="8719" max="8719" width="25" style="2960" customWidth="1"/>
    <col min="8720" max="8720" width="13.25" style="2960" customWidth="1"/>
    <col min="8721" max="8721" width="15.125" style="2960" customWidth="1"/>
    <col min="8722" max="8724" width="10.5" style="2960" customWidth="1"/>
    <col min="8725" max="8960" width="9" style="2960"/>
    <col min="8961" max="8961" width="7.625" style="2960" customWidth="1"/>
    <col min="8962" max="8962" width="14.5" style="2960" customWidth="1"/>
    <col min="8963" max="8974" width="10.625" style="2960" customWidth="1"/>
    <col min="8975" max="8975" width="25" style="2960" customWidth="1"/>
    <col min="8976" max="8976" width="13.25" style="2960" customWidth="1"/>
    <col min="8977" max="8977" width="15.125" style="2960" customWidth="1"/>
    <col min="8978" max="8980" width="10.5" style="2960" customWidth="1"/>
    <col min="8981" max="9216" width="9" style="2960"/>
    <col min="9217" max="9217" width="7.625" style="2960" customWidth="1"/>
    <col min="9218" max="9218" width="14.5" style="2960" customWidth="1"/>
    <col min="9219" max="9230" width="10.625" style="2960" customWidth="1"/>
    <col min="9231" max="9231" width="25" style="2960" customWidth="1"/>
    <col min="9232" max="9232" width="13.25" style="2960" customWidth="1"/>
    <col min="9233" max="9233" width="15.125" style="2960" customWidth="1"/>
    <col min="9234" max="9236" width="10.5" style="2960" customWidth="1"/>
    <col min="9237" max="9472" width="9" style="2960"/>
    <col min="9473" max="9473" width="7.625" style="2960" customWidth="1"/>
    <col min="9474" max="9474" width="14.5" style="2960" customWidth="1"/>
    <col min="9475" max="9486" width="10.625" style="2960" customWidth="1"/>
    <col min="9487" max="9487" width="25" style="2960" customWidth="1"/>
    <col min="9488" max="9488" width="13.25" style="2960" customWidth="1"/>
    <col min="9489" max="9489" width="15.125" style="2960" customWidth="1"/>
    <col min="9490" max="9492" width="10.5" style="2960" customWidth="1"/>
    <col min="9493" max="9728" width="9" style="2960"/>
    <col min="9729" max="9729" width="7.625" style="2960" customWidth="1"/>
    <col min="9730" max="9730" width="14.5" style="2960" customWidth="1"/>
    <col min="9731" max="9742" width="10.625" style="2960" customWidth="1"/>
    <col min="9743" max="9743" width="25" style="2960" customWidth="1"/>
    <col min="9744" max="9744" width="13.25" style="2960" customWidth="1"/>
    <col min="9745" max="9745" width="15.125" style="2960" customWidth="1"/>
    <col min="9746" max="9748" width="10.5" style="2960" customWidth="1"/>
    <col min="9749" max="9984" width="9" style="2960"/>
    <col min="9985" max="9985" width="7.625" style="2960" customWidth="1"/>
    <col min="9986" max="9986" width="14.5" style="2960" customWidth="1"/>
    <col min="9987" max="9998" width="10.625" style="2960" customWidth="1"/>
    <col min="9999" max="9999" width="25" style="2960" customWidth="1"/>
    <col min="10000" max="10000" width="13.25" style="2960" customWidth="1"/>
    <col min="10001" max="10001" width="15.125" style="2960" customWidth="1"/>
    <col min="10002" max="10004" width="10.5" style="2960" customWidth="1"/>
    <col min="10005" max="10240" width="9" style="2960"/>
    <col min="10241" max="10241" width="7.625" style="2960" customWidth="1"/>
    <col min="10242" max="10242" width="14.5" style="2960" customWidth="1"/>
    <col min="10243" max="10254" width="10.625" style="2960" customWidth="1"/>
    <col min="10255" max="10255" width="25" style="2960" customWidth="1"/>
    <col min="10256" max="10256" width="13.25" style="2960" customWidth="1"/>
    <col min="10257" max="10257" width="15.125" style="2960" customWidth="1"/>
    <col min="10258" max="10260" width="10.5" style="2960" customWidth="1"/>
    <col min="10261" max="10496" width="9" style="2960"/>
    <col min="10497" max="10497" width="7.625" style="2960" customWidth="1"/>
    <col min="10498" max="10498" width="14.5" style="2960" customWidth="1"/>
    <col min="10499" max="10510" width="10.625" style="2960" customWidth="1"/>
    <col min="10511" max="10511" width="25" style="2960" customWidth="1"/>
    <col min="10512" max="10512" width="13.25" style="2960" customWidth="1"/>
    <col min="10513" max="10513" width="15.125" style="2960" customWidth="1"/>
    <col min="10514" max="10516" width="10.5" style="2960" customWidth="1"/>
    <col min="10517" max="10752" width="9" style="2960"/>
    <col min="10753" max="10753" width="7.625" style="2960" customWidth="1"/>
    <col min="10754" max="10754" width="14.5" style="2960" customWidth="1"/>
    <col min="10755" max="10766" width="10.625" style="2960" customWidth="1"/>
    <col min="10767" max="10767" width="25" style="2960" customWidth="1"/>
    <col min="10768" max="10768" width="13.25" style="2960" customWidth="1"/>
    <col min="10769" max="10769" width="15.125" style="2960" customWidth="1"/>
    <col min="10770" max="10772" width="10.5" style="2960" customWidth="1"/>
    <col min="10773" max="11008" width="9" style="2960"/>
    <col min="11009" max="11009" width="7.625" style="2960" customWidth="1"/>
    <col min="11010" max="11010" width="14.5" style="2960" customWidth="1"/>
    <col min="11011" max="11022" width="10.625" style="2960" customWidth="1"/>
    <col min="11023" max="11023" width="25" style="2960" customWidth="1"/>
    <col min="11024" max="11024" width="13.25" style="2960" customWidth="1"/>
    <col min="11025" max="11025" width="15.125" style="2960" customWidth="1"/>
    <col min="11026" max="11028" width="10.5" style="2960" customWidth="1"/>
    <col min="11029" max="11264" width="9" style="2960"/>
    <col min="11265" max="11265" width="7.625" style="2960" customWidth="1"/>
    <col min="11266" max="11266" width="14.5" style="2960" customWidth="1"/>
    <col min="11267" max="11278" width="10.625" style="2960" customWidth="1"/>
    <col min="11279" max="11279" width="25" style="2960" customWidth="1"/>
    <col min="11280" max="11280" width="13.25" style="2960" customWidth="1"/>
    <col min="11281" max="11281" width="15.125" style="2960" customWidth="1"/>
    <col min="11282" max="11284" width="10.5" style="2960" customWidth="1"/>
    <col min="11285" max="11520" width="9" style="2960"/>
    <col min="11521" max="11521" width="7.625" style="2960" customWidth="1"/>
    <col min="11522" max="11522" width="14.5" style="2960" customWidth="1"/>
    <col min="11523" max="11534" width="10.625" style="2960" customWidth="1"/>
    <col min="11535" max="11535" width="25" style="2960" customWidth="1"/>
    <col min="11536" max="11536" width="13.25" style="2960" customWidth="1"/>
    <col min="11537" max="11537" width="15.125" style="2960" customWidth="1"/>
    <col min="11538" max="11540" width="10.5" style="2960" customWidth="1"/>
    <col min="11541" max="11776" width="9" style="2960"/>
    <col min="11777" max="11777" width="7.625" style="2960" customWidth="1"/>
    <col min="11778" max="11778" width="14.5" style="2960" customWidth="1"/>
    <col min="11779" max="11790" width="10.625" style="2960" customWidth="1"/>
    <col min="11791" max="11791" width="25" style="2960" customWidth="1"/>
    <col min="11792" max="11792" width="13.25" style="2960" customWidth="1"/>
    <col min="11793" max="11793" width="15.125" style="2960" customWidth="1"/>
    <col min="11794" max="11796" width="10.5" style="2960" customWidth="1"/>
    <col min="11797" max="12032" width="9" style="2960"/>
    <col min="12033" max="12033" width="7.625" style="2960" customWidth="1"/>
    <col min="12034" max="12034" width="14.5" style="2960" customWidth="1"/>
    <col min="12035" max="12046" width="10.625" style="2960" customWidth="1"/>
    <col min="12047" max="12047" width="25" style="2960" customWidth="1"/>
    <col min="12048" max="12048" width="13.25" style="2960" customWidth="1"/>
    <col min="12049" max="12049" width="15.125" style="2960" customWidth="1"/>
    <col min="12050" max="12052" width="10.5" style="2960" customWidth="1"/>
    <col min="12053" max="12288" width="9" style="2960"/>
    <col min="12289" max="12289" width="7.625" style="2960" customWidth="1"/>
    <col min="12290" max="12290" width="14.5" style="2960" customWidth="1"/>
    <col min="12291" max="12302" width="10.625" style="2960" customWidth="1"/>
    <col min="12303" max="12303" width="25" style="2960" customWidth="1"/>
    <col min="12304" max="12304" width="13.25" style="2960" customWidth="1"/>
    <col min="12305" max="12305" width="15.125" style="2960" customWidth="1"/>
    <col min="12306" max="12308" width="10.5" style="2960" customWidth="1"/>
    <col min="12309" max="12544" width="9" style="2960"/>
    <col min="12545" max="12545" width="7.625" style="2960" customWidth="1"/>
    <col min="12546" max="12546" width="14.5" style="2960" customWidth="1"/>
    <col min="12547" max="12558" width="10.625" style="2960" customWidth="1"/>
    <col min="12559" max="12559" width="25" style="2960" customWidth="1"/>
    <col min="12560" max="12560" width="13.25" style="2960" customWidth="1"/>
    <col min="12561" max="12561" width="15.125" style="2960" customWidth="1"/>
    <col min="12562" max="12564" width="10.5" style="2960" customWidth="1"/>
    <col min="12565" max="12800" width="9" style="2960"/>
    <col min="12801" max="12801" width="7.625" style="2960" customWidth="1"/>
    <col min="12802" max="12802" width="14.5" style="2960" customWidth="1"/>
    <col min="12803" max="12814" width="10.625" style="2960" customWidth="1"/>
    <col min="12815" max="12815" width="25" style="2960" customWidth="1"/>
    <col min="12816" max="12816" width="13.25" style="2960" customWidth="1"/>
    <col min="12817" max="12817" width="15.125" style="2960" customWidth="1"/>
    <col min="12818" max="12820" width="10.5" style="2960" customWidth="1"/>
    <col min="12821" max="13056" width="9" style="2960"/>
    <col min="13057" max="13057" width="7.625" style="2960" customWidth="1"/>
    <col min="13058" max="13058" width="14.5" style="2960" customWidth="1"/>
    <col min="13059" max="13070" width="10.625" style="2960" customWidth="1"/>
    <col min="13071" max="13071" width="25" style="2960" customWidth="1"/>
    <col min="13072" max="13072" width="13.25" style="2960" customWidth="1"/>
    <col min="13073" max="13073" width="15.125" style="2960" customWidth="1"/>
    <col min="13074" max="13076" width="10.5" style="2960" customWidth="1"/>
    <col min="13077" max="13312" width="9" style="2960"/>
    <col min="13313" max="13313" width="7.625" style="2960" customWidth="1"/>
    <col min="13314" max="13314" width="14.5" style="2960" customWidth="1"/>
    <col min="13315" max="13326" width="10.625" style="2960" customWidth="1"/>
    <col min="13327" max="13327" width="25" style="2960" customWidth="1"/>
    <col min="13328" max="13328" width="13.25" style="2960" customWidth="1"/>
    <col min="13329" max="13329" width="15.125" style="2960" customWidth="1"/>
    <col min="13330" max="13332" width="10.5" style="2960" customWidth="1"/>
    <col min="13333" max="13568" width="9" style="2960"/>
    <col min="13569" max="13569" width="7.625" style="2960" customWidth="1"/>
    <col min="13570" max="13570" width="14.5" style="2960" customWidth="1"/>
    <col min="13571" max="13582" width="10.625" style="2960" customWidth="1"/>
    <col min="13583" max="13583" width="25" style="2960" customWidth="1"/>
    <col min="13584" max="13584" width="13.25" style="2960" customWidth="1"/>
    <col min="13585" max="13585" width="15.125" style="2960" customWidth="1"/>
    <col min="13586" max="13588" width="10.5" style="2960" customWidth="1"/>
    <col min="13589" max="13824" width="9" style="2960"/>
    <col min="13825" max="13825" width="7.625" style="2960" customWidth="1"/>
    <col min="13826" max="13826" width="14.5" style="2960" customWidth="1"/>
    <col min="13827" max="13838" width="10.625" style="2960" customWidth="1"/>
    <col min="13839" max="13839" width="25" style="2960" customWidth="1"/>
    <col min="13840" max="13840" width="13.25" style="2960" customWidth="1"/>
    <col min="13841" max="13841" width="15.125" style="2960" customWidth="1"/>
    <col min="13842" max="13844" width="10.5" style="2960" customWidth="1"/>
    <col min="13845" max="14080" width="9" style="2960"/>
    <col min="14081" max="14081" width="7.625" style="2960" customWidth="1"/>
    <col min="14082" max="14082" width="14.5" style="2960" customWidth="1"/>
    <col min="14083" max="14094" width="10.625" style="2960" customWidth="1"/>
    <col min="14095" max="14095" width="25" style="2960" customWidth="1"/>
    <col min="14096" max="14096" width="13.25" style="2960" customWidth="1"/>
    <col min="14097" max="14097" width="15.125" style="2960" customWidth="1"/>
    <col min="14098" max="14100" width="10.5" style="2960" customWidth="1"/>
    <col min="14101" max="14336" width="9" style="2960"/>
    <col min="14337" max="14337" width="7.625" style="2960" customWidth="1"/>
    <col min="14338" max="14338" width="14.5" style="2960" customWidth="1"/>
    <col min="14339" max="14350" width="10.625" style="2960" customWidth="1"/>
    <col min="14351" max="14351" width="25" style="2960" customWidth="1"/>
    <col min="14352" max="14352" width="13.25" style="2960" customWidth="1"/>
    <col min="14353" max="14353" width="15.125" style="2960" customWidth="1"/>
    <col min="14354" max="14356" width="10.5" style="2960" customWidth="1"/>
    <col min="14357" max="14592" width="9" style="2960"/>
    <col min="14593" max="14593" width="7.625" style="2960" customWidth="1"/>
    <col min="14594" max="14594" width="14.5" style="2960" customWidth="1"/>
    <col min="14595" max="14606" width="10.625" style="2960" customWidth="1"/>
    <col min="14607" max="14607" width="25" style="2960" customWidth="1"/>
    <col min="14608" max="14608" width="13.25" style="2960" customWidth="1"/>
    <col min="14609" max="14609" width="15.125" style="2960" customWidth="1"/>
    <col min="14610" max="14612" width="10.5" style="2960" customWidth="1"/>
    <col min="14613" max="14848" width="9" style="2960"/>
    <col min="14849" max="14849" width="7.625" style="2960" customWidth="1"/>
    <col min="14850" max="14850" width="14.5" style="2960" customWidth="1"/>
    <col min="14851" max="14862" width="10.625" style="2960" customWidth="1"/>
    <col min="14863" max="14863" width="25" style="2960" customWidth="1"/>
    <col min="14864" max="14864" width="13.25" style="2960" customWidth="1"/>
    <col min="14865" max="14865" width="15.125" style="2960" customWidth="1"/>
    <col min="14866" max="14868" width="10.5" style="2960" customWidth="1"/>
    <col min="14869" max="15104" width="9" style="2960"/>
    <col min="15105" max="15105" width="7.625" style="2960" customWidth="1"/>
    <col min="15106" max="15106" width="14.5" style="2960" customWidth="1"/>
    <col min="15107" max="15118" width="10.625" style="2960" customWidth="1"/>
    <col min="15119" max="15119" width="25" style="2960" customWidth="1"/>
    <col min="15120" max="15120" width="13.25" style="2960" customWidth="1"/>
    <col min="15121" max="15121" width="15.125" style="2960" customWidth="1"/>
    <col min="15122" max="15124" width="10.5" style="2960" customWidth="1"/>
    <col min="15125" max="15360" width="9" style="2960"/>
    <col min="15361" max="15361" width="7.625" style="2960" customWidth="1"/>
    <col min="15362" max="15362" width="14.5" style="2960" customWidth="1"/>
    <col min="15363" max="15374" width="10.625" style="2960" customWidth="1"/>
    <col min="15375" max="15375" width="25" style="2960" customWidth="1"/>
    <col min="15376" max="15376" width="13.25" style="2960" customWidth="1"/>
    <col min="15377" max="15377" width="15.125" style="2960" customWidth="1"/>
    <col min="15378" max="15380" width="10.5" style="2960" customWidth="1"/>
    <col min="15381" max="15616" width="9" style="2960"/>
    <col min="15617" max="15617" width="7.625" style="2960" customWidth="1"/>
    <col min="15618" max="15618" width="14.5" style="2960" customWidth="1"/>
    <col min="15619" max="15630" width="10.625" style="2960" customWidth="1"/>
    <col min="15631" max="15631" width="25" style="2960" customWidth="1"/>
    <col min="15632" max="15632" width="13.25" style="2960" customWidth="1"/>
    <col min="15633" max="15633" width="15.125" style="2960" customWidth="1"/>
    <col min="15634" max="15636" width="10.5" style="2960" customWidth="1"/>
    <col min="15637" max="15872" width="9" style="2960"/>
    <col min="15873" max="15873" width="7.625" style="2960" customWidth="1"/>
    <col min="15874" max="15874" width="14.5" style="2960" customWidth="1"/>
    <col min="15875" max="15886" width="10.625" style="2960" customWidth="1"/>
    <col min="15887" max="15887" width="25" style="2960" customWidth="1"/>
    <col min="15888" max="15888" width="13.25" style="2960" customWidth="1"/>
    <col min="15889" max="15889" width="15.125" style="2960" customWidth="1"/>
    <col min="15890" max="15892" width="10.5" style="2960" customWidth="1"/>
    <col min="15893" max="16128" width="9" style="2960"/>
    <col min="16129" max="16129" width="7.625" style="2960" customWidth="1"/>
    <col min="16130" max="16130" width="14.5" style="2960" customWidth="1"/>
    <col min="16131" max="16142" width="10.625" style="2960" customWidth="1"/>
    <col min="16143" max="16143" width="25" style="2960" customWidth="1"/>
    <col min="16144" max="16144" width="13.25" style="2960" customWidth="1"/>
    <col min="16145" max="16145" width="15.125" style="2960" customWidth="1"/>
    <col min="16146" max="16148" width="10.5" style="2960" customWidth="1"/>
    <col min="16149" max="16384" width="9" style="2960"/>
  </cols>
  <sheetData>
    <row r="1" spans="1:15" ht="15.75" customHeight="1">
      <c r="A1" s="3272" t="s">
        <v>3088</v>
      </c>
      <c r="B1" s="3272"/>
      <c r="C1" s="2958">
        <v>2016</v>
      </c>
      <c r="D1" s="2959">
        <v>9</v>
      </c>
      <c r="E1" s="2958">
        <v>23</v>
      </c>
    </row>
    <row r="2" spans="1:15" ht="15.75" customHeight="1">
      <c r="A2" s="3272" t="s">
        <v>3089</v>
      </c>
      <c r="B2" s="3272"/>
      <c r="C2" s="2958">
        <v>2015</v>
      </c>
      <c r="D2" s="2959">
        <v>1</v>
      </c>
      <c r="E2" s="2958">
        <v>1</v>
      </c>
    </row>
    <row r="3" spans="1:15" ht="15.75" customHeight="1">
      <c r="A3" s="3272"/>
      <c r="B3" s="3272"/>
      <c r="C3" s="2958">
        <v>2027</v>
      </c>
      <c r="D3" s="2959">
        <v>12</v>
      </c>
      <c r="E3" s="2958">
        <v>30</v>
      </c>
    </row>
    <row r="4" spans="1:15" ht="15.75" customHeight="1">
      <c r="A4" s="3272" t="s">
        <v>3090</v>
      </c>
      <c r="B4" s="3272"/>
      <c r="C4" s="2961">
        <f>SUM(B10:G10)+SUM(H10:K10)</f>
        <v>10.27</v>
      </c>
      <c r="D4" s="2960" t="s">
        <v>3091</v>
      </c>
    </row>
    <row r="5" spans="1:15" ht="29.25" customHeight="1">
      <c r="A5" s="3273" t="s">
        <v>3092</v>
      </c>
      <c r="B5" s="3273"/>
      <c r="C5" s="2961">
        <f>C6-C4</f>
        <v>16.13</v>
      </c>
      <c r="D5" s="2960" t="s">
        <v>3091</v>
      </c>
    </row>
    <row r="6" spans="1:15" ht="15.75" customHeight="1">
      <c r="A6" s="3272" t="s">
        <v>3093</v>
      </c>
      <c r="B6" s="3272"/>
      <c r="C6" s="2958">
        <v>26.4</v>
      </c>
      <c r="D6" s="2960" t="s">
        <v>3091</v>
      </c>
    </row>
    <row r="7" spans="1:15" ht="15.75" customHeight="1">
      <c r="B7" s="2962"/>
    </row>
    <row r="8" spans="1:15" ht="23.25" customHeight="1">
      <c r="A8" s="2963" t="s">
        <v>3094</v>
      </c>
      <c r="B8" s="2964" t="s">
        <v>3095</v>
      </c>
      <c r="C8" s="2964" t="s">
        <v>3096</v>
      </c>
      <c r="D8" s="2964" t="s">
        <v>3097</v>
      </c>
      <c r="E8" s="2964" t="s">
        <v>3098</v>
      </c>
      <c r="F8" s="2964" t="s">
        <v>3099</v>
      </c>
      <c r="G8" s="2964" t="s">
        <v>3100</v>
      </c>
      <c r="H8" s="2964" t="s">
        <v>3101</v>
      </c>
      <c r="I8" s="2964" t="s">
        <v>3102</v>
      </c>
      <c r="J8" s="2964" t="s">
        <v>3103</v>
      </c>
      <c r="K8" s="2964" t="s">
        <v>3104</v>
      </c>
    </row>
    <row r="9" spans="1:15" ht="15.75" customHeight="1">
      <c r="A9" s="2963" t="s">
        <v>3070</v>
      </c>
      <c r="B9" s="2958">
        <v>15</v>
      </c>
      <c r="C9" s="2958">
        <v>16</v>
      </c>
      <c r="D9" s="2958">
        <v>17</v>
      </c>
      <c r="E9" s="2958">
        <v>18</v>
      </c>
      <c r="F9" s="2958">
        <v>19</v>
      </c>
      <c r="G9" s="2958">
        <v>20</v>
      </c>
      <c r="H9" s="2965">
        <v>21</v>
      </c>
      <c r="I9" s="2965">
        <v>22</v>
      </c>
      <c r="J9" s="2965">
        <v>23</v>
      </c>
      <c r="K9" s="2965">
        <v>24</v>
      </c>
    </row>
    <row r="10" spans="1:15" s="2966" customFormat="1" ht="15.75" customHeight="1">
      <c r="A10" s="2963" t="s">
        <v>3090</v>
      </c>
      <c r="B10" s="2965">
        <v>1.27</v>
      </c>
      <c r="C10" s="2965">
        <v>1</v>
      </c>
      <c r="D10" s="2965">
        <v>1</v>
      </c>
      <c r="E10" s="2965">
        <v>1</v>
      </c>
      <c r="F10" s="2965">
        <v>1</v>
      </c>
      <c r="G10" s="2965">
        <v>1</v>
      </c>
      <c r="H10" s="2965">
        <v>1</v>
      </c>
      <c r="I10" s="2965">
        <v>1</v>
      </c>
      <c r="J10" s="2965">
        <v>1</v>
      </c>
      <c r="K10" s="2965">
        <v>1</v>
      </c>
    </row>
    <row r="11" spans="1:15" ht="15.75" customHeight="1">
      <c r="A11" s="2967"/>
    </row>
    <row r="12" spans="1:15" ht="43.5" customHeight="1">
      <c r="A12" s="3270" t="s">
        <v>3105</v>
      </c>
      <c r="B12" s="3271" t="s">
        <v>3106</v>
      </c>
      <c r="C12" s="2968" t="str">
        <f t="shared" ref="C12:L13" si="0">B8</f>
        <v>第1租赁期（至2018.1.1）</v>
      </c>
      <c r="D12" s="2968" t="str">
        <f t="shared" si="0"/>
        <v>第4年（至2019.1.1）</v>
      </c>
      <c r="E12" s="2968" t="str">
        <f t="shared" si="0"/>
        <v>第5年（至2020.1.1）</v>
      </c>
      <c r="F12" s="2968" t="str">
        <f t="shared" si="0"/>
        <v>第6年（至2021.1.1）</v>
      </c>
      <c r="G12" s="2968" t="str">
        <f t="shared" si="0"/>
        <v>第7年（至2022.1.1）</v>
      </c>
      <c r="H12" s="2968" t="str">
        <f t="shared" si="0"/>
        <v>第8年（至2023.1.1）</v>
      </c>
      <c r="I12" s="2968" t="str">
        <f t="shared" si="0"/>
        <v>第9年（至2024.1.1）</v>
      </c>
      <c r="J12" s="2968" t="str">
        <f t="shared" si="0"/>
        <v>第10年（至2025.1.1）</v>
      </c>
      <c r="K12" s="2968" t="str">
        <f t="shared" si="0"/>
        <v>第11年（至2026.1.1）</v>
      </c>
      <c r="L12" s="2968" t="str">
        <f t="shared" si="0"/>
        <v>第12年（至2027.1.1）</v>
      </c>
      <c r="M12" s="2968" t="s">
        <v>3107</v>
      </c>
      <c r="N12" s="2969" t="s">
        <v>3108</v>
      </c>
      <c r="O12" s="2970" t="s">
        <v>3109</v>
      </c>
    </row>
    <row r="13" spans="1:15" ht="15.75" customHeight="1">
      <c r="A13" s="3270"/>
      <c r="B13" s="3271"/>
      <c r="C13" s="2971">
        <f>B9</f>
        <v>15</v>
      </c>
      <c r="D13" s="2971">
        <f t="shared" si="0"/>
        <v>16</v>
      </c>
      <c r="E13" s="2971">
        <f t="shared" si="0"/>
        <v>17</v>
      </c>
      <c r="F13" s="2971">
        <f t="shared" si="0"/>
        <v>18</v>
      </c>
      <c r="G13" s="2971">
        <f t="shared" si="0"/>
        <v>19</v>
      </c>
      <c r="H13" s="2971">
        <f t="shared" si="0"/>
        <v>20</v>
      </c>
      <c r="I13" s="2971">
        <f t="shared" si="0"/>
        <v>21</v>
      </c>
      <c r="J13" s="2971">
        <f t="shared" si="0"/>
        <v>22</v>
      </c>
      <c r="K13" s="2971">
        <f t="shared" si="0"/>
        <v>23</v>
      </c>
      <c r="L13" s="2971">
        <f t="shared" si="0"/>
        <v>24</v>
      </c>
      <c r="M13" s="2971" t="s">
        <v>70</v>
      </c>
      <c r="N13" s="2969"/>
      <c r="O13" s="2972"/>
    </row>
    <row r="14" spans="1:15" ht="15.75" customHeight="1">
      <c r="A14" s="2973" t="s">
        <v>3110</v>
      </c>
      <c r="B14" s="2969" t="s">
        <v>3111</v>
      </c>
      <c r="C14" s="2974">
        <v>2191.33</v>
      </c>
      <c r="D14" s="2975">
        <f>C14</f>
        <v>2191.33</v>
      </c>
      <c r="E14" s="2975">
        <f t="shared" ref="E14:L14" si="1">D14</f>
        <v>2191.33</v>
      </c>
      <c r="F14" s="2975">
        <f t="shared" si="1"/>
        <v>2191.33</v>
      </c>
      <c r="G14" s="2975">
        <f t="shared" si="1"/>
        <v>2191.33</v>
      </c>
      <c r="H14" s="2975">
        <f t="shared" si="1"/>
        <v>2191.33</v>
      </c>
      <c r="I14" s="2975">
        <f t="shared" si="1"/>
        <v>2191.33</v>
      </c>
      <c r="J14" s="2975">
        <f t="shared" si="1"/>
        <v>2191.33</v>
      </c>
      <c r="K14" s="2975">
        <f t="shared" si="1"/>
        <v>2191.33</v>
      </c>
      <c r="L14" s="2975">
        <f t="shared" si="1"/>
        <v>2191.33</v>
      </c>
      <c r="M14" s="2974">
        <v>2191.33</v>
      </c>
      <c r="N14" s="2969"/>
      <c r="O14" s="2972"/>
    </row>
    <row r="15" spans="1:15" ht="15.75" customHeight="1">
      <c r="A15" s="2973" t="s">
        <v>3112</v>
      </c>
      <c r="B15" s="2976" t="s">
        <v>3113</v>
      </c>
      <c r="C15" s="2977" t="s">
        <v>70</v>
      </c>
      <c r="D15" s="2977" t="s">
        <v>70</v>
      </c>
      <c r="E15" s="2977" t="s">
        <v>70</v>
      </c>
      <c r="F15" s="2977" t="s">
        <v>70</v>
      </c>
      <c r="G15" s="2977" t="s">
        <v>70</v>
      </c>
      <c r="H15" s="2977" t="s">
        <v>70</v>
      </c>
      <c r="I15" s="2977" t="s">
        <v>70</v>
      </c>
      <c r="J15" s="2977" t="s">
        <v>70</v>
      </c>
      <c r="K15" s="2977" t="s">
        <v>70</v>
      </c>
      <c r="L15" s="2977" t="s">
        <v>70</v>
      </c>
      <c r="M15" s="2978">
        <f>ROUND(0.6*(1+M28)^C4,1)</f>
        <v>0.8</v>
      </c>
      <c r="N15" s="2969"/>
      <c r="O15" s="2972"/>
    </row>
    <row r="16" spans="1:15" ht="15.75" customHeight="1">
      <c r="A16" s="2973" t="s">
        <v>3114</v>
      </c>
      <c r="B16" s="2976" t="s">
        <v>3115</v>
      </c>
      <c r="C16" s="2977" t="s">
        <v>70</v>
      </c>
      <c r="D16" s="2977" t="s">
        <v>70</v>
      </c>
      <c r="E16" s="2977" t="s">
        <v>70</v>
      </c>
      <c r="F16" s="2977" t="s">
        <v>70</v>
      </c>
      <c r="G16" s="2977" t="s">
        <v>70</v>
      </c>
      <c r="H16" s="2977" t="s">
        <v>70</v>
      </c>
      <c r="I16" s="2977" t="s">
        <v>70</v>
      </c>
      <c r="J16" s="2977" t="s">
        <v>70</v>
      </c>
      <c r="K16" s="2977" t="s">
        <v>70</v>
      </c>
      <c r="L16" s="2977" t="s">
        <v>70</v>
      </c>
      <c r="M16" s="2979">
        <v>0.1</v>
      </c>
      <c r="N16" s="2969"/>
      <c r="O16" s="2972"/>
    </row>
    <row r="17" spans="1:17" ht="15.75" customHeight="1">
      <c r="A17" s="2973">
        <v>1</v>
      </c>
      <c r="B17" s="2976" t="s">
        <v>3116</v>
      </c>
      <c r="C17" s="2980">
        <f>C13</f>
        <v>15</v>
      </c>
      <c r="D17" s="2980">
        <f t="shared" ref="D17:L17" si="2">D13</f>
        <v>16</v>
      </c>
      <c r="E17" s="2980">
        <f t="shared" si="2"/>
        <v>17</v>
      </c>
      <c r="F17" s="2980">
        <f t="shared" si="2"/>
        <v>18</v>
      </c>
      <c r="G17" s="2980">
        <f t="shared" si="2"/>
        <v>19</v>
      </c>
      <c r="H17" s="2980">
        <f t="shared" si="2"/>
        <v>20</v>
      </c>
      <c r="I17" s="2980">
        <f t="shared" si="2"/>
        <v>21</v>
      </c>
      <c r="J17" s="2980">
        <f t="shared" si="2"/>
        <v>22</v>
      </c>
      <c r="K17" s="2980">
        <f t="shared" si="2"/>
        <v>23</v>
      </c>
      <c r="L17" s="2980">
        <f t="shared" si="2"/>
        <v>24</v>
      </c>
      <c r="M17" s="2980">
        <f>ROUND(M15*M14*365*(1-M16)/10000,0)</f>
        <v>58</v>
      </c>
      <c r="N17" s="2961"/>
      <c r="O17" s="2981" t="s">
        <v>3117</v>
      </c>
    </row>
    <row r="18" spans="1:17" ht="15.75" customHeight="1">
      <c r="A18" s="2973" t="s">
        <v>3118</v>
      </c>
      <c r="B18" s="2982" t="s">
        <v>3119</v>
      </c>
      <c r="C18" s="2983">
        <f t="shared" ref="C18:M18" si="3">ROUND(C17*$N$18/(1+5%),0)</f>
        <v>1</v>
      </c>
      <c r="D18" s="2983">
        <f t="shared" si="3"/>
        <v>1</v>
      </c>
      <c r="E18" s="2983">
        <f t="shared" si="3"/>
        <v>1</v>
      </c>
      <c r="F18" s="2983">
        <f t="shared" si="3"/>
        <v>1</v>
      </c>
      <c r="G18" s="2983">
        <f t="shared" si="3"/>
        <v>1</v>
      </c>
      <c r="H18" s="2983">
        <f t="shared" si="3"/>
        <v>1</v>
      </c>
      <c r="I18" s="2983">
        <f t="shared" si="3"/>
        <v>1</v>
      </c>
      <c r="J18" s="2983">
        <f t="shared" si="3"/>
        <v>1</v>
      </c>
      <c r="K18" s="2983">
        <f t="shared" si="3"/>
        <v>1</v>
      </c>
      <c r="L18" s="2983">
        <f t="shared" si="3"/>
        <v>1</v>
      </c>
      <c r="M18" s="2983">
        <f t="shared" si="3"/>
        <v>3</v>
      </c>
      <c r="N18" s="2984">
        <v>5.5E-2</v>
      </c>
      <c r="O18" s="2985" t="s">
        <v>3120</v>
      </c>
      <c r="P18" s="2986"/>
    </row>
    <row r="19" spans="1:17" ht="15.75" customHeight="1">
      <c r="A19" s="2973" t="s">
        <v>3121</v>
      </c>
      <c r="B19" s="2982" t="s">
        <v>3122</v>
      </c>
      <c r="C19" s="2987">
        <f>ROUND($Q$19*$N$19*(1-30%),0)</f>
        <v>5</v>
      </c>
      <c r="D19" s="2987">
        <f t="shared" ref="D19:M19" si="4">$C$19</f>
        <v>5</v>
      </c>
      <c r="E19" s="2987">
        <f t="shared" si="4"/>
        <v>5</v>
      </c>
      <c r="F19" s="2987">
        <f t="shared" si="4"/>
        <v>5</v>
      </c>
      <c r="G19" s="2987">
        <f t="shared" si="4"/>
        <v>5</v>
      </c>
      <c r="H19" s="2987">
        <f t="shared" si="4"/>
        <v>5</v>
      </c>
      <c r="I19" s="2987">
        <f t="shared" si="4"/>
        <v>5</v>
      </c>
      <c r="J19" s="2987">
        <f t="shared" si="4"/>
        <v>5</v>
      </c>
      <c r="K19" s="2987">
        <f t="shared" si="4"/>
        <v>5</v>
      </c>
      <c r="L19" s="2987">
        <f t="shared" si="4"/>
        <v>5</v>
      </c>
      <c r="M19" s="2987">
        <f t="shared" si="4"/>
        <v>5</v>
      </c>
      <c r="N19" s="2984">
        <v>1.2E-2</v>
      </c>
      <c r="O19" s="2985" t="s">
        <v>3123</v>
      </c>
      <c r="P19" s="2988" t="s">
        <v>3124</v>
      </c>
      <c r="Q19" s="2989">
        <f>Q22</f>
        <v>644</v>
      </c>
    </row>
    <row r="20" spans="1:17" ht="15.75" customHeight="1">
      <c r="A20" s="2973" t="s">
        <v>3125</v>
      </c>
      <c r="B20" s="2982" t="s">
        <v>3126</v>
      </c>
      <c r="C20" s="2987">
        <f>ROUND($N$20*$Q$20/10000,0)</f>
        <v>16</v>
      </c>
      <c r="D20" s="2987">
        <f t="shared" ref="D20:M20" si="5">ROUND($N$20*$Q$20/10000,0)</f>
        <v>16</v>
      </c>
      <c r="E20" s="2987">
        <f t="shared" si="5"/>
        <v>16</v>
      </c>
      <c r="F20" s="2987">
        <f t="shared" si="5"/>
        <v>16</v>
      </c>
      <c r="G20" s="2987">
        <f t="shared" si="5"/>
        <v>16</v>
      </c>
      <c r="H20" s="2987">
        <f t="shared" si="5"/>
        <v>16</v>
      </c>
      <c r="I20" s="2987">
        <f t="shared" si="5"/>
        <v>16</v>
      </c>
      <c r="J20" s="2987">
        <f t="shared" si="5"/>
        <v>16</v>
      </c>
      <c r="K20" s="2987">
        <f t="shared" si="5"/>
        <v>16</v>
      </c>
      <c r="L20" s="2987">
        <f t="shared" si="5"/>
        <v>16</v>
      </c>
      <c r="M20" s="2987">
        <f t="shared" si="5"/>
        <v>16</v>
      </c>
      <c r="N20" s="2990">
        <v>10</v>
      </c>
      <c r="O20" s="2991" t="s">
        <v>3127</v>
      </c>
      <c r="P20" s="2988" t="s">
        <v>3128</v>
      </c>
      <c r="Q20" s="2989">
        <f>16164.6</f>
        <v>16164.6</v>
      </c>
    </row>
    <row r="21" spans="1:17" s="2998" customFormat="1" ht="15.75" customHeight="1">
      <c r="A21" s="2992" t="s">
        <v>3129</v>
      </c>
      <c r="B21" s="2993" t="s">
        <v>3130</v>
      </c>
      <c r="C21" s="2980">
        <f t="shared" ref="C21:M21" si="6">SUM(C18:C20,0)</f>
        <v>22</v>
      </c>
      <c r="D21" s="2980">
        <f t="shared" si="6"/>
        <v>22</v>
      </c>
      <c r="E21" s="2980">
        <f t="shared" si="6"/>
        <v>22</v>
      </c>
      <c r="F21" s="2980">
        <f t="shared" si="6"/>
        <v>22</v>
      </c>
      <c r="G21" s="2980">
        <f t="shared" si="6"/>
        <v>22</v>
      </c>
      <c r="H21" s="2980">
        <f t="shared" si="6"/>
        <v>22</v>
      </c>
      <c r="I21" s="2980">
        <f t="shared" si="6"/>
        <v>22</v>
      </c>
      <c r="J21" s="2980">
        <f t="shared" si="6"/>
        <v>22</v>
      </c>
      <c r="K21" s="2980">
        <f t="shared" si="6"/>
        <v>22</v>
      </c>
      <c r="L21" s="2980">
        <f t="shared" si="6"/>
        <v>22</v>
      </c>
      <c r="M21" s="2980">
        <f t="shared" si="6"/>
        <v>24</v>
      </c>
      <c r="N21" s="2994">
        <v>0.11</v>
      </c>
      <c r="O21" s="2995" t="s">
        <v>3131</v>
      </c>
      <c r="P21" s="2996"/>
      <c r="Q21" s="2997"/>
    </row>
    <row r="22" spans="1:17" ht="15.75" customHeight="1">
      <c r="A22" s="2973" t="s">
        <v>3132</v>
      </c>
      <c r="B22" s="2999" t="s">
        <v>3133</v>
      </c>
      <c r="C22" s="3000">
        <f>ROUND($Q$22*$N$22,0)</f>
        <v>1</v>
      </c>
      <c r="D22" s="3000">
        <f t="shared" ref="D22:M22" si="7">$C$22</f>
        <v>1</v>
      </c>
      <c r="E22" s="3000">
        <f t="shared" si="7"/>
        <v>1</v>
      </c>
      <c r="F22" s="3000">
        <f t="shared" si="7"/>
        <v>1</v>
      </c>
      <c r="G22" s="3000">
        <f t="shared" si="7"/>
        <v>1</v>
      </c>
      <c r="H22" s="3000">
        <f t="shared" si="7"/>
        <v>1</v>
      </c>
      <c r="I22" s="3000">
        <f t="shared" si="7"/>
        <v>1</v>
      </c>
      <c r="J22" s="3000">
        <f t="shared" si="7"/>
        <v>1</v>
      </c>
      <c r="K22" s="3000">
        <f t="shared" si="7"/>
        <v>1</v>
      </c>
      <c r="L22" s="3000">
        <f t="shared" si="7"/>
        <v>1</v>
      </c>
      <c r="M22" s="3000">
        <f t="shared" si="7"/>
        <v>1</v>
      </c>
      <c r="N22" s="3001">
        <v>2E-3</v>
      </c>
      <c r="O22" s="2991" t="s">
        <v>3134</v>
      </c>
      <c r="P22" s="2988" t="s">
        <v>3135</v>
      </c>
      <c r="Q22" s="2989">
        <f>C51</f>
        <v>644</v>
      </c>
    </row>
    <row r="23" spans="1:17" ht="15.75" customHeight="1">
      <c r="A23" s="2973" t="s">
        <v>3136</v>
      </c>
      <c r="B23" s="2999" t="s">
        <v>3137</v>
      </c>
      <c r="C23" s="3002">
        <f>ROUND(P38*$N$23,1)</f>
        <v>0.1</v>
      </c>
      <c r="D23" s="3002">
        <f>ROUND(P40*$N$23,1)</f>
        <v>0.1</v>
      </c>
      <c r="E23" s="3002">
        <f>ROUND(P41*$N$23,1)</f>
        <v>0.1</v>
      </c>
      <c r="F23" s="3002">
        <f>ROUND(P42*$N$23,1)</f>
        <v>0.1</v>
      </c>
      <c r="G23" s="3002">
        <f>ROUND(P43*$N$23,1)</f>
        <v>0.1</v>
      </c>
      <c r="H23" s="3002">
        <f>ROUND(P44*$N$23,1)</f>
        <v>0.1</v>
      </c>
      <c r="I23" s="3002">
        <f>ROUND(P45*$N$23,1)</f>
        <v>0.1</v>
      </c>
      <c r="J23" s="3002">
        <f>ROUND(P46*$N$23,1)</f>
        <v>0.1</v>
      </c>
      <c r="K23" s="3002">
        <f>ROUND(P47*$N$23,1)</f>
        <v>0.1</v>
      </c>
      <c r="L23" s="3002">
        <f>ROUND(P48*$N$23,1)</f>
        <v>0.1</v>
      </c>
      <c r="M23" s="3002">
        <f>ROUND(P49*$N$23,1)</f>
        <v>0.1</v>
      </c>
      <c r="N23" s="3003">
        <v>2.5000000000000001E-4</v>
      </c>
      <c r="O23" s="3004" t="s">
        <v>3138</v>
      </c>
      <c r="P23" s="2966"/>
    </row>
    <row r="24" spans="1:17" ht="15.75" customHeight="1">
      <c r="A24" s="2973" t="s">
        <v>3139</v>
      </c>
      <c r="B24" s="2999" t="s">
        <v>3140</v>
      </c>
      <c r="C24" s="3002">
        <f>ROUND($N$24*C17,1)</f>
        <v>0.3</v>
      </c>
      <c r="D24" s="3002">
        <f t="shared" ref="D24:M24" si="8">ROUND($N$24*D17,1)</f>
        <v>0.3</v>
      </c>
      <c r="E24" s="3002">
        <f t="shared" si="8"/>
        <v>0.3</v>
      </c>
      <c r="F24" s="3002">
        <f t="shared" si="8"/>
        <v>0.4</v>
      </c>
      <c r="G24" s="3002">
        <f t="shared" si="8"/>
        <v>0.4</v>
      </c>
      <c r="H24" s="3002">
        <f t="shared" si="8"/>
        <v>0.4</v>
      </c>
      <c r="I24" s="3002">
        <f t="shared" si="8"/>
        <v>0.4</v>
      </c>
      <c r="J24" s="3002">
        <f t="shared" si="8"/>
        <v>0.4</v>
      </c>
      <c r="K24" s="3002">
        <f t="shared" si="8"/>
        <v>0.5</v>
      </c>
      <c r="L24" s="3002">
        <f t="shared" si="8"/>
        <v>0.5</v>
      </c>
      <c r="M24" s="3002">
        <f t="shared" si="8"/>
        <v>1.2</v>
      </c>
      <c r="N24" s="3005">
        <v>0.02</v>
      </c>
      <c r="O24" s="2981" t="s">
        <v>3141</v>
      </c>
      <c r="P24" s="2966"/>
    </row>
    <row r="25" spans="1:17" ht="31.5" customHeight="1">
      <c r="A25" s="2973">
        <v>2</v>
      </c>
      <c r="B25" s="2976" t="s">
        <v>3142</v>
      </c>
      <c r="C25" s="3006">
        <f t="shared" ref="C25:M25" si="9">ROUND(SUM(C21:C24),0)</f>
        <v>23</v>
      </c>
      <c r="D25" s="3006">
        <f t="shared" si="9"/>
        <v>23</v>
      </c>
      <c r="E25" s="3006">
        <f t="shared" si="9"/>
        <v>23</v>
      </c>
      <c r="F25" s="3006">
        <f t="shared" si="9"/>
        <v>24</v>
      </c>
      <c r="G25" s="3006">
        <f t="shared" si="9"/>
        <v>24</v>
      </c>
      <c r="H25" s="3006">
        <f t="shared" si="9"/>
        <v>24</v>
      </c>
      <c r="I25" s="3006">
        <f t="shared" si="9"/>
        <v>24</v>
      </c>
      <c r="J25" s="3006">
        <f t="shared" si="9"/>
        <v>24</v>
      </c>
      <c r="K25" s="3006">
        <f t="shared" si="9"/>
        <v>24</v>
      </c>
      <c r="L25" s="3006">
        <f t="shared" si="9"/>
        <v>24</v>
      </c>
      <c r="M25" s="3006">
        <f t="shared" si="9"/>
        <v>26</v>
      </c>
      <c r="N25" s="2976"/>
      <c r="O25" s="3007" t="s">
        <v>3143</v>
      </c>
    </row>
    <row r="26" spans="1:17" ht="26.25" customHeight="1">
      <c r="A26" s="2973" t="s">
        <v>3144</v>
      </c>
      <c r="B26" s="2976" t="s">
        <v>3145</v>
      </c>
      <c r="C26" s="3006">
        <f t="shared" ref="C26:M26" si="10">ROUND(C17-C25,0)</f>
        <v>-8</v>
      </c>
      <c r="D26" s="3006">
        <f t="shared" si="10"/>
        <v>-7</v>
      </c>
      <c r="E26" s="3006">
        <f t="shared" si="10"/>
        <v>-6</v>
      </c>
      <c r="F26" s="3006">
        <f t="shared" si="10"/>
        <v>-6</v>
      </c>
      <c r="G26" s="3006">
        <f t="shared" si="10"/>
        <v>-5</v>
      </c>
      <c r="H26" s="3006">
        <f t="shared" si="10"/>
        <v>-4</v>
      </c>
      <c r="I26" s="3006">
        <f t="shared" si="10"/>
        <v>-3</v>
      </c>
      <c r="J26" s="3006">
        <f t="shared" si="10"/>
        <v>-2</v>
      </c>
      <c r="K26" s="3006">
        <f t="shared" si="10"/>
        <v>-1</v>
      </c>
      <c r="L26" s="3006">
        <f t="shared" si="10"/>
        <v>0</v>
      </c>
      <c r="M26" s="3006">
        <f t="shared" si="10"/>
        <v>32</v>
      </c>
      <c r="N26" s="2976"/>
      <c r="O26" s="3008" t="s">
        <v>3112</v>
      </c>
    </row>
    <row r="27" spans="1:17" ht="24" customHeight="1">
      <c r="A27" s="2973" t="s">
        <v>3146</v>
      </c>
      <c r="B27" s="2969" t="s">
        <v>3147</v>
      </c>
      <c r="C27" s="3009">
        <f>$N$27</f>
        <v>0.06</v>
      </c>
      <c r="D27" s="3009">
        <f t="shared" ref="D27:M27" si="11">$N$27</f>
        <v>0.06</v>
      </c>
      <c r="E27" s="3009">
        <f t="shared" si="11"/>
        <v>0.06</v>
      </c>
      <c r="F27" s="3009">
        <f t="shared" si="11"/>
        <v>0.06</v>
      </c>
      <c r="G27" s="3009">
        <f t="shared" si="11"/>
        <v>0.06</v>
      </c>
      <c r="H27" s="3009">
        <f t="shared" si="11"/>
        <v>0.06</v>
      </c>
      <c r="I27" s="3009">
        <f t="shared" si="11"/>
        <v>0.06</v>
      </c>
      <c r="J27" s="3009">
        <f t="shared" si="11"/>
        <v>0.06</v>
      </c>
      <c r="K27" s="3009">
        <f t="shared" si="11"/>
        <v>0.06</v>
      </c>
      <c r="L27" s="3009">
        <f t="shared" si="11"/>
        <v>0.06</v>
      </c>
      <c r="M27" s="3009">
        <f t="shared" si="11"/>
        <v>0.06</v>
      </c>
      <c r="N27" s="3010">
        <v>0.06</v>
      </c>
      <c r="O27" s="3267" t="s">
        <v>3148</v>
      </c>
    </row>
    <row r="28" spans="1:17" ht="15.75" customHeight="1">
      <c r="A28" s="2973" t="s">
        <v>3149</v>
      </c>
      <c r="B28" s="2969" t="s">
        <v>3150</v>
      </c>
      <c r="C28" s="3009" t="s">
        <v>70</v>
      </c>
      <c r="D28" s="3009" t="s">
        <v>70</v>
      </c>
      <c r="E28" s="3009" t="s">
        <v>70</v>
      </c>
      <c r="F28" s="3009" t="s">
        <v>70</v>
      </c>
      <c r="G28" s="3009" t="s">
        <v>70</v>
      </c>
      <c r="H28" s="3009" t="s">
        <v>70</v>
      </c>
      <c r="I28" s="3009" t="s">
        <v>70</v>
      </c>
      <c r="J28" s="3009" t="s">
        <v>70</v>
      </c>
      <c r="K28" s="3009" t="s">
        <v>70</v>
      </c>
      <c r="L28" s="3009" t="s">
        <v>70</v>
      </c>
      <c r="M28" s="3011">
        <v>0.03</v>
      </c>
      <c r="N28" s="3010"/>
      <c r="O28" s="3267"/>
    </row>
    <row r="29" spans="1:17" ht="25.5" customHeight="1">
      <c r="A29" s="2973" t="s">
        <v>3151</v>
      </c>
      <c r="B29" s="2969" t="s">
        <v>3152</v>
      </c>
      <c r="C29" s="3012">
        <f>B10</f>
        <v>1.27</v>
      </c>
      <c r="D29" s="3012">
        <f t="shared" ref="D29:L29" si="12">C10</f>
        <v>1</v>
      </c>
      <c r="E29" s="3012">
        <f t="shared" si="12"/>
        <v>1</v>
      </c>
      <c r="F29" s="3012">
        <f t="shared" si="12"/>
        <v>1</v>
      </c>
      <c r="G29" s="3012">
        <f t="shared" si="12"/>
        <v>1</v>
      </c>
      <c r="H29" s="3012">
        <f t="shared" si="12"/>
        <v>1</v>
      </c>
      <c r="I29" s="3012">
        <f t="shared" si="12"/>
        <v>1</v>
      </c>
      <c r="J29" s="3012">
        <f t="shared" si="12"/>
        <v>1</v>
      </c>
      <c r="K29" s="3012">
        <f t="shared" si="12"/>
        <v>1</v>
      </c>
      <c r="L29" s="3012">
        <f t="shared" si="12"/>
        <v>1</v>
      </c>
      <c r="M29" s="3013">
        <f>C5</f>
        <v>16.13</v>
      </c>
      <c r="N29" s="3014"/>
      <c r="O29" s="3267"/>
    </row>
    <row r="30" spans="1:17" ht="15.75" customHeight="1">
      <c r="A30" s="2973" t="s">
        <v>3153</v>
      </c>
      <c r="B30" s="2969" t="s">
        <v>3154</v>
      </c>
      <c r="C30" s="2983">
        <f>ROUND(C26/C27*(1-1/(1+C27)^C29),0)</f>
        <v>-10</v>
      </c>
      <c r="D30" s="2983">
        <f t="shared" ref="D30:L30" si="13">ROUND(D26/D27*(1-1/(1+D27)^D29),0)</f>
        <v>-7</v>
      </c>
      <c r="E30" s="2983">
        <f t="shared" si="13"/>
        <v>-6</v>
      </c>
      <c r="F30" s="2983">
        <f t="shared" si="13"/>
        <v>-6</v>
      </c>
      <c r="G30" s="2983">
        <f t="shared" si="13"/>
        <v>-5</v>
      </c>
      <c r="H30" s="2983">
        <f t="shared" si="13"/>
        <v>-4</v>
      </c>
      <c r="I30" s="2983">
        <f t="shared" si="13"/>
        <v>-3</v>
      </c>
      <c r="J30" s="2983">
        <f t="shared" si="13"/>
        <v>-2</v>
      </c>
      <c r="K30" s="2983">
        <f t="shared" si="13"/>
        <v>-1</v>
      </c>
      <c r="L30" s="2983">
        <f t="shared" si="13"/>
        <v>0</v>
      </c>
      <c r="M30" s="2983">
        <f>ROUND(M26/(M27-M28)*(1-POWER(((1+M28)/(1+M27)),M29)),0)</f>
        <v>395</v>
      </c>
      <c r="N30" s="2961"/>
      <c r="O30" s="3267"/>
    </row>
    <row r="31" spans="1:17" ht="15.75" customHeight="1">
      <c r="A31" s="2973" t="s">
        <v>3155</v>
      </c>
      <c r="B31" s="2969" t="s">
        <v>3156</v>
      </c>
      <c r="C31" s="2983">
        <f>C30</f>
        <v>-10</v>
      </c>
      <c r="D31" s="2983">
        <f>ROUND(D30/((1+C27)^C29),0)</f>
        <v>-7</v>
      </c>
      <c r="E31" s="2983">
        <f>ROUND(E30/((1+D27)^(C29+D29)),0)</f>
        <v>-5</v>
      </c>
      <c r="F31" s="2983">
        <f>ROUND(F30/((1+E27)^(SUM(C29:E29))),0)</f>
        <v>-5</v>
      </c>
      <c r="G31" s="2983">
        <f>ROUND(G30/((1+F27)^(SUM(C29:F29))),0)</f>
        <v>-4</v>
      </c>
      <c r="H31" s="2983">
        <f>ROUND(H30/((1+G27)^(SUM(C29:G29))),0)</f>
        <v>-3</v>
      </c>
      <c r="I31" s="2983">
        <f>ROUND(I30/((1+H27)^(SUM(C29:H29))),0)</f>
        <v>-2</v>
      </c>
      <c r="J31" s="2983">
        <f>ROUND(J30/((1+I27)^(SUM(C29:I29))),0)</f>
        <v>-1</v>
      </c>
      <c r="K31" s="2983">
        <f>ROUND(K30/((1+G27)^(SUM(C29:J29))),0)</f>
        <v>-1</v>
      </c>
      <c r="L31" s="2983">
        <f>ROUND(L30/((1+K27)^(SUM(C29:K29))),0)</f>
        <v>0</v>
      </c>
      <c r="M31" s="2983">
        <f>ROUND(M30/((1+L27)^C4),0)</f>
        <v>217</v>
      </c>
      <c r="N31" s="3015"/>
      <c r="O31" s="2986"/>
    </row>
    <row r="32" spans="1:17" ht="15.75" customHeight="1">
      <c r="A32" s="2973" t="s">
        <v>3157</v>
      </c>
      <c r="B32" s="2976" t="s">
        <v>3158</v>
      </c>
      <c r="C32" s="3268">
        <f>SUM(C31:M31)</f>
        <v>179</v>
      </c>
      <c r="D32" s="3268"/>
      <c r="E32" s="3268"/>
      <c r="F32" s="3268"/>
      <c r="G32" s="3268"/>
      <c r="H32" s="3268"/>
      <c r="I32" s="3268"/>
      <c r="J32" s="3268"/>
      <c r="K32" s="3268"/>
      <c r="L32" s="3268"/>
      <c r="M32" s="3268"/>
      <c r="N32" s="3016"/>
      <c r="O32" s="2986"/>
    </row>
    <row r="33" spans="1:16" ht="15.75" customHeight="1">
      <c r="A33" s="2973" t="s">
        <v>3159</v>
      </c>
      <c r="B33" s="2969" t="s">
        <v>3160</v>
      </c>
      <c r="C33" s="3269">
        <f>ROUND(C32*10000/C14,0)</f>
        <v>817</v>
      </c>
      <c r="D33" s="3269"/>
      <c r="E33" s="3269"/>
      <c r="F33" s="3269"/>
      <c r="G33" s="3269"/>
      <c r="H33" s="3269"/>
      <c r="I33" s="3269"/>
      <c r="J33" s="3269"/>
      <c r="K33" s="3269"/>
      <c r="L33" s="3269"/>
      <c r="M33" s="3269"/>
      <c r="N33" s="3015"/>
    </row>
    <row r="34" spans="1:16" ht="15.75" customHeight="1"/>
    <row r="35" spans="1:16" s="2966" customFormat="1" ht="19.5" customHeight="1">
      <c r="A35" s="3017">
        <v>2</v>
      </c>
      <c r="B35" s="3018" t="s">
        <v>3161</v>
      </c>
      <c r="C35" s="3019">
        <f>ROUND(C51*G35,0)</f>
        <v>496</v>
      </c>
      <c r="D35" s="3264" t="s">
        <v>3162</v>
      </c>
      <c r="E35" s="3264"/>
      <c r="F35" s="3020" t="s">
        <v>3163</v>
      </c>
      <c r="G35" s="3021">
        <v>0.77</v>
      </c>
      <c r="H35" s="3022"/>
      <c r="I35" s="3022"/>
      <c r="J35" s="3022"/>
      <c r="M35" s="3023" t="s">
        <v>3164</v>
      </c>
      <c r="N35" s="3023">
        <v>2002</v>
      </c>
      <c r="O35" s="3024"/>
    </row>
    <row r="36" spans="1:16" s="2966" customFormat="1" ht="19.5" customHeight="1">
      <c r="A36" s="3025" t="s">
        <v>3118</v>
      </c>
      <c r="B36" s="3020" t="s">
        <v>3165</v>
      </c>
      <c r="C36" s="3026">
        <f>ROUND(G36*C14/10000,0)</f>
        <v>438</v>
      </c>
      <c r="D36" s="3264" t="s">
        <v>3166</v>
      </c>
      <c r="E36" s="3264"/>
      <c r="F36" s="3027" t="s">
        <v>3167</v>
      </c>
      <c r="G36" s="3028">
        <v>2000</v>
      </c>
      <c r="H36" s="3029"/>
      <c r="I36" s="3029"/>
      <c r="J36" s="3029"/>
      <c r="M36" s="3023" t="s">
        <v>3168</v>
      </c>
      <c r="N36" s="3023">
        <v>60</v>
      </c>
      <c r="O36" s="3024"/>
    </row>
    <row r="37" spans="1:16" s="2966" customFormat="1" ht="19.5" customHeight="1">
      <c r="A37" s="3025" t="s">
        <v>3121</v>
      </c>
      <c r="B37" s="3020" t="s">
        <v>3169</v>
      </c>
      <c r="C37" s="3026">
        <f>ROUND(C36*G37,0)</f>
        <v>13</v>
      </c>
      <c r="D37" s="3264" t="s">
        <v>3170</v>
      </c>
      <c r="E37" s="3264"/>
      <c r="F37" s="3020" t="s">
        <v>3171</v>
      </c>
      <c r="G37" s="3021">
        <v>0.03</v>
      </c>
      <c r="H37" s="3022"/>
      <c r="I37" s="3022"/>
      <c r="J37" s="3022"/>
      <c r="L37" s="2963"/>
      <c r="M37" s="3030" t="s">
        <v>3172</v>
      </c>
      <c r="N37" s="3030" t="s">
        <v>3173</v>
      </c>
      <c r="O37" s="3030" t="s">
        <v>3174</v>
      </c>
      <c r="P37" s="3030" t="s">
        <v>3175</v>
      </c>
    </row>
    <row r="38" spans="1:16" s="2966" customFormat="1" ht="19.5" customHeight="1">
      <c r="A38" s="3025" t="s">
        <v>3125</v>
      </c>
      <c r="B38" s="3020" t="s">
        <v>3176</v>
      </c>
      <c r="C38" s="3026">
        <f>ROUND(C36*G38,0)</f>
        <v>0</v>
      </c>
      <c r="D38" s="3264" t="s">
        <v>3170</v>
      </c>
      <c r="E38" s="3264"/>
      <c r="F38" s="3020" t="s">
        <v>3171</v>
      </c>
      <c r="G38" s="3021">
        <v>0</v>
      </c>
      <c r="H38" s="3022"/>
      <c r="I38" s="3022"/>
      <c r="J38" s="3022"/>
      <c r="L38" s="3025" t="s">
        <v>3177</v>
      </c>
      <c r="M38" s="3031">
        <f>ROUND(1-(L38-$N$35)/$N$36,2)</f>
        <v>0.77</v>
      </c>
      <c r="N38" s="3032">
        <v>0.9</v>
      </c>
      <c r="O38" s="3032">
        <f>ROUND((M38+N38)/2,2)</f>
        <v>0.84</v>
      </c>
      <c r="P38" s="3033">
        <f>ROUND($C$51*M38,0)</f>
        <v>496</v>
      </c>
    </row>
    <row r="39" spans="1:16" s="2966" customFormat="1" ht="19.5" customHeight="1">
      <c r="A39" s="3025" t="s">
        <v>3178</v>
      </c>
      <c r="B39" s="3020" t="s">
        <v>3179</v>
      </c>
      <c r="C39" s="3026">
        <f>ROUND(G39*C14/10000,0)</f>
        <v>44</v>
      </c>
      <c r="D39" s="3264" t="s">
        <v>3180</v>
      </c>
      <c r="E39" s="3264"/>
      <c r="F39" s="3020" t="s">
        <v>3181</v>
      </c>
      <c r="G39" s="3034">
        <v>200</v>
      </c>
      <c r="H39" s="3035"/>
      <c r="I39" s="3035"/>
      <c r="J39" s="3035"/>
      <c r="L39" s="3025" t="s">
        <v>3182</v>
      </c>
      <c r="M39" s="3031">
        <f t="shared" ref="M39:M50" si="14">ROUND(1-(L39-$N$35)/$N$36,2)</f>
        <v>0.75</v>
      </c>
      <c r="N39" s="3032">
        <v>0.9</v>
      </c>
      <c r="O39" s="3032">
        <f t="shared" ref="O39:O50" si="15">ROUND((M39+N39)/2,2)</f>
        <v>0.83</v>
      </c>
      <c r="P39" s="3033">
        <f t="shared" ref="P39:P50" si="16">ROUND($C$51*M39,0)</f>
        <v>483</v>
      </c>
    </row>
    <row r="40" spans="1:16" s="2966" customFormat="1" ht="19.5" customHeight="1">
      <c r="A40" s="3025" t="s">
        <v>3183</v>
      </c>
      <c r="B40" s="3020" t="s">
        <v>3184</v>
      </c>
      <c r="C40" s="3026">
        <f>ROUND(C36*G40,0)</f>
        <v>7</v>
      </c>
      <c r="D40" s="3264" t="s">
        <v>3170</v>
      </c>
      <c r="E40" s="3264"/>
      <c r="F40" s="3020" t="s">
        <v>3171</v>
      </c>
      <c r="G40" s="3021">
        <v>1.4999999999999999E-2</v>
      </c>
      <c r="H40" s="3022"/>
      <c r="I40" s="3022"/>
      <c r="J40" s="3022"/>
      <c r="L40" s="3025" t="s">
        <v>3185</v>
      </c>
      <c r="M40" s="3031">
        <f t="shared" si="14"/>
        <v>0.73</v>
      </c>
      <c r="N40" s="3032">
        <v>0.85</v>
      </c>
      <c r="O40" s="3032">
        <f t="shared" si="15"/>
        <v>0.79</v>
      </c>
      <c r="P40" s="3033">
        <f t="shared" si="16"/>
        <v>470</v>
      </c>
    </row>
    <row r="41" spans="1:16" s="2966" customFormat="1" ht="19.5" customHeight="1">
      <c r="A41" s="3025" t="s">
        <v>3129</v>
      </c>
      <c r="B41" s="3020" t="s">
        <v>3186</v>
      </c>
      <c r="C41" s="3026">
        <f>SUM(C36:C40)</f>
        <v>502</v>
      </c>
      <c r="D41" s="3260" t="s">
        <v>3187</v>
      </c>
      <c r="E41" s="3261"/>
      <c r="F41" s="3261"/>
      <c r="G41" s="3261"/>
      <c r="H41" s="3036"/>
      <c r="I41" s="3036"/>
      <c r="J41" s="3036"/>
      <c r="L41" s="3025" t="s">
        <v>3188</v>
      </c>
      <c r="M41" s="3031">
        <f t="shared" si="14"/>
        <v>0.72</v>
      </c>
      <c r="N41" s="3032">
        <v>0.85</v>
      </c>
      <c r="O41" s="3032">
        <f t="shared" si="15"/>
        <v>0.79</v>
      </c>
      <c r="P41" s="3033">
        <f t="shared" si="16"/>
        <v>464</v>
      </c>
    </row>
    <row r="42" spans="1:16" s="2966" customFormat="1" ht="19.5" customHeight="1">
      <c r="A42" s="3025" t="s">
        <v>3132</v>
      </c>
      <c r="B42" s="3020" t="s">
        <v>3140</v>
      </c>
      <c r="C42" s="3026">
        <f>ROUND(C41*G42,0)</f>
        <v>10</v>
      </c>
      <c r="D42" s="3263" t="s">
        <v>3189</v>
      </c>
      <c r="E42" s="3263"/>
      <c r="F42" s="3020" t="s">
        <v>3171</v>
      </c>
      <c r="G42" s="3021">
        <v>0.02</v>
      </c>
      <c r="H42" s="3022"/>
      <c r="I42" s="3022"/>
      <c r="J42" s="3022"/>
      <c r="L42" s="3025" t="s">
        <v>3190</v>
      </c>
      <c r="M42" s="3031">
        <f t="shared" si="14"/>
        <v>0.7</v>
      </c>
      <c r="N42" s="3032">
        <v>0.85</v>
      </c>
      <c r="O42" s="3032">
        <f t="shared" si="15"/>
        <v>0.78</v>
      </c>
      <c r="P42" s="3033">
        <f t="shared" si="16"/>
        <v>451</v>
      </c>
    </row>
    <row r="43" spans="1:16" s="2966" customFormat="1" ht="19.5" customHeight="1">
      <c r="A43" s="3025" t="s">
        <v>3136</v>
      </c>
      <c r="B43" s="3020" t="s">
        <v>3191</v>
      </c>
      <c r="C43" s="3026" t="s">
        <v>70</v>
      </c>
      <c r="D43" s="3263" t="s">
        <v>3192</v>
      </c>
      <c r="E43" s="3263"/>
      <c r="F43" s="3020" t="s">
        <v>3193</v>
      </c>
      <c r="G43" s="3021">
        <v>0.02</v>
      </c>
      <c r="H43" s="3022"/>
      <c r="I43" s="3022"/>
      <c r="J43" s="3022"/>
      <c r="L43" s="3025" t="s">
        <v>3194</v>
      </c>
      <c r="M43" s="3031">
        <f t="shared" si="14"/>
        <v>0.68</v>
      </c>
      <c r="N43" s="3032">
        <v>0.8</v>
      </c>
      <c r="O43" s="3032">
        <f t="shared" si="15"/>
        <v>0.74</v>
      </c>
      <c r="P43" s="3033">
        <f t="shared" si="16"/>
        <v>438</v>
      </c>
    </row>
    <row r="44" spans="1:16" s="2966" customFormat="1" ht="19.5" customHeight="1">
      <c r="A44" s="3025" t="s">
        <v>3139</v>
      </c>
      <c r="B44" s="3020" t="s">
        <v>3195</v>
      </c>
      <c r="C44" s="3026"/>
      <c r="D44" s="3260" t="s">
        <v>3196</v>
      </c>
      <c r="E44" s="3261"/>
      <c r="F44" s="3261"/>
      <c r="G44" s="3261"/>
      <c r="H44" s="3036"/>
      <c r="I44" s="3036"/>
      <c r="J44" s="3036"/>
      <c r="L44" s="3025" t="s">
        <v>3197</v>
      </c>
      <c r="M44" s="3031">
        <f t="shared" si="14"/>
        <v>0.67</v>
      </c>
      <c r="N44" s="3032">
        <v>0.8</v>
      </c>
      <c r="O44" s="3032">
        <f t="shared" si="15"/>
        <v>0.74</v>
      </c>
      <c r="P44" s="3033">
        <f t="shared" si="16"/>
        <v>431</v>
      </c>
    </row>
    <row r="45" spans="1:16" s="2966" customFormat="1" ht="19.5" customHeight="1">
      <c r="A45" s="3025" t="s">
        <v>3198</v>
      </c>
      <c r="B45" s="3020" t="s">
        <v>3199</v>
      </c>
      <c r="C45" s="3026">
        <f>ROUND((C41+C42)*G46*G45/2,0)</f>
        <v>6</v>
      </c>
      <c r="D45" s="3262" t="s">
        <v>3200</v>
      </c>
      <c r="E45" s="3262"/>
      <c r="F45" s="3020" t="s">
        <v>3201</v>
      </c>
      <c r="G45" s="3037">
        <v>0.5</v>
      </c>
      <c r="H45" s="3038"/>
      <c r="I45" s="3038"/>
      <c r="J45" s="3038"/>
      <c r="L45" s="3025" t="s">
        <v>3202</v>
      </c>
      <c r="M45" s="3031">
        <f t="shared" si="14"/>
        <v>0.65</v>
      </c>
      <c r="N45" s="3032">
        <v>0.8</v>
      </c>
      <c r="O45" s="3032">
        <f t="shared" si="15"/>
        <v>0.73</v>
      </c>
      <c r="P45" s="3033">
        <f t="shared" si="16"/>
        <v>419</v>
      </c>
    </row>
    <row r="46" spans="1:16" s="2966" customFormat="1" ht="19.5" customHeight="1">
      <c r="A46" s="3025" t="s">
        <v>3203</v>
      </c>
      <c r="B46" s="3020" t="s">
        <v>3204</v>
      </c>
      <c r="C46" s="3026">
        <f>ROUND(G43*G46*G45/2,4)</f>
        <v>2.0000000000000001E-4</v>
      </c>
      <c r="D46" s="3262" t="s">
        <v>3205</v>
      </c>
      <c r="E46" s="3262"/>
      <c r="F46" s="3020" t="s">
        <v>3206</v>
      </c>
      <c r="G46" s="3039">
        <v>4.3499999999999997E-2</v>
      </c>
      <c r="H46" s="3040"/>
      <c r="I46" s="3040"/>
      <c r="J46" s="3040"/>
      <c r="L46" s="3025" t="s">
        <v>3207</v>
      </c>
      <c r="M46" s="3031">
        <f t="shared" si="14"/>
        <v>0.63</v>
      </c>
      <c r="N46" s="3032">
        <v>0.75</v>
      </c>
      <c r="O46" s="3032">
        <f t="shared" si="15"/>
        <v>0.69</v>
      </c>
      <c r="P46" s="3033">
        <f t="shared" si="16"/>
        <v>406</v>
      </c>
    </row>
    <row r="47" spans="1:16" s="2966" customFormat="1" ht="19.5" customHeight="1">
      <c r="A47" s="3025" t="s">
        <v>3208</v>
      </c>
      <c r="B47" s="3020" t="s">
        <v>3209</v>
      </c>
      <c r="C47" s="3026"/>
      <c r="D47" s="3260" t="s">
        <v>3210</v>
      </c>
      <c r="E47" s="3261"/>
      <c r="F47" s="3261"/>
      <c r="G47" s="3261"/>
      <c r="H47" s="3036"/>
      <c r="I47" s="3036"/>
      <c r="J47" s="3036"/>
      <c r="L47" s="3025" t="s">
        <v>3211</v>
      </c>
      <c r="M47" s="3031">
        <f t="shared" si="14"/>
        <v>0.62</v>
      </c>
      <c r="N47" s="3032">
        <v>0.75</v>
      </c>
      <c r="O47" s="3032">
        <f t="shared" si="15"/>
        <v>0.69</v>
      </c>
      <c r="P47" s="3033">
        <f t="shared" si="16"/>
        <v>399</v>
      </c>
    </row>
    <row r="48" spans="1:16" s="2966" customFormat="1" ht="19.5" customHeight="1">
      <c r="A48" s="3025" t="s">
        <v>3212</v>
      </c>
      <c r="B48" s="3020" t="s">
        <v>3213</v>
      </c>
      <c r="C48" s="3026">
        <f>ROUND((C41+C42)*G48,0)</f>
        <v>77</v>
      </c>
      <c r="D48" s="3263" t="s">
        <v>3214</v>
      </c>
      <c r="E48" s="3263"/>
      <c r="F48" s="3264" t="s">
        <v>3215</v>
      </c>
      <c r="G48" s="3265">
        <v>0.15</v>
      </c>
      <c r="H48" s="3022"/>
      <c r="I48" s="3022"/>
      <c r="J48" s="3022"/>
      <c r="L48" s="3025" t="s">
        <v>3216</v>
      </c>
      <c r="M48" s="3031">
        <f t="shared" si="14"/>
        <v>0.6</v>
      </c>
      <c r="N48" s="3032">
        <v>0.75</v>
      </c>
      <c r="O48" s="3032">
        <f t="shared" si="15"/>
        <v>0.68</v>
      </c>
      <c r="P48" s="3033">
        <f t="shared" si="16"/>
        <v>386</v>
      </c>
    </row>
    <row r="49" spans="1:16" s="2966" customFormat="1" ht="19.5" customHeight="1">
      <c r="A49" s="3025" t="s">
        <v>3217</v>
      </c>
      <c r="B49" s="3020" t="s">
        <v>3218</v>
      </c>
      <c r="C49" s="3026">
        <f>ROUND(G43*G48,4)</f>
        <v>3.0000000000000001E-3</v>
      </c>
      <c r="D49" s="3263" t="s">
        <v>3219</v>
      </c>
      <c r="E49" s="3263"/>
      <c r="F49" s="3264"/>
      <c r="G49" s="3266"/>
      <c r="H49" s="3022"/>
      <c r="I49" s="3022"/>
      <c r="J49" s="3022"/>
      <c r="L49" s="3025" t="s">
        <v>3220</v>
      </c>
      <c r="M49" s="3031">
        <f t="shared" si="14"/>
        <v>0.57999999999999996</v>
      </c>
      <c r="N49" s="3032">
        <v>0.7</v>
      </c>
      <c r="O49" s="3032">
        <f t="shared" si="15"/>
        <v>0.64</v>
      </c>
      <c r="P49" s="3033">
        <f t="shared" si="16"/>
        <v>374</v>
      </c>
    </row>
    <row r="50" spans="1:16" s="2966" customFormat="1" ht="19.5" customHeight="1">
      <c r="A50" s="3025" t="s">
        <v>3221</v>
      </c>
      <c r="B50" s="3020" t="s">
        <v>3222</v>
      </c>
      <c r="C50" s="3026" t="s">
        <v>70</v>
      </c>
      <c r="D50" s="3257" t="s">
        <v>3223</v>
      </c>
      <c r="E50" s="3258"/>
      <c r="F50" s="3041" t="s">
        <v>3171</v>
      </c>
      <c r="G50" s="3021">
        <v>5.5E-2</v>
      </c>
      <c r="H50" s="3022"/>
      <c r="I50" s="3022"/>
      <c r="J50" s="3022"/>
      <c r="L50" s="3025" t="s">
        <v>3224</v>
      </c>
      <c r="M50" s="3031">
        <f t="shared" si="14"/>
        <v>0.56999999999999995</v>
      </c>
      <c r="N50" s="3032">
        <v>0.7</v>
      </c>
      <c r="O50" s="3032">
        <f t="shared" si="15"/>
        <v>0.64</v>
      </c>
      <c r="P50" s="3033">
        <f t="shared" si="16"/>
        <v>367</v>
      </c>
    </row>
    <row r="51" spans="1:16" s="2966" customFormat="1" ht="19.5" customHeight="1">
      <c r="A51" s="3025" t="s">
        <v>3225</v>
      </c>
      <c r="B51" s="3020" t="s">
        <v>3226</v>
      </c>
      <c r="C51" s="3026">
        <f>ROUND((C41+C42+C45+C48)/(1-G43-C46-C49-G50/(1+5%)),0)</f>
        <v>644</v>
      </c>
      <c r="D51" s="3027"/>
      <c r="E51" s="3020"/>
      <c r="F51" s="3042"/>
      <c r="L51" s="3043"/>
      <c r="O51" s="3044"/>
    </row>
    <row r="52" spans="1:16" ht="14.25">
      <c r="A52" s="3045"/>
      <c r="B52" s="3045"/>
      <c r="C52" s="3045"/>
      <c r="D52" s="3046"/>
      <c r="E52" s="3045"/>
      <c r="F52" s="3045"/>
    </row>
    <row r="53" spans="1:16" ht="14.25">
      <c r="E53" s="3045"/>
      <c r="F53" s="3045"/>
    </row>
    <row r="54" spans="1:16" ht="14.25">
      <c r="E54" s="3045"/>
      <c r="F54" s="3045"/>
    </row>
    <row r="55" spans="1:16" ht="14.25">
      <c r="E55" s="3045"/>
      <c r="F55" s="3045"/>
    </row>
    <row r="56" spans="1:16" ht="14.25">
      <c r="E56" s="3045"/>
      <c r="F56" s="3045"/>
    </row>
    <row r="57" spans="1:16" ht="14.25">
      <c r="E57" s="3045"/>
      <c r="F57" s="3045"/>
    </row>
    <row r="58" spans="1:16" ht="14.25">
      <c r="E58" s="3045"/>
      <c r="F58" s="3045"/>
    </row>
    <row r="59" spans="1:16" ht="14.25">
      <c r="E59" s="3045"/>
      <c r="F59" s="3045"/>
    </row>
    <row r="60" spans="1:16" ht="14.25">
      <c r="E60" s="3045"/>
      <c r="F60" s="3045"/>
    </row>
    <row r="61" spans="1:16" ht="14.25">
      <c r="E61" s="3045"/>
      <c r="F61" s="3045"/>
    </row>
    <row r="62" spans="1:16" ht="14.25">
      <c r="E62" s="3045"/>
      <c r="F62" s="3045"/>
    </row>
    <row r="63" spans="1:16" ht="14.25">
      <c r="E63" s="3045"/>
      <c r="F63" s="3045"/>
    </row>
    <row r="64" spans="1:16" ht="14.25">
      <c r="E64" s="3045"/>
      <c r="F64" s="3045"/>
    </row>
    <row r="65" spans="5:15" ht="14.25">
      <c r="E65" s="3045"/>
      <c r="F65" s="3045"/>
      <c r="L65" s="3043" t="s">
        <v>3227</v>
      </c>
      <c r="M65" s="2966"/>
      <c r="N65" s="2966"/>
      <c r="O65" s="2966"/>
    </row>
    <row r="66" spans="5:15">
      <c r="L66" s="3043" t="s">
        <v>3228</v>
      </c>
      <c r="M66" s="2966"/>
      <c r="N66" s="2966"/>
      <c r="O66" s="2966"/>
    </row>
    <row r="67" spans="5:15">
      <c r="L67" s="3043" t="s">
        <v>3229</v>
      </c>
      <c r="M67" s="2966"/>
      <c r="N67" s="2966"/>
      <c r="O67" s="3259" t="s">
        <v>3230</v>
      </c>
    </row>
    <row r="68" spans="5:15">
      <c r="L68" s="3043" t="s">
        <v>3231</v>
      </c>
      <c r="M68" s="2966"/>
      <c r="N68" s="2966"/>
      <c r="O68" s="3259"/>
    </row>
  </sheetData>
  <mergeCells count="29">
    <mergeCell ref="A12:A13"/>
    <mergeCell ref="B12:B13"/>
    <mergeCell ref="A1:B1"/>
    <mergeCell ref="A2:B3"/>
    <mergeCell ref="A4:B4"/>
    <mergeCell ref="A5:B5"/>
    <mergeCell ref="A6:B6"/>
    <mergeCell ref="D43:E43"/>
    <mergeCell ref="O27:O30"/>
    <mergeCell ref="C32:M32"/>
    <mergeCell ref="C33:M33"/>
    <mergeCell ref="D35:E35"/>
    <mergeCell ref="D36:E36"/>
    <mergeCell ref="D37:E37"/>
    <mergeCell ref="D38:E38"/>
    <mergeCell ref="D39:E39"/>
    <mergeCell ref="D40:E40"/>
    <mergeCell ref="D41:G41"/>
    <mergeCell ref="D42:E42"/>
    <mergeCell ref="D50:E50"/>
    <mergeCell ref="O67:O68"/>
    <mergeCell ref="D44:G44"/>
    <mergeCell ref="D45:E45"/>
    <mergeCell ref="D46:E46"/>
    <mergeCell ref="D47:G47"/>
    <mergeCell ref="D48:E48"/>
    <mergeCell ref="F48:F49"/>
    <mergeCell ref="G48:G49"/>
    <mergeCell ref="D49:E49"/>
  </mergeCells>
  <phoneticPr fontId="143" type="noConversion"/>
  <pageMargins left="0.7" right="0.7" top="0.75" bottom="0.75" header="0.3" footer="0.3"/>
  <pageSetup paperSize="9" scale="78" orientation="landscape" r:id="rId1"/>
  <rowBreaks count="1" manualBreakCount="1">
    <brk id="3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A6" sqref="A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2524</v>
      </c>
      <c r="B1" s="2562"/>
      <c r="C1" s="2562"/>
      <c r="D1" s="2562"/>
      <c r="E1" s="2563"/>
    </row>
    <row r="2" spans="1:6" ht="15.75">
      <c r="A2" s="2564" t="s">
        <v>2325</v>
      </c>
      <c r="B2" s="2565">
        <f ca="1">SUMIF(B6:B13,"&lt;&gt;#ref!",B6:B13)</f>
        <v>782</v>
      </c>
      <c r="C2" s="2566" t="s">
        <v>2517</v>
      </c>
      <c r="D2" s="2567" t="s">
        <v>2518</v>
      </c>
      <c r="E2" s="2568">
        <f>SUM(E6:E13)</f>
        <v>2191.33</v>
      </c>
    </row>
    <row r="3" spans="1:6" ht="15.75">
      <c r="A3" s="2564" t="s">
        <v>1389</v>
      </c>
      <c r="B3" s="2565">
        <f ca="1">ROUND(B2*10000/E2,0)</f>
        <v>3569</v>
      </c>
      <c r="C3" s="2566" t="s">
        <v>2525</v>
      </c>
      <c r="D3" s="2569"/>
      <c r="E3" s="2570"/>
    </row>
    <row r="4" spans="1:6" ht="15.75">
      <c r="A4" s="2571"/>
      <c r="B4" s="2569"/>
      <c r="C4" s="2569"/>
      <c r="D4" s="2569"/>
      <c r="E4" s="2570"/>
    </row>
    <row r="5" spans="1:6" ht="15">
      <c r="A5" s="2572" t="s">
        <v>2519</v>
      </c>
      <c r="B5" s="3274" t="s">
        <v>2520</v>
      </c>
      <c r="C5" s="3274"/>
      <c r="D5" s="2573"/>
      <c r="E5" s="2574" t="s">
        <v>2521</v>
      </c>
      <c r="F5" s="2575" t="s">
        <v>2522</v>
      </c>
    </row>
    <row r="6" spans="1:6">
      <c r="A6" s="2576" t="str">
        <f>'数据-取费表'!AN6</f>
        <v>收益法</v>
      </c>
      <c r="B6" s="2575">
        <f ca="1">IF(F6="是",'数据-取费表'!AO6,0)</f>
        <v>782</v>
      </c>
      <c r="C6" s="2566" t="s">
        <v>2517</v>
      </c>
      <c r="D6" s="2569"/>
      <c r="E6" s="2577">
        <f>IF(OR(A6=0,F6="否"),0,'数据-取费表'!K6+'数据-取费表'!S6)</f>
        <v>2191.33</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1" t="s">
        <v>1072</v>
      </c>
      <c r="B1" s="3292"/>
      <c r="C1" s="3293"/>
      <c r="D1" s="3294">
        <f>SUM(I10,I15,I20,I21,I23)</f>
        <v>0</v>
      </c>
      <c r="E1" s="3294"/>
      <c r="F1" s="3294"/>
      <c r="G1" s="3294"/>
      <c r="H1" s="3294"/>
      <c r="I1" s="3295"/>
    </row>
    <row r="2" spans="1:9">
      <c r="A2" s="3281" t="s">
        <v>1073</v>
      </c>
      <c r="B2" s="3282" t="s">
        <v>1074</v>
      </c>
      <c r="C2" s="3282"/>
      <c r="D2" s="1301" t="s">
        <v>1075</v>
      </c>
      <c r="E2" s="1301" t="s">
        <v>1076</v>
      </c>
      <c r="F2" s="1301" t="s">
        <v>1077</v>
      </c>
      <c r="G2" s="1301" t="s">
        <v>1078</v>
      </c>
      <c r="H2" s="1301" t="s">
        <v>1079</v>
      </c>
      <c r="I2" s="1302" t="s">
        <v>1080</v>
      </c>
    </row>
    <row r="3" spans="1:9">
      <c r="A3" s="3281"/>
      <c r="B3" s="3282" t="s">
        <v>1081</v>
      </c>
      <c r="C3" s="3282"/>
      <c r="D3" s="1303"/>
      <c r="E3" s="1301"/>
      <c r="F3" s="1304"/>
      <c r="G3" s="1304"/>
      <c r="H3" s="1305"/>
      <c r="I3" s="1306">
        <f>ROUND(D3*E3*F3*G3*H3/10000,0)</f>
        <v>0</v>
      </c>
    </row>
    <row r="4" spans="1:9">
      <c r="A4" s="3281"/>
      <c r="B4" s="3282" t="s">
        <v>1082</v>
      </c>
      <c r="C4" s="3282"/>
      <c r="D4" s="1303"/>
      <c r="E4" s="1301"/>
      <c r="F4" s="1304"/>
      <c r="G4" s="1304"/>
      <c r="H4" s="1305"/>
      <c r="I4" s="1306">
        <f t="shared" ref="I4:I9" si="0">ROUND(D4*E4*F4*G4*H4/10000,0)</f>
        <v>0</v>
      </c>
    </row>
    <row r="5" spans="1:9">
      <c r="A5" s="3281"/>
      <c r="B5" s="3282" t="s">
        <v>1083</v>
      </c>
      <c r="C5" s="3282"/>
      <c r="D5" s="1303"/>
      <c r="E5" s="1301"/>
      <c r="F5" s="1304"/>
      <c r="G5" s="1304"/>
      <c r="H5" s="1305"/>
      <c r="I5" s="1306">
        <f t="shared" si="0"/>
        <v>0</v>
      </c>
    </row>
    <row r="6" spans="1:9">
      <c r="A6" s="3281"/>
      <c r="B6" s="3282" t="s">
        <v>1084</v>
      </c>
      <c r="C6" s="3282"/>
      <c r="D6" s="1303"/>
      <c r="E6" s="1301"/>
      <c r="F6" s="1304"/>
      <c r="G6" s="1304"/>
      <c r="H6" s="1305"/>
      <c r="I6" s="1306">
        <f t="shared" si="0"/>
        <v>0</v>
      </c>
    </row>
    <row r="7" spans="1:9">
      <c r="A7" s="3281"/>
      <c r="B7" s="3282" t="s">
        <v>1085</v>
      </c>
      <c r="C7" s="3282"/>
      <c r="D7" s="1303"/>
      <c r="E7" s="1301"/>
      <c r="F7" s="1304"/>
      <c r="G7" s="1304"/>
      <c r="H7" s="1305"/>
      <c r="I7" s="1306">
        <f t="shared" si="0"/>
        <v>0</v>
      </c>
    </row>
    <row r="8" spans="1:9">
      <c r="A8" s="3281"/>
      <c r="B8" s="3282" t="s">
        <v>1086</v>
      </c>
      <c r="C8" s="3282"/>
      <c r="D8" s="1303"/>
      <c r="E8" s="1301"/>
      <c r="F8" s="1304"/>
      <c r="G8" s="1304"/>
      <c r="H8" s="1305"/>
      <c r="I8" s="1306">
        <f t="shared" si="0"/>
        <v>0</v>
      </c>
    </row>
    <row r="9" spans="1:9">
      <c r="A9" s="3281"/>
      <c r="B9" s="3282" t="s">
        <v>1087</v>
      </c>
      <c r="C9" s="3282"/>
      <c r="D9" s="1303"/>
      <c r="E9" s="1301"/>
      <c r="F9" s="1304"/>
      <c r="G9" s="1304"/>
      <c r="H9" s="1305"/>
      <c r="I9" s="1306">
        <f t="shared" si="0"/>
        <v>0</v>
      </c>
    </row>
    <row r="10" spans="1:9">
      <c r="A10" s="3281"/>
      <c r="B10" s="3283" t="s">
        <v>1088</v>
      </c>
      <c r="C10" s="3283"/>
      <c r="D10" s="1307"/>
      <c r="E10" s="1307" t="e">
        <f>ROUND(D1*10000/D10/H9,0)</f>
        <v>#DIV/0!</v>
      </c>
      <c r="F10" s="1308"/>
      <c r="G10" s="1308"/>
      <c r="H10" s="1309"/>
      <c r="I10" s="1310">
        <f>SUM(I3:I9)</f>
        <v>0</v>
      </c>
    </row>
    <row r="11" spans="1:9" ht="14.25">
      <c r="A11" s="3281" t="s">
        <v>1089</v>
      </c>
      <c r="B11" s="3282" t="s">
        <v>1090</v>
      </c>
      <c r="C11" s="3282"/>
      <c r="D11" s="1303" t="s">
        <v>1091</v>
      </c>
      <c r="E11" s="1303" t="s">
        <v>1092</v>
      </c>
      <c r="F11" s="1304" t="s">
        <v>1093</v>
      </c>
      <c r="G11" s="1304" t="s">
        <v>1079</v>
      </c>
      <c r="H11" s="1311" t="s">
        <v>1094</v>
      </c>
      <c r="I11" s="1302" t="s">
        <v>1080</v>
      </c>
    </row>
    <row r="12" spans="1:9">
      <c r="A12" s="3281"/>
      <c r="B12" s="3282" t="s">
        <v>1095</v>
      </c>
      <c r="C12" s="3282"/>
      <c r="D12" s="1303"/>
      <c r="E12" s="1303"/>
      <c r="F12" s="1304"/>
      <c r="G12" s="1305"/>
      <c r="H12" s="1312"/>
      <c r="I12" s="1302">
        <f>ROUND(D12*E12*F12*G12/10000,0)</f>
        <v>0</v>
      </c>
    </row>
    <row r="13" spans="1:9">
      <c r="A13" s="3281"/>
      <c r="B13" s="3282" t="s">
        <v>1096</v>
      </c>
      <c r="C13" s="3282"/>
      <c r="D13" s="1303"/>
      <c r="E13" s="1303"/>
      <c r="F13" s="1304"/>
      <c r="G13" s="1305"/>
      <c r="H13" s="1312"/>
      <c r="I13" s="1302">
        <f>ROUND(D13*E13*F13*G13/10000,0)</f>
        <v>0</v>
      </c>
    </row>
    <row r="14" spans="1:9">
      <c r="A14" s="3281"/>
      <c r="B14" s="3282" t="s">
        <v>1097</v>
      </c>
      <c r="C14" s="3282"/>
      <c r="D14" s="1303"/>
      <c r="E14" s="1303"/>
      <c r="F14" s="1304"/>
      <c r="G14" s="1305"/>
      <c r="H14" s="1312"/>
      <c r="I14" s="1302">
        <f>ROUND(D14*E14*F14*G14/10000,0)</f>
        <v>0</v>
      </c>
    </row>
    <row r="15" spans="1:9">
      <c r="A15" s="3281"/>
      <c r="B15" s="3283" t="s">
        <v>1088</v>
      </c>
      <c r="C15" s="3283"/>
      <c r="D15" s="1307"/>
      <c r="E15" s="1307">
        <f>SUM(E12:E14)</f>
        <v>0</v>
      </c>
      <c r="F15" s="1308"/>
      <c r="G15" s="1305"/>
      <c r="H15" s="1312"/>
      <c r="I15" s="1313">
        <f>SUM(I12:I14)</f>
        <v>0</v>
      </c>
    </row>
    <row r="16" spans="1:9" ht="24">
      <c r="A16" s="3281" t="s">
        <v>1098</v>
      </c>
      <c r="B16" s="3282" t="s">
        <v>1099</v>
      </c>
      <c r="C16" s="3282"/>
      <c r="D16" s="1303" t="s">
        <v>1075</v>
      </c>
      <c r="E16" s="1314" t="s">
        <v>1100</v>
      </c>
      <c r="F16" s="1304" t="s">
        <v>1101</v>
      </c>
      <c r="G16" s="1305" t="s">
        <v>1079</v>
      </c>
      <c r="H16" s="1311" t="s">
        <v>1094</v>
      </c>
      <c r="I16" s="1302" t="s">
        <v>1080</v>
      </c>
    </row>
    <row r="17" spans="1:9" ht="14.25">
      <c r="A17" s="3281"/>
      <c r="B17" s="3282" t="s">
        <v>1102</v>
      </c>
      <c r="C17" s="3282"/>
      <c r="D17" s="1303"/>
      <c r="E17" s="1303"/>
      <c r="F17" s="1304"/>
      <c r="G17" s="1305"/>
      <c r="H17" s="1315"/>
      <c r="I17" s="1316">
        <f>ROUND(D17*E17*F17*G17/10000,0)</f>
        <v>0</v>
      </c>
    </row>
    <row r="18" spans="1:9" ht="14.25">
      <c r="A18" s="3281"/>
      <c r="B18" s="3282" t="s">
        <v>1103</v>
      </c>
      <c r="C18" s="3282"/>
      <c r="D18" s="1303"/>
      <c r="E18" s="1303"/>
      <c r="F18" s="1304"/>
      <c r="G18" s="1305"/>
      <c r="H18" s="1315"/>
      <c r="I18" s="1316">
        <f>ROUND(D18*E18*F18*G18/10000,0)</f>
        <v>0</v>
      </c>
    </row>
    <row r="19" spans="1:9" ht="14.25">
      <c r="A19" s="3281"/>
      <c r="B19" s="3282" t="s">
        <v>1104</v>
      </c>
      <c r="C19" s="3282"/>
      <c r="D19" s="1303"/>
      <c r="E19" s="1303"/>
      <c r="F19" s="1304"/>
      <c r="G19" s="1305"/>
      <c r="H19" s="1315"/>
      <c r="I19" s="1316">
        <f>ROUND(D19*E19*F19*G19/10000,0)</f>
        <v>0</v>
      </c>
    </row>
    <row r="20" spans="1:9">
      <c r="A20" s="3281"/>
      <c r="B20" s="3283" t="s">
        <v>1088</v>
      </c>
      <c r="C20" s="3283"/>
      <c r="D20" s="1307">
        <f>SUM(D17:D19)</f>
        <v>0</v>
      </c>
      <c r="E20" s="1307"/>
      <c r="F20" s="1308"/>
      <c r="G20" s="1305"/>
      <c r="H20" s="1312"/>
      <c r="I20" s="1313">
        <f>SUM(I17:I19)</f>
        <v>0</v>
      </c>
    </row>
    <row r="21" spans="1:9">
      <c r="A21" s="3281" t="s">
        <v>1105</v>
      </c>
      <c r="B21" s="3284"/>
      <c r="C21" s="3284"/>
      <c r="D21" s="3284"/>
      <c r="E21" s="3284"/>
      <c r="F21" s="3284"/>
      <c r="G21" s="3284"/>
      <c r="H21" s="1765">
        <v>0.1</v>
      </c>
      <c r="I21" s="1310">
        <f>ROUND(I10*H21,0)</f>
        <v>0</v>
      </c>
    </row>
    <row r="22" spans="1:9" ht="14.25">
      <c r="A22" s="3285" t="s">
        <v>1106</v>
      </c>
      <c r="B22" s="3286"/>
      <c r="C22" s="3287"/>
      <c r="D22" s="1317" t="s">
        <v>1107</v>
      </c>
      <c r="E22" s="1317" t="s">
        <v>1108</v>
      </c>
      <c r="F22" s="1318" t="s">
        <v>1109</v>
      </c>
      <c r="G22" s="1318" t="s">
        <v>1110</v>
      </c>
      <c r="H22" s="1311" t="s">
        <v>1111</v>
      </c>
      <c r="I22" s="1302" t="s">
        <v>1112</v>
      </c>
    </row>
    <row r="23" spans="1:9" ht="14.25" thickBot="1">
      <c r="A23" s="3288"/>
      <c r="B23" s="3289"/>
      <c r="C23" s="3290"/>
      <c r="D23" s="1319"/>
      <c r="E23" s="1319"/>
      <c r="F23" s="1319"/>
      <c r="G23" s="1320"/>
      <c r="H23" s="1321"/>
      <c r="I23" s="1322">
        <f>ROUND(E23*D23*F23*(1-G23)/10000,0)</f>
        <v>0</v>
      </c>
    </row>
    <row r="26" spans="1:9">
      <c r="A26" s="1323" t="s">
        <v>1113</v>
      </c>
      <c r="B26" s="1323"/>
      <c r="C26" s="1323"/>
      <c r="D26" s="1323"/>
      <c r="E26" s="3278">
        <f>C27-C30-C31-C32</f>
        <v>0</v>
      </c>
      <c r="F26" s="3278"/>
      <c r="G26" s="3278"/>
      <c r="H26" s="1737" t="s">
        <v>1335</v>
      </c>
    </row>
    <row r="27" spans="1:9">
      <c r="A27" s="1324">
        <v>1</v>
      </c>
      <c r="B27" s="1325" t="s">
        <v>1114</v>
      </c>
      <c r="C27" s="1325">
        <f>C28+C29</f>
        <v>0</v>
      </c>
      <c r="D27" s="1325"/>
      <c r="E27" s="3279"/>
      <c r="F27" s="3279"/>
      <c r="G27" s="3279"/>
    </row>
    <row r="28" spans="1:9">
      <c r="A28" s="1326" t="s">
        <v>1115</v>
      </c>
      <c r="B28" s="1325" t="s">
        <v>1116</v>
      </c>
      <c r="C28" s="1325"/>
      <c r="D28" s="1325"/>
      <c r="E28" s="3279"/>
      <c r="F28" s="3279"/>
      <c r="G28" s="327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80"/>
      <c r="F32" s="3280"/>
      <c r="G32" s="3280"/>
    </row>
    <row r="33" spans="1:7" hidden="1">
      <c r="A33" s="3275" t="s">
        <v>1125</v>
      </c>
      <c r="B33" s="3276"/>
      <c r="C33" s="3276"/>
      <c r="D33" s="3277"/>
      <c r="E33" s="3278"/>
      <c r="F33" s="3278"/>
      <c r="G33" s="3278"/>
    </row>
    <row r="34" spans="1:7" hidden="1">
      <c r="A34" s="1328">
        <v>1</v>
      </c>
      <c r="B34" s="1325" t="s">
        <v>1126</v>
      </c>
      <c r="C34" s="1325"/>
      <c r="D34" s="1325"/>
      <c r="E34" s="3279"/>
      <c r="F34" s="3279"/>
      <c r="G34" s="3279"/>
    </row>
    <row r="35" spans="1:7" hidden="1">
      <c r="A35" s="1328">
        <v>2</v>
      </c>
      <c r="B35" s="1325" t="s">
        <v>1127</v>
      </c>
      <c r="C35" s="1325"/>
      <c r="D35" s="1325"/>
      <c r="E35" s="3279"/>
      <c r="F35" s="3279"/>
      <c r="G35" s="3279"/>
    </row>
    <row r="36" spans="1:7" hidden="1">
      <c r="A36" s="1328">
        <v>3</v>
      </c>
      <c r="B36" s="1325" t="s">
        <v>1128</v>
      </c>
      <c r="C36" s="1325"/>
      <c r="D36" s="1325"/>
      <c r="E36" s="3279"/>
      <c r="F36" s="3279"/>
      <c r="G36" s="3279"/>
    </row>
    <row r="37" spans="1:7" hidden="1">
      <c r="A37" s="1328">
        <v>4</v>
      </c>
      <c r="B37" s="1325" t="s">
        <v>1129</v>
      </c>
      <c r="C37" s="1325"/>
      <c r="D37" s="1325"/>
      <c r="E37" s="3279"/>
      <c r="F37" s="3279"/>
      <c r="G37" s="3279"/>
    </row>
    <row r="38" spans="1:7" hidden="1">
      <c r="A38" s="3275" t="s">
        <v>1130</v>
      </c>
      <c r="B38" s="3276"/>
      <c r="C38" s="3276"/>
      <c r="D38" s="3277"/>
      <c r="E38" s="3278"/>
      <c r="F38" s="3278"/>
      <c r="G38" s="32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2191.33</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314" t="s">
        <v>2534</v>
      </c>
      <c r="D4" s="3315"/>
      <c r="E4" s="3316" t="s">
        <v>2535</v>
      </c>
      <c r="F4" s="3317"/>
      <c r="G4" s="3314" t="s">
        <v>2536</v>
      </c>
      <c r="H4" s="3315"/>
      <c r="I4" s="3314" t="s">
        <v>2537</v>
      </c>
      <c r="J4" s="3315"/>
      <c r="K4" s="2596" t="s">
        <v>2538</v>
      </c>
      <c r="L4" s="1130"/>
      <c r="M4" s="1131"/>
      <c r="N4" s="1131"/>
      <c r="O4" s="1131"/>
      <c r="P4" s="3318" t="s">
        <v>2539</v>
      </c>
      <c r="Q4" s="3319"/>
      <c r="R4" s="3324" t="s">
        <v>2535</v>
      </c>
      <c r="S4" s="3325"/>
      <c r="T4" s="3324" t="s">
        <v>2536</v>
      </c>
      <c r="U4" s="3325"/>
      <c r="V4" s="3330" t="s">
        <v>2537</v>
      </c>
      <c r="W4" s="3330"/>
      <c r="X4" s="1813"/>
      <c r="Y4" s="3324" t="s">
        <v>2539</v>
      </c>
      <c r="Z4" s="3325"/>
      <c r="AA4" s="3311" t="s">
        <v>2535</v>
      </c>
      <c r="AB4" s="3311" t="s">
        <v>2536</v>
      </c>
      <c r="AC4" s="3311" t="s">
        <v>2537</v>
      </c>
    </row>
    <row r="5" spans="1:29" ht="15">
      <c r="A5" s="404"/>
      <c r="B5" s="405"/>
      <c r="C5" s="3333" t="s">
        <v>2540</v>
      </c>
      <c r="D5" s="3334"/>
      <c r="E5" s="3340" t="s">
        <v>2541</v>
      </c>
      <c r="F5" s="3341"/>
      <c r="G5" s="3333" t="s">
        <v>2542</v>
      </c>
      <c r="H5" s="3334"/>
      <c r="I5" s="3333" t="s">
        <v>2543</v>
      </c>
      <c r="J5" s="3334"/>
      <c r="K5" s="2597"/>
      <c r="L5" s="1130"/>
      <c r="M5" s="1131"/>
      <c r="N5" s="1131"/>
      <c r="O5" s="1131"/>
      <c r="P5" s="3320"/>
      <c r="Q5" s="3321"/>
      <c r="R5" s="3326"/>
      <c r="S5" s="3327"/>
      <c r="T5" s="3326"/>
      <c r="U5" s="3327"/>
      <c r="V5" s="3330"/>
      <c r="W5" s="3330"/>
      <c r="X5" s="1813"/>
      <c r="Y5" s="3326"/>
      <c r="Z5" s="3327"/>
      <c r="AA5" s="3312"/>
      <c r="AB5" s="3312"/>
      <c r="AC5" s="3312"/>
    </row>
    <row r="6" spans="1:29" ht="15.75" thickBot="1">
      <c r="A6" s="406"/>
      <c r="B6" s="407"/>
      <c r="C6" s="3331" t="s">
        <v>2544</v>
      </c>
      <c r="D6" s="3332"/>
      <c r="E6" s="3338" t="s">
        <v>2544</v>
      </c>
      <c r="F6" s="3339"/>
      <c r="G6" s="3331" t="s">
        <v>2544</v>
      </c>
      <c r="H6" s="3332"/>
      <c r="I6" s="3331" t="s">
        <v>2544</v>
      </c>
      <c r="J6" s="3332"/>
      <c r="K6" s="2597" t="s">
        <v>2545</v>
      </c>
      <c r="L6" s="1130"/>
      <c r="M6" s="1131"/>
      <c r="N6" s="1131"/>
      <c r="O6" s="1131"/>
      <c r="P6" s="3322"/>
      <c r="Q6" s="3323"/>
      <c r="R6" s="3326"/>
      <c r="S6" s="3327"/>
      <c r="T6" s="3328"/>
      <c r="U6" s="3329"/>
      <c r="V6" s="3330"/>
      <c r="W6" s="3330"/>
      <c r="X6" s="1813"/>
      <c r="Y6" s="3328"/>
      <c r="Z6" s="3329"/>
      <c r="AA6" s="3313"/>
      <c r="AB6" s="3313"/>
      <c r="AC6" s="3313"/>
    </row>
    <row r="7" spans="1:29" s="117" customFormat="1" ht="15.75" thickBot="1">
      <c r="A7" s="408" t="s">
        <v>2546</v>
      </c>
      <c r="B7" s="409"/>
      <c r="C7" s="410">
        <f>'数据-取费表'!B2</f>
        <v>43817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335" t="s">
        <v>2547</v>
      </c>
      <c r="Q7" s="3337"/>
      <c r="R7" s="770" t="s">
        <v>23</v>
      </c>
      <c r="S7" s="771">
        <f t="shared" ref="S7:S15" si="0">F7</f>
        <v>0</v>
      </c>
      <c r="T7" s="770" t="s">
        <v>23</v>
      </c>
      <c r="U7" s="771">
        <f t="shared" ref="U7:U15" si="1">H7</f>
        <v>0</v>
      </c>
      <c r="V7" s="770" t="s">
        <v>23</v>
      </c>
      <c r="W7" s="771">
        <f t="shared" ref="W7:W15" si="2">J7</f>
        <v>0</v>
      </c>
      <c r="X7" s="772"/>
      <c r="Y7" s="3335" t="s">
        <v>2547</v>
      </c>
      <c r="Z7" s="3336"/>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335" t="s">
        <v>2550</v>
      </c>
      <c r="Q8" s="3336"/>
      <c r="R8" s="770" t="s">
        <v>23</v>
      </c>
      <c r="S8" s="771">
        <f t="shared" si="0"/>
        <v>0</v>
      </c>
      <c r="T8" s="770" t="s">
        <v>23</v>
      </c>
      <c r="U8" s="771">
        <f t="shared" si="1"/>
        <v>0</v>
      </c>
      <c r="V8" s="770" t="s">
        <v>23</v>
      </c>
      <c r="W8" s="771">
        <f t="shared" si="2"/>
        <v>0</v>
      </c>
      <c r="X8" s="772"/>
      <c r="Y8" s="3335" t="s">
        <v>2550</v>
      </c>
      <c r="Z8" s="333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310"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310"/>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310"/>
      <c r="Q11" s="1795" t="str">
        <f t="shared" si="6"/>
        <v>容积率</v>
      </c>
      <c r="R11" s="770" t="s">
        <v>21</v>
      </c>
      <c r="S11" s="771" t="e">
        <f t="shared" si="0"/>
        <v>#N/A</v>
      </c>
      <c r="T11" s="770" t="s">
        <v>21</v>
      </c>
      <c r="U11" s="771" t="e">
        <f t="shared" si="1"/>
        <v>#N/A</v>
      </c>
      <c r="V11" s="770" t="s">
        <v>21</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310"/>
      <c r="Q12" s="1795">
        <f t="shared" si="6"/>
        <v>111</v>
      </c>
      <c r="R12" s="770" t="s">
        <v>21</v>
      </c>
      <c r="S12" s="771">
        <f t="shared" si="0"/>
        <v>100</v>
      </c>
      <c r="T12" s="770" t="s">
        <v>21</v>
      </c>
      <c r="U12" s="771">
        <f t="shared" si="1"/>
        <v>100</v>
      </c>
      <c r="V12" s="770" t="s">
        <v>21</v>
      </c>
      <c r="W12" s="771">
        <f t="shared" si="2"/>
        <v>100</v>
      </c>
      <c r="X12" s="772"/>
      <c r="Y12" s="310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310"/>
      <c r="Q13" s="1795">
        <f t="shared" si="6"/>
        <v>111</v>
      </c>
      <c r="R13" s="770" t="s">
        <v>21</v>
      </c>
      <c r="S13" s="771">
        <f t="shared" si="0"/>
        <v>100</v>
      </c>
      <c r="T13" s="770" t="s">
        <v>21</v>
      </c>
      <c r="U13" s="771">
        <f t="shared" si="1"/>
        <v>100</v>
      </c>
      <c r="V13" s="770" t="s">
        <v>21</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310"/>
      <c r="Q14" s="1795">
        <f t="shared" si="6"/>
        <v>111</v>
      </c>
      <c r="R14" s="770" t="s">
        <v>21</v>
      </c>
      <c r="S14" s="771">
        <f t="shared" si="0"/>
        <v>100</v>
      </c>
      <c r="T14" s="770" t="s">
        <v>21</v>
      </c>
      <c r="U14" s="771">
        <f t="shared" si="1"/>
        <v>100</v>
      </c>
      <c r="V14" s="770" t="s">
        <v>21</v>
      </c>
      <c r="W14" s="771">
        <f t="shared" si="2"/>
        <v>100</v>
      </c>
      <c r="X14" s="772"/>
      <c r="Y14" s="3107"/>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08" t="s">
        <v>2558</v>
      </c>
      <c r="Q15" s="1810" t="str">
        <f t="shared" si="6"/>
        <v>居住社区成熟度</v>
      </c>
      <c r="R15" s="774" t="s">
        <v>21</v>
      </c>
      <c r="S15" s="775">
        <f t="shared" si="0"/>
        <v>100</v>
      </c>
      <c r="T15" s="774" t="s">
        <v>21</v>
      </c>
      <c r="U15" s="775">
        <f t="shared" si="1"/>
        <v>100</v>
      </c>
      <c r="V15" s="774" t="s">
        <v>21</v>
      </c>
      <c r="W15" s="775">
        <f t="shared" si="2"/>
        <v>100</v>
      </c>
      <c r="X15" s="1813"/>
      <c r="Y15" s="3301"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309"/>
      <c r="Q16" s="1810"/>
      <c r="R16" s="774"/>
      <c r="S16" s="775"/>
      <c r="T16" s="774"/>
      <c r="U16" s="775"/>
      <c r="V16" s="774"/>
      <c r="W16" s="775"/>
      <c r="X16" s="1813"/>
      <c r="Y16" s="3302"/>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09"/>
      <c r="Q17" s="1810" t="str">
        <f>B17</f>
        <v>交通便捷度</v>
      </c>
      <c r="R17" s="774" t="s">
        <v>21</v>
      </c>
      <c r="S17" s="775">
        <f>F17</f>
        <v>100</v>
      </c>
      <c r="T17" s="774" t="s">
        <v>21</v>
      </c>
      <c r="U17" s="775">
        <f>H17</f>
        <v>100</v>
      </c>
      <c r="V17" s="774" t="s">
        <v>21</v>
      </c>
      <c r="W17" s="775">
        <f>J17</f>
        <v>100</v>
      </c>
      <c r="X17" s="1813"/>
      <c r="Y17" s="3302"/>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309"/>
      <c r="Q18" s="1810"/>
      <c r="R18" s="774"/>
      <c r="S18" s="775"/>
      <c r="T18" s="774"/>
      <c r="U18" s="775"/>
      <c r="V18" s="774"/>
      <c r="W18" s="775"/>
      <c r="X18" s="1813"/>
      <c r="Y18" s="3302"/>
      <c r="Z18" s="1814"/>
      <c r="AA18" s="1811">
        <v>1</v>
      </c>
      <c r="AB18" s="1811">
        <v>1</v>
      </c>
      <c r="AC18" s="1811">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09"/>
      <c r="Q19" s="1810" t="str">
        <f>B19</f>
        <v>公共配套设施</v>
      </c>
      <c r="R19" s="774" t="s">
        <v>21</v>
      </c>
      <c r="S19" s="775">
        <f>F19</f>
        <v>100</v>
      </c>
      <c r="T19" s="774" t="s">
        <v>21</v>
      </c>
      <c r="U19" s="775">
        <f>H19</f>
        <v>100</v>
      </c>
      <c r="V19" s="774" t="s">
        <v>21</v>
      </c>
      <c r="W19" s="775">
        <f>J19</f>
        <v>100</v>
      </c>
      <c r="X19" s="1813"/>
      <c r="Y19" s="3302"/>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309"/>
      <c r="Q20" s="1810"/>
      <c r="R20" s="774"/>
      <c r="S20" s="775"/>
      <c r="T20" s="774"/>
      <c r="U20" s="775"/>
      <c r="V20" s="774"/>
      <c r="W20" s="775"/>
      <c r="X20" s="1813"/>
      <c r="Y20" s="3302"/>
      <c r="Z20" s="1814"/>
      <c r="AA20" s="1811">
        <v>1</v>
      </c>
      <c r="AB20" s="1811">
        <v>1</v>
      </c>
      <c r="AC20" s="1811">
        <v>1</v>
      </c>
    </row>
    <row r="21" spans="1:29" ht="28.5">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09"/>
      <c r="Q21" s="1810" t="str">
        <f>B21</f>
        <v>基础设施水平</v>
      </c>
      <c r="R21" s="774" t="s">
        <v>17</v>
      </c>
      <c r="S21" s="775">
        <f>F21</f>
        <v>100</v>
      </c>
      <c r="T21" s="774" t="s">
        <v>17</v>
      </c>
      <c r="U21" s="775">
        <f>H21</f>
        <v>100</v>
      </c>
      <c r="V21" s="774" t="s">
        <v>17</v>
      </c>
      <c r="W21" s="775">
        <f>J21</f>
        <v>100</v>
      </c>
      <c r="X21" s="1813"/>
      <c r="Y21" s="33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309"/>
      <c r="Q22" s="1810"/>
      <c r="R22" s="774"/>
      <c r="S22" s="775"/>
      <c r="T22" s="774"/>
      <c r="U22" s="775"/>
      <c r="V22" s="774"/>
      <c r="W22" s="775"/>
      <c r="X22" s="1813"/>
      <c r="Y22" s="3302"/>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09"/>
      <c r="Q23" s="1810" t="str">
        <f>B23</f>
        <v>自然及人文环境</v>
      </c>
      <c r="R23" s="774" t="s">
        <v>21</v>
      </c>
      <c r="S23" s="775">
        <f>F23</f>
        <v>100</v>
      </c>
      <c r="T23" s="774" t="s">
        <v>21</v>
      </c>
      <c r="U23" s="775">
        <f>H23</f>
        <v>100</v>
      </c>
      <c r="V23" s="774" t="s">
        <v>21</v>
      </c>
      <c r="W23" s="775">
        <f>J23</f>
        <v>100</v>
      </c>
      <c r="X23" s="1813"/>
      <c r="Y23" s="3302"/>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309"/>
      <c r="Q24" s="1810"/>
      <c r="R24" s="774"/>
      <c r="S24" s="775"/>
      <c r="T24" s="774"/>
      <c r="U24" s="775"/>
      <c r="V24" s="774"/>
      <c r="W24" s="775"/>
      <c r="X24" s="1813"/>
      <c r="Y24" s="3302"/>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309"/>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302"/>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309"/>
      <c r="Q26" s="1810" t="str">
        <f t="shared" si="11"/>
        <v>朝向</v>
      </c>
      <c r="R26" s="774" t="s">
        <v>21</v>
      </c>
      <c r="S26" s="775">
        <f t="shared" si="12"/>
        <v>100</v>
      </c>
      <c r="T26" s="774" t="s">
        <v>21</v>
      </c>
      <c r="U26" s="775">
        <f t="shared" si="13"/>
        <v>100</v>
      </c>
      <c r="V26" s="774" t="s">
        <v>21</v>
      </c>
      <c r="W26" s="775">
        <f t="shared" si="14"/>
        <v>100</v>
      </c>
      <c r="X26" s="1813"/>
      <c r="Y26" s="3302"/>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309"/>
      <c r="Q27" s="1795">
        <f t="shared" si="11"/>
        <v>111</v>
      </c>
      <c r="R27" s="770" t="s">
        <v>21</v>
      </c>
      <c r="S27" s="771">
        <f t="shared" si="12"/>
        <v>100</v>
      </c>
      <c r="T27" s="770" t="s">
        <v>21</v>
      </c>
      <c r="U27" s="771">
        <f t="shared" si="13"/>
        <v>100</v>
      </c>
      <c r="V27" s="770" t="s">
        <v>21</v>
      </c>
      <c r="W27" s="771">
        <f t="shared" si="14"/>
        <v>100</v>
      </c>
      <c r="X27" s="772"/>
      <c r="Y27" s="3302"/>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309"/>
      <c r="Q28" s="1810">
        <f t="shared" si="11"/>
        <v>111</v>
      </c>
      <c r="R28" s="774" t="s">
        <v>21</v>
      </c>
      <c r="S28" s="775">
        <f t="shared" si="12"/>
        <v>100</v>
      </c>
      <c r="T28" s="774" t="s">
        <v>21</v>
      </c>
      <c r="U28" s="775">
        <f t="shared" si="13"/>
        <v>100</v>
      </c>
      <c r="V28" s="774" t="s">
        <v>21</v>
      </c>
      <c r="W28" s="775">
        <f t="shared" si="14"/>
        <v>100</v>
      </c>
      <c r="X28" s="1813"/>
      <c r="Y28" s="3302"/>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309"/>
      <c r="Q29" s="1810">
        <f t="shared" si="11"/>
        <v>111</v>
      </c>
      <c r="R29" s="774" t="s">
        <v>21</v>
      </c>
      <c r="S29" s="775">
        <f t="shared" si="12"/>
        <v>100</v>
      </c>
      <c r="T29" s="774" t="s">
        <v>21</v>
      </c>
      <c r="U29" s="775">
        <f t="shared" si="13"/>
        <v>100</v>
      </c>
      <c r="V29" s="774" t="s">
        <v>21</v>
      </c>
      <c r="W29" s="775">
        <f t="shared" si="14"/>
        <v>100</v>
      </c>
      <c r="X29" s="1813"/>
      <c r="Y29" s="3302"/>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309"/>
      <c r="Q30" s="1810">
        <f t="shared" si="11"/>
        <v>111</v>
      </c>
      <c r="R30" s="774" t="s">
        <v>21</v>
      </c>
      <c r="S30" s="775">
        <f t="shared" si="12"/>
        <v>100</v>
      </c>
      <c r="T30" s="774" t="s">
        <v>21</v>
      </c>
      <c r="U30" s="775">
        <f t="shared" si="13"/>
        <v>100</v>
      </c>
      <c r="V30" s="774" t="s">
        <v>21</v>
      </c>
      <c r="W30" s="775">
        <f t="shared" si="14"/>
        <v>100</v>
      </c>
      <c r="X30" s="1813"/>
      <c r="Y30" s="3302"/>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309"/>
      <c r="Q31" s="1810">
        <f t="shared" si="11"/>
        <v>111</v>
      </c>
      <c r="R31" s="774" t="s">
        <v>21</v>
      </c>
      <c r="S31" s="775">
        <f t="shared" si="12"/>
        <v>100</v>
      </c>
      <c r="T31" s="774" t="s">
        <v>21</v>
      </c>
      <c r="U31" s="775">
        <f t="shared" si="13"/>
        <v>100</v>
      </c>
      <c r="V31" s="774" t="s">
        <v>21</v>
      </c>
      <c r="W31" s="775">
        <f t="shared" si="14"/>
        <v>100</v>
      </c>
      <c r="X31" s="1813"/>
      <c r="Y31" s="3302"/>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303" t="s">
        <v>2563</v>
      </c>
      <c r="Q32" s="1810" t="str">
        <f t="shared" si="11"/>
        <v>建筑类型</v>
      </c>
      <c r="R32" s="774" t="s">
        <v>21</v>
      </c>
      <c r="S32" s="775">
        <f t="shared" si="12"/>
        <v>100</v>
      </c>
      <c r="T32" s="774" t="s">
        <v>21</v>
      </c>
      <c r="U32" s="775">
        <f t="shared" si="13"/>
        <v>100</v>
      </c>
      <c r="V32" s="774" t="s">
        <v>21</v>
      </c>
      <c r="W32" s="775">
        <f t="shared" si="14"/>
        <v>100</v>
      </c>
      <c r="X32" s="1813"/>
      <c r="Y32" s="3306"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304"/>
      <c r="Q33" s="776" t="str">
        <f t="shared" si="11"/>
        <v>项目建筑规模</v>
      </c>
      <c r="R33" s="777" t="s">
        <v>21</v>
      </c>
      <c r="S33" s="778" t="e">
        <f t="shared" si="12"/>
        <v>#N/A</v>
      </c>
      <c r="T33" s="777" t="s">
        <v>21</v>
      </c>
      <c r="U33" s="778" t="e">
        <f t="shared" si="13"/>
        <v>#N/A</v>
      </c>
      <c r="V33" s="777" t="s">
        <v>21</v>
      </c>
      <c r="W33" s="778" t="e">
        <f t="shared" si="14"/>
        <v>#N/A</v>
      </c>
      <c r="X33" s="779"/>
      <c r="Y33" s="3306"/>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304"/>
      <c r="Q34" s="1810" t="str">
        <f t="shared" si="11"/>
        <v>建筑结构</v>
      </c>
      <c r="R34" s="774" t="s">
        <v>21</v>
      </c>
      <c r="S34" s="775">
        <f t="shared" si="12"/>
        <v>100</v>
      </c>
      <c r="T34" s="774" t="s">
        <v>21</v>
      </c>
      <c r="U34" s="775">
        <f t="shared" si="13"/>
        <v>100</v>
      </c>
      <c r="V34" s="774" t="s">
        <v>21</v>
      </c>
      <c r="W34" s="775">
        <f t="shared" si="14"/>
        <v>100</v>
      </c>
      <c r="X34" s="1813"/>
      <c r="Y34" s="3306"/>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304"/>
      <c r="Q35" s="1810" t="str">
        <f t="shared" si="11"/>
        <v>建筑品质</v>
      </c>
      <c r="R35" s="774" t="s">
        <v>21</v>
      </c>
      <c r="S35" s="775">
        <f t="shared" si="12"/>
        <v>100</v>
      </c>
      <c r="T35" s="774" t="s">
        <v>21</v>
      </c>
      <c r="U35" s="775">
        <f t="shared" si="13"/>
        <v>100</v>
      </c>
      <c r="V35" s="774" t="s">
        <v>21</v>
      </c>
      <c r="W35" s="775">
        <f t="shared" si="14"/>
        <v>100</v>
      </c>
      <c r="X35" s="1813"/>
      <c r="Y35" s="3306"/>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304"/>
      <c r="Q36" s="1810" t="str">
        <f t="shared" si="11"/>
        <v>公共部分装修</v>
      </c>
      <c r="R36" s="774" t="s">
        <v>21</v>
      </c>
      <c r="S36" s="775">
        <f t="shared" si="12"/>
        <v>100</v>
      </c>
      <c r="T36" s="774" t="s">
        <v>21</v>
      </c>
      <c r="U36" s="775">
        <f t="shared" si="13"/>
        <v>100</v>
      </c>
      <c r="V36" s="774" t="s">
        <v>21</v>
      </c>
      <c r="W36" s="775">
        <f t="shared" si="14"/>
        <v>100</v>
      </c>
      <c r="X36" s="1813"/>
      <c r="Y36" s="3306"/>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04"/>
      <c r="Q37" s="1795" t="str">
        <f t="shared" si="11"/>
        <v>成新度</v>
      </c>
      <c r="R37" s="770" t="s">
        <v>21</v>
      </c>
      <c r="S37" s="771" t="e">
        <f t="shared" si="12"/>
        <v>#N/A</v>
      </c>
      <c r="T37" s="770" t="s">
        <v>21</v>
      </c>
      <c r="U37" s="771" t="e">
        <f t="shared" si="13"/>
        <v>#N/A</v>
      </c>
      <c r="V37" s="770" t="s">
        <v>21</v>
      </c>
      <c r="W37" s="771" t="e">
        <f t="shared" si="14"/>
        <v>#N/A</v>
      </c>
      <c r="X37" s="772"/>
      <c r="Y37" s="3306"/>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304" t="s">
        <v>2563</v>
      </c>
      <c r="Q38" s="1810" t="str">
        <f t="shared" si="11"/>
        <v>物业管理</v>
      </c>
      <c r="R38" s="774" t="s">
        <v>21</v>
      </c>
      <c r="S38" s="775">
        <f t="shared" si="12"/>
        <v>100</v>
      </c>
      <c r="T38" s="774" t="s">
        <v>21</v>
      </c>
      <c r="U38" s="775">
        <f t="shared" si="13"/>
        <v>100</v>
      </c>
      <c r="V38" s="774" t="s">
        <v>21</v>
      </c>
      <c r="W38" s="775">
        <f t="shared" si="14"/>
        <v>100</v>
      </c>
      <c r="X38" s="1813"/>
      <c r="Y38" s="3306"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304"/>
      <c r="Q39" s="1810" t="str">
        <f t="shared" si="11"/>
        <v>市政基础设施</v>
      </c>
      <c r="R39" s="774" t="s">
        <v>21</v>
      </c>
      <c r="S39" s="775">
        <f t="shared" si="12"/>
        <v>100</v>
      </c>
      <c r="T39" s="774" t="s">
        <v>21</v>
      </c>
      <c r="U39" s="775">
        <f t="shared" si="13"/>
        <v>100</v>
      </c>
      <c r="V39" s="774" t="s">
        <v>21</v>
      </c>
      <c r="W39" s="775">
        <f t="shared" si="14"/>
        <v>100</v>
      </c>
      <c r="X39" s="1813"/>
      <c r="Y39" s="3306"/>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304"/>
      <c r="Q40" s="1810" t="str">
        <f t="shared" si="11"/>
        <v>房型</v>
      </c>
      <c r="R40" s="774" t="s">
        <v>21</v>
      </c>
      <c r="S40" s="775">
        <f t="shared" si="12"/>
        <v>100</v>
      </c>
      <c r="T40" s="774" t="s">
        <v>21</v>
      </c>
      <c r="U40" s="775">
        <f t="shared" si="13"/>
        <v>100</v>
      </c>
      <c r="V40" s="774" t="s">
        <v>21</v>
      </c>
      <c r="W40" s="775">
        <f t="shared" si="14"/>
        <v>100</v>
      </c>
      <c r="X40" s="1813"/>
      <c r="Y40" s="3306"/>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304"/>
      <c r="Q41" s="776" t="str">
        <f t="shared" si="11"/>
        <v>单套/主力户型建筑面积</v>
      </c>
      <c r="R41" s="777" t="s">
        <v>21</v>
      </c>
      <c r="S41" s="778">
        <f t="shared" si="12"/>
        <v>100</v>
      </c>
      <c r="T41" s="777" t="s">
        <v>21</v>
      </c>
      <c r="U41" s="778">
        <f t="shared" si="13"/>
        <v>100</v>
      </c>
      <c r="V41" s="777" t="s">
        <v>21</v>
      </c>
      <c r="W41" s="778">
        <f t="shared" si="14"/>
        <v>100</v>
      </c>
      <c r="X41" s="779"/>
      <c r="Y41" s="3306"/>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304"/>
      <c r="Q42" s="1810" t="str">
        <f t="shared" si="11"/>
        <v>内部装修</v>
      </c>
      <c r="R42" s="774" t="s">
        <v>21</v>
      </c>
      <c r="S42" s="775">
        <f t="shared" si="12"/>
        <v>100</v>
      </c>
      <c r="T42" s="774" t="s">
        <v>21</v>
      </c>
      <c r="U42" s="775">
        <f t="shared" si="13"/>
        <v>100</v>
      </c>
      <c r="V42" s="774" t="s">
        <v>21</v>
      </c>
      <c r="W42" s="775">
        <f t="shared" si="14"/>
        <v>100</v>
      </c>
      <c r="X42" s="1813"/>
      <c r="Y42" s="3306"/>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304"/>
      <c r="Q43" s="1810" t="str">
        <f t="shared" si="11"/>
        <v>内部装修维护情况</v>
      </c>
      <c r="R43" s="774" t="s">
        <v>21</v>
      </c>
      <c r="S43" s="775">
        <f t="shared" si="12"/>
        <v>100</v>
      </c>
      <c r="T43" s="774" t="s">
        <v>21</v>
      </c>
      <c r="U43" s="775">
        <f t="shared" si="13"/>
        <v>100</v>
      </c>
      <c r="V43" s="774" t="s">
        <v>21</v>
      </c>
      <c r="W43" s="775">
        <f t="shared" si="14"/>
        <v>100</v>
      </c>
      <c r="X43" s="1813"/>
      <c r="Y43" s="330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304"/>
      <c r="Q44" s="1795">
        <f t="shared" si="11"/>
        <v>111</v>
      </c>
      <c r="R44" s="770" t="s">
        <v>21</v>
      </c>
      <c r="S44" s="771">
        <f t="shared" si="12"/>
        <v>100</v>
      </c>
      <c r="T44" s="770" t="s">
        <v>21</v>
      </c>
      <c r="U44" s="771">
        <f t="shared" si="13"/>
        <v>100</v>
      </c>
      <c r="V44" s="770" t="s">
        <v>21</v>
      </c>
      <c r="W44" s="771">
        <f t="shared" si="14"/>
        <v>100</v>
      </c>
      <c r="X44" s="772"/>
      <c r="Y44" s="330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304"/>
      <c r="Q45" s="1810">
        <f t="shared" si="11"/>
        <v>111</v>
      </c>
      <c r="R45" s="774" t="s">
        <v>21</v>
      </c>
      <c r="S45" s="775">
        <f t="shared" si="12"/>
        <v>100</v>
      </c>
      <c r="T45" s="774" t="s">
        <v>21</v>
      </c>
      <c r="U45" s="775">
        <f t="shared" si="13"/>
        <v>100</v>
      </c>
      <c r="V45" s="774" t="s">
        <v>21</v>
      </c>
      <c r="W45" s="775">
        <f t="shared" si="14"/>
        <v>100</v>
      </c>
      <c r="X45" s="1813"/>
      <c r="Y45" s="3306"/>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305"/>
      <c r="Q46" s="1810">
        <f t="shared" si="11"/>
        <v>111</v>
      </c>
      <c r="R46" s="774" t="s">
        <v>20</v>
      </c>
      <c r="S46" s="775">
        <f t="shared" si="12"/>
        <v>100</v>
      </c>
      <c r="T46" s="774" t="s">
        <v>20</v>
      </c>
      <c r="U46" s="775">
        <f t="shared" si="13"/>
        <v>100</v>
      </c>
      <c r="V46" s="774" t="s">
        <v>20</v>
      </c>
      <c r="W46" s="775">
        <f t="shared" si="14"/>
        <v>100</v>
      </c>
      <c r="X46" s="1813"/>
      <c r="Y46" s="3307"/>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299" t="str">
        <f>A47</f>
        <v>成交单价（元/平方米）</v>
      </c>
      <c r="Q47" s="3299"/>
      <c r="R47" s="3300">
        <f>E47</f>
        <v>0</v>
      </c>
      <c r="S47" s="3300"/>
      <c r="T47" s="3300">
        <f>G47</f>
        <v>0</v>
      </c>
      <c r="U47" s="3300"/>
      <c r="V47" s="3300">
        <f>I47</f>
        <v>0</v>
      </c>
      <c r="W47" s="3300"/>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96" t="str">
        <f>A49</f>
        <v>估价对象XX用房的比较价值（楼面单价，元/平方米）</v>
      </c>
      <c r="Q49" s="3297"/>
      <c r="R49" s="3298" t="e">
        <f>IF(F1="售价",ROUND(AVERAGE(R48:V48),0),ROUND(AVERAGE(R48:V48),1))</f>
        <v>#DIV/0!</v>
      </c>
      <c r="S49" s="3298"/>
      <c r="T49" s="3298"/>
      <c r="U49" s="3298"/>
      <c r="V49" s="3298"/>
      <c r="W49" s="32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23" sqref="H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t="s">
        <v>1372</v>
      </c>
      <c r="E1" s="2657"/>
      <c r="F1" s="2584" t="s">
        <v>3244</v>
      </c>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f ca="1">IF(C2="——",ROUND(C49*D3/10000,0),ROUND(C49*D3/10000,0)-D2)</f>
        <v>2565</v>
      </c>
      <c r="C2" s="2586" t="s">
        <v>3245</v>
      </c>
      <c r="D2" s="1365">
        <f ca="1">SUMIF(INDIRECT("'"&amp;F2&amp;"'"&amp;"!A:A"),"承租人权益价值",INDIRECT("'"&amp;F2&amp;"'"&amp;"!c:c"))</f>
        <v>941</v>
      </c>
      <c r="E2" s="2587" t="s">
        <v>2326</v>
      </c>
      <c r="F2" s="2588" t="s">
        <v>3068</v>
      </c>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f ca="1">IF(C2="——",C49,ROUND(B2*10000/D3,0))</f>
        <v>11705</v>
      </c>
      <c r="C3" s="400" t="s">
        <v>2642</v>
      </c>
      <c r="D3" s="399">
        <f>IF(D1="",'数据-汇总表'!E3,SUMIF('数据-汇总表'!$C19:$C33,D1,'数据-汇总表'!$E19:$E33))</f>
        <v>2191.33</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30" t="s">
        <v>2646</v>
      </c>
      <c r="AC4" s="3311" t="s">
        <v>2647</v>
      </c>
    </row>
    <row r="5" spans="1:29" ht="15.75" thickBot="1">
      <c r="A5" s="404"/>
      <c r="B5" s="405"/>
      <c r="C5" s="3342" t="s">
        <v>3247</v>
      </c>
      <c r="D5" s="3334"/>
      <c r="E5" s="3343" t="s">
        <v>3275</v>
      </c>
      <c r="F5" s="3341"/>
      <c r="G5" s="3342" t="s">
        <v>3273</v>
      </c>
      <c r="H5" s="3334"/>
      <c r="I5" s="3343" t="s">
        <v>3248</v>
      </c>
      <c r="J5" s="3341"/>
      <c r="K5" s="610"/>
      <c r="L5" s="1130"/>
      <c r="M5" s="1131"/>
      <c r="N5" s="1131"/>
      <c r="O5" s="1131"/>
      <c r="P5" s="3320"/>
      <c r="Q5" s="3321"/>
      <c r="R5" s="3326"/>
      <c r="S5" s="3327"/>
      <c r="T5" s="3326"/>
      <c r="U5" s="3327"/>
      <c r="V5" s="3330"/>
      <c r="W5" s="3330"/>
      <c r="X5" s="1813"/>
      <c r="Y5" s="3326"/>
      <c r="Z5" s="3327"/>
      <c r="AA5" s="3312"/>
      <c r="AB5" s="3330"/>
      <c r="AC5" s="3312"/>
    </row>
    <row r="6" spans="1:29" ht="15.75" hidden="1" thickBot="1">
      <c r="A6" s="406"/>
      <c r="B6" s="407"/>
      <c r="C6" s="3331" t="s">
        <v>2544</v>
      </c>
      <c r="D6" s="3332"/>
      <c r="E6" s="3338" t="s">
        <v>2544</v>
      </c>
      <c r="F6" s="3339"/>
      <c r="G6" s="3331" t="s">
        <v>2544</v>
      </c>
      <c r="H6" s="3332"/>
      <c r="I6" s="3331" t="s">
        <v>2544</v>
      </c>
      <c r="J6" s="3332"/>
      <c r="K6" s="610" t="s">
        <v>2545</v>
      </c>
      <c r="L6" s="1130"/>
      <c r="M6" s="1131"/>
      <c r="N6" s="1131"/>
      <c r="O6" s="1131"/>
      <c r="P6" s="3322"/>
      <c r="Q6" s="3323"/>
      <c r="R6" s="3326"/>
      <c r="S6" s="3327"/>
      <c r="T6" s="3328"/>
      <c r="U6" s="3329"/>
      <c r="V6" s="3330"/>
      <c r="W6" s="3330"/>
      <c r="X6" s="1813"/>
      <c r="Y6" s="3328"/>
      <c r="Z6" s="3329"/>
      <c r="AA6" s="3313"/>
      <c r="AB6" s="3330"/>
      <c r="AC6" s="3313"/>
    </row>
    <row r="7" spans="1:29" s="117" customFormat="1" ht="15.75" thickBot="1">
      <c r="A7" s="408" t="s">
        <v>2546</v>
      </c>
      <c r="B7" s="409"/>
      <c r="C7" s="410">
        <f>'数据-取费表'!B2</f>
        <v>43817</v>
      </c>
      <c r="D7" s="411">
        <v>100</v>
      </c>
      <c r="E7" s="412">
        <v>43817</v>
      </c>
      <c r="F7" s="413">
        <f>SUMIF(58:58,YEAR(E7)&amp;"-"&amp;MONTH(E7),59:59)</f>
        <v>100</v>
      </c>
      <c r="G7" s="412">
        <f>E7</f>
        <v>43817</v>
      </c>
      <c r="H7" s="411">
        <f>SUMIF(58:58,YEAR(G7)&amp;"-"&amp;MONTH(G7),59:59)</f>
        <v>100</v>
      </c>
      <c r="I7" s="412">
        <f>G7</f>
        <v>43817</v>
      </c>
      <c r="J7" s="411">
        <f>SUMIF(58:58,YEAR(I7)&amp;"-"&amp;MONTH(I7),59:59)</f>
        <v>100</v>
      </c>
      <c r="K7" s="611"/>
      <c r="L7" s="1132"/>
      <c r="M7" s="1133"/>
      <c r="N7" s="1133"/>
      <c r="O7" s="1133"/>
      <c r="P7" s="3335" t="s">
        <v>2547</v>
      </c>
      <c r="Q7" s="3337"/>
      <c r="R7" s="770" t="s">
        <v>17</v>
      </c>
      <c r="S7" s="771">
        <f t="shared" ref="S7:S15" si="0">F7</f>
        <v>100</v>
      </c>
      <c r="T7" s="770" t="s">
        <v>17</v>
      </c>
      <c r="U7" s="771">
        <f t="shared" ref="U7:U15" si="1">H7</f>
        <v>100</v>
      </c>
      <c r="V7" s="770" t="s">
        <v>17</v>
      </c>
      <c r="W7" s="771">
        <f t="shared" ref="W7:W15" si="2">J7</f>
        <v>100</v>
      </c>
      <c r="X7" s="772"/>
      <c r="Y7" s="3335" t="s">
        <v>2547</v>
      </c>
      <c r="Z7" s="3336"/>
      <c r="AA7" s="773">
        <f>D7/F7</f>
        <v>1</v>
      </c>
      <c r="AB7" s="773">
        <f>D7/H7</f>
        <v>1</v>
      </c>
      <c r="AC7" s="773">
        <f>D7/J7</f>
        <v>1</v>
      </c>
    </row>
    <row r="8" spans="1:29" s="117" customFormat="1" ht="15.75" thickBot="1">
      <c r="A8" s="408" t="s">
        <v>2548</v>
      </c>
      <c r="B8" s="409"/>
      <c r="C8" s="414" t="s">
        <v>2650</v>
      </c>
      <c r="D8" s="411">
        <v>100</v>
      </c>
      <c r="E8" s="414" t="s">
        <v>3249</v>
      </c>
      <c r="F8" s="3061">
        <f>SUMIF(61:61,E8,62:62)-SUMIF(61:61,C8,62:62)+100</f>
        <v>101</v>
      </c>
      <c r="G8" s="414" t="s">
        <v>3249</v>
      </c>
      <c r="H8" s="411">
        <f>SUMIF(61:61,G8,62:62)-SUMIF(61:61,C8,62:62)+100</f>
        <v>101</v>
      </c>
      <c r="I8" s="414" t="s">
        <v>3249</v>
      </c>
      <c r="J8" s="411">
        <f>SUMIF(61:61,I8,62:62)-SUMIF(61:61,C8,62:62)+100</f>
        <v>101</v>
      </c>
      <c r="K8" s="611"/>
      <c r="L8" s="1132"/>
      <c r="M8" s="1133"/>
      <c r="N8" s="1133"/>
      <c r="O8" s="1133"/>
      <c r="P8" s="3335" t="s">
        <v>2550</v>
      </c>
      <c r="Q8" s="3336"/>
      <c r="R8" s="770" t="s">
        <v>17</v>
      </c>
      <c r="S8" s="771">
        <f t="shared" si="0"/>
        <v>101</v>
      </c>
      <c r="T8" s="770" t="s">
        <v>17</v>
      </c>
      <c r="U8" s="771">
        <f t="shared" si="1"/>
        <v>101</v>
      </c>
      <c r="V8" s="770" t="s">
        <v>17</v>
      </c>
      <c r="W8" s="771">
        <f t="shared" si="2"/>
        <v>101</v>
      </c>
      <c r="X8" s="772"/>
      <c r="Y8" s="3335" t="s">
        <v>2550</v>
      </c>
      <c r="Z8" s="3336"/>
      <c r="AA8" s="773">
        <f t="shared" ref="AA8:AA46" si="3">D8/F8</f>
        <v>0.99009900990099009</v>
      </c>
      <c r="AB8" s="773">
        <f t="shared" ref="AB8:AB46" si="4">D8/H8</f>
        <v>0.99009900990099009</v>
      </c>
      <c r="AC8" s="773">
        <f t="shared" ref="AC8:AC46" si="5">D8/J8</f>
        <v>0.99009900990099009</v>
      </c>
    </row>
    <row r="9" spans="1:29" s="117" customFormat="1" ht="15" thickBot="1">
      <c r="A9" s="415" t="s">
        <v>2551</v>
      </c>
      <c r="B9" s="71" t="s">
        <v>2552</v>
      </c>
      <c r="C9" s="3051" t="s">
        <v>3251</v>
      </c>
      <c r="D9" s="135">
        <v>100</v>
      </c>
      <c r="E9" s="417" t="s">
        <v>1372</v>
      </c>
      <c r="F9" s="418">
        <f>SUMIF(63:63,E9,64:64)-SUMIF(63:63,C9,64:64)+100</f>
        <v>100</v>
      </c>
      <c r="G9" s="417" t="s">
        <v>1372</v>
      </c>
      <c r="H9" s="135">
        <f>SUMIF(63:63,G9,64:64)-SUMIF(63:63,C9,64:64)+100</f>
        <v>100</v>
      </c>
      <c r="I9" s="417" t="s">
        <v>1372</v>
      </c>
      <c r="J9" s="135">
        <f>SUMIF(63:63,I9,64:64)-SUMIF(63:63,C9,64:64)+100</f>
        <v>100</v>
      </c>
      <c r="K9" s="611"/>
      <c r="L9" s="1132"/>
      <c r="M9" s="1133"/>
      <c r="N9" s="1133"/>
      <c r="O9" s="1133"/>
      <c r="P9" s="3310"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773">
        <f t="shared" si="5"/>
        <v>1</v>
      </c>
    </row>
    <row r="10" spans="1:29" s="427" customFormat="1" ht="27.75" hidden="1" thickBot="1">
      <c r="A10" s="421"/>
      <c r="B10" s="422" t="s">
        <v>2555</v>
      </c>
      <c r="C10" s="423" t="s">
        <v>3252</v>
      </c>
      <c r="D10" s="136">
        <v>100</v>
      </c>
      <c r="E10" s="424" t="s">
        <v>3252</v>
      </c>
      <c r="F10" s="425">
        <f>SUMIF(65:65,E10,66:66)-SUMIF(65:65,C10,66:66)+100</f>
        <v>100</v>
      </c>
      <c r="G10" s="423" t="s">
        <v>3252</v>
      </c>
      <c r="H10" s="136">
        <f>SUMIF(65:65,G10,66:66)-SUMIF(65:65,C10,66:66)+100</f>
        <v>100</v>
      </c>
      <c r="I10" s="423" t="s">
        <v>3252</v>
      </c>
      <c r="J10" s="136">
        <f>SUMIF(65:65,I10,66:66)-SUMIF(65:65,C10,66:66)+100</f>
        <v>100</v>
      </c>
      <c r="K10" s="612">
        <v>1</v>
      </c>
      <c r="L10" s="1135"/>
      <c r="M10" s="1136"/>
      <c r="N10" s="1136"/>
      <c r="O10" s="1136"/>
      <c r="P10" s="3310"/>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hidden="1">
      <c r="A11" s="428"/>
      <c r="B11" s="422" t="s">
        <v>2556</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612">
        <v>1</v>
      </c>
      <c r="L11" s="1138"/>
      <c r="M11" s="1131"/>
      <c r="N11" s="1131"/>
      <c r="O11" s="1131"/>
      <c r="P11" s="3310"/>
      <c r="Q11" s="1795" t="str">
        <f t="shared" si="6"/>
        <v>容积率</v>
      </c>
      <c r="R11" s="770" t="s">
        <v>17</v>
      </c>
      <c r="S11" s="771">
        <f t="shared" si="0"/>
        <v>100</v>
      </c>
      <c r="T11" s="770" t="s">
        <v>17</v>
      </c>
      <c r="U11" s="771">
        <f t="shared" si="1"/>
        <v>100</v>
      </c>
      <c r="V11" s="770" t="s">
        <v>17</v>
      </c>
      <c r="W11" s="771">
        <f t="shared" si="2"/>
        <v>100</v>
      </c>
      <c r="X11" s="772"/>
      <c r="Y11" s="3107"/>
      <c r="Z11" s="55" t="str">
        <f t="shared" si="7"/>
        <v>容积率</v>
      </c>
      <c r="AA11" s="773">
        <f t="shared" si="3"/>
        <v>1</v>
      </c>
      <c r="AB11" s="773">
        <f t="shared" si="4"/>
        <v>1</v>
      </c>
      <c r="AC11" s="773">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310"/>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310"/>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310"/>
      <c r="Q14" s="1795">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2</v>
      </c>
      <c r="L15" s="1140"/>
      <c r="M15" s="1131"/>
      <c r="N15" s="1131"/>
      <c r="O15" s="1131"/>
      <c r="P15" s="3308" t="s">
        <v>2558</v>
      </c>
      <c r="Q15" s="1810" t="str">
        <f t="shared" si="6"/>
        <v>商业繁华度</v>
      </c>
      <c r="R15" s="774" t="s">
        <v>17</v>
      </c>
      <c r="S15" s="775">
        <f t="shared" si="0"/>
        <v>100</v>
      </c>
      <c r="T15" s="774" t="s">
        <v>17</v>
      </c>
      <c r="U15" s="775">
        <f t="shared" si="1"/>
        <v>100</v>
      </c>
      <c r="V15" s="774" t="s">
        <v>17</v>
      </c>
      <c r="W15" s="775">
        <f t="shared" si="2"/>
        <v>100</v>
      </c>
      <c r="X15" s="1813"/>
      <c r="Y15" s="3301" t="s">
        <v>2558</v>
      </c>
      <c r="Z15" s="1814" t="str">
        <f t="shared" si="7"/>
        <v>商业繁华度</v>
      </c>
      <c r="AA15" s="1811">
        <f t="shared" si="3"/>
        <v>1</v>
      </c>
      <c r="AB15" s="1811">
        <f t="shared" si="4"/>
        <v>1</v>
      </c>
      <c r="AC15" s="1811">
        <f t="shared" si="5"/>
        <v>1</v>
      </c>
    </row>
    <row r="16" spans="1:29" ht="15">
      <c r="A16" s="428"/>
      <c r="B16" s="446"/>
      <c r="C16" s="447" t="s">
        <v>3256</v>
      </c>
      <c r="D16" s="448"/>
      <c r="E16" s="3058" t="s">
        <v>3256</v>
      </c>
      <c r="F16" s="449"/>
      <c r="G16" s="447" t="s">
        <v>3256</v>
      </c>
      <c r="H16" s="450"/>
      <c r="I16" s="447" t="s">
        <v>3256</v>
      </c>
      <c r="J16" s="448"/>
      <c r="K16" s="615"/>
      <c r="L16" s="1140"/>
      <c r="M16" s="1131"/>
      <c r="N16" s="1131"/>
      <c r="O16" s="1131"/>
      <c r="P16" s="3309"/>
      <c r="Q16" s="1810"/>
      <c r="R16" s="774"/>
      <c r="S16" s="775"/>
      <c r="T16" s="774"/>
      <c r="U16" s="775"/>
      <c r="V16" s="774"/>
      <c r="W16" s="775"/>
      <c r="X16" s="1813"/>
      <c r="Y16" s="3302"/>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95</v>
      </c>
      <c r="G17" s="454"/>
      <c r="H17" s="455">
        <f>SUMIF(78:78,G18,79:79)-SUMIF(78:78,C18,79:79)+100</f>
        <v>100</v>
      </c>
      <c r="I17" s="452"/>
      <c r="J17" s="455">
        <f>SUMIF(78:78,I18,79:79)-SUMIF(78:78,C18,79:79)+100</f>
        <v>97.5</v>
      </c>
      <c r="K17" s="3059">
        <v>2.5</v>
      </c>
      <c r="L17" s="1140"/>
      <c r="M17" s="1131"/>
      <c r="N17" s="1131"/>
      <c r="O17" s="1131"/>
      <c r="P17" s="3309"/>
      <c r="Q17" s="1810" t="str">
        <f>B17</f>
        <v>交通便捷度</v>
      </c>
      <c r="R17" s="774" t="s">
        <v>17</v>
      </c>
      <c r="S17" s="775">
        <f>F17</f>
        <v>95</v>
      </c>
      <c r="T17" s="774" t="s">
        <v>17</v>
      </c>
      <c r="U17" s="775">
        <f>H17</f>
        <v>100</v>
      </c>
      <c r="V17" s="774" t="s">
        <v>17</v>
      </c>
      <c r="W17" s="775">
        <f>J17</f>
        <v>97.5</v>
      </c>
      <c r="X17" s="1813"/>
      <c r="Y17" s="3302"/>
      <c r="Z17" s="1814" t="str">
        <f>Q17</f>
        <v>交通便捷度</v>
      </c>
      <c r="AA17" s="1811">
        <f t="shared" si="3"/>
        <v>1.0526315789473684</v>
      </c>
      <c r="AB17" s="1811">
        <f t="shared" si="4"/>
        <v>1</v>
      </c>
      <c r="AC17" s="1811">
        <f t="shared" si="5"/>
        <v>1.0256410256410255</v>
      </c>
    </row>
    <row r="18" spans="1:29" ht="15">
      <c r="A18" s="428"/>
      <c r="B18" s="456"/>
      <c r="C18" s="2608" t="s">
        <v>3254</v>
      </c>
      <c r="D18" s="450"/>
      <c r="E18" s="2610" t="s">
        <v>3274</v>
      </c>
      <c r="F18" s="453"/>
      <c r="G18" s="2609" t="s">
        <v>3254</v>
      </c>
      <c r="H18" s="448"/>
      <c r="I18" s="2610" t="s">
        <v>3256</v>
      </c>
      <c r="J18" s="448"/>
      <c r="K18" s="615"/>
      <c r="L18" s="1140"/>
      <c r="M18" s="1131"/>
      <c r="N18" s="1131"/>
      <c r="O18" s="1131"/>
      <c r="P18" s="3309"/>
      <c r="Q18" s="1810"/>
      <c r="R18" s="774"/>
      <c r="S18" s="775"/>
      <c r="T18" s="774"/>
      <c r="U18" s="775"/>
      <c r="V18" s="774"/>
      <c r="W18" s="775"/>
      <c r="X18" s="1813"/>
      <c r="Y18" s="3302"/>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98</v>
      </c>
      <c r="G19" s="459"/>
      <c r="H19" s="450">
        <f>SUMIF(80:80,G20,81:81)-SUMIF(80:80,C20,81:81)+100</f>
        <v>100</v>
      </c>
      <c r="I19" s="457"/>
      <c r="J19" s="450">
        <f>SUMIF(80:80,I20,81:81)-SUMIF(80:80,C20,81:81)+100</f>
        <v>100</v>
      </c>
      <c r="K19" s="3059">
        <v>2</v>
      </c>
      <c r="L19" s="1140"/>
      <c r="M19" s="1131"/>
      <c r="N19" s="1131"/>
      <c r="O19" s="1131"/>
      <c r="P19" s="3309"/>
      <c r="Q19" s="1810" t="str">
        <f>B19</f>
        <v>公共配套设施</v>
      </c>
      <c r="R19" s="774" t="s">
        <v>17</v>
      </c>
      <c r="S19" s="775">
        <f>F19</f>
        <v>98</v>
      </c>
      <c r="T19" s="774" t="s">
        <v>17</v>
      </c>
      <c r="U19" s="775">
        <f>H19</f>
        <v>100</v>
      </c>
      <c r="V19" s="774" t="s">
        <v>17</v>
      </c>
      <c r="W19" s="775">
        <f>J19</f>
        <v>100</v>
      </c>
      <c r="X19" s="1813"/>
      <c r="Y19" s="3302"/>
      <c r="Z19" s="1814" t="str">
        <f>Q19</f>
        <v>公共配套设施</v>
      </c>
      <c r="AA19" s="1811">
        <f t="shared" si="3"/>
        <v>1.0204081632653061</v>
      </c>
      <c r="AB19" s="1811">
        <f t="shared" si="4"/>
        <v>1</v>
      </c>
      <c r="AC19" s="1811">
        <f t="shared" si="5"/>
        <v>1</v>
      </c>
    </row>
    <row r="20" spans="1:29" ht="15">
      <c r="A20" s="428"/>
      <c r="B20" s="456"/>
      <c r="C20" s="447" t="s">
        <v>3254</v>
      </c>
      <c r="D20" s="448"/>
      <c r="E20" s="2605" t="s">
        <v>3256</v>
      </c>
      <c r="F20" s="449"/>
      <c r="G20" s="2604" t="s">
        <v>3254</v>
      </c>
      <c r="H20" s="448"/>
      <c r="I20" s="2605" t="s">
        <v>3254</v>
      </c>
      <c r="J20" s="448"/>
      <c r="K20" s="615"/>
      <c r="L20" s="1140"/>
      <c r="M20" s="1131"/>
      <c r="N20" s="1131"/>
      <c r="O20" s="1131"/>
      <c r="P20" s="3309"/>
      <c r="Q20" s="1810"/>
      <c r="R20" s="774"/>
      <c r="S20" s="775"/>
      <c r="T20" s="774"/>
      <c r="U20" s="775"/>
      <c r="V20" s="774"/>
      <c r="W20" s="775"/>
      <c r="X20" s="1813"/>
      <c r="Y20" s="3302"/>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309"/>
      <c r="Q21" s="1810" t="str">
        <f>B21</f>
        <v>基础设施水平</v>
      </c>
      <c r="R21" s="774" t="s">
        <v>17</v>
      </c>
      <c r="S21" s="775">
        <f>F21</f>
        <v>100</v>
      </c>
      <c r="T21" s="774" t="s">
        <v>17</v>
      </c>
      <c r="U21" s="775">
        <f>H21</f>
        <v>100</v>
      </c>
      <c r="V21" s="774" t="s">
        <v>17</v>
      </c>
      <c r="W21" s="775">
        <f>J21</f>
        <v>100</v>
      </c>
      <c r="X21" s="1813"/>
      <c r="Y21" s="3302"/>
      <c r="Z21" s="1814" t="str">
        <f>Q21</f>
        <v>基础设施水平</v>
      </c>
      <c r="AA21" s="1811">
        <f t="shared" ref="AA21" si="8">D21/F21</f>
        <v>1</v>
      </c>
      <c r="AB21" s="1811">
        <f t="shared" ref="AB21" si="9">D21/H21</f>
        <v>1</v>
      </c>
      <c r="AC21" s="1811">
        <f t="shared" ref="AC21" si="10">D21/J21</f>
        <v>1</v>
      </c>
    </row>
    <row r="22" spans="1:29" ht="15">
      <c r="A22" s="428"/>
      <c r="B22" s="1384"/>
      <c r="C22" s="2608" t="s">
        <v>3255</v>
      </c>
      <c r="D22" s="448"/>
      <c r="E22" s="447" t="s">
        <v>3255</v>
      </c>
      <c r="F22" s="449"/>
      <c r="G22" s="447" t="s">
        <v>3255</v>
      </c>
      <c r="H22" s="448"/>
      <c r="I22" s="447" t="s">
        <v>3255</v>
      </c>
      <c r="J22" s="448"/>
      <c r="K22" s="1383"/>
      <c r="L22" s="1140"/>
      <c r="M22" s="1131"/>
      <c r="N22" s="1131"/>
      <c r="O22" s="1131"/>
      <c r="P22" s="3309"/>
      <c r="Q22" s="1810"/>
      <c r="R22" s="774"/>
      <c r="S22" s="775"/>
      <c r="T22" s="774"/>
      <c r="U22" s="775"/>
      <c r="V22" s="774"/>
      <c r="W22" s="775"/>
      <c r="X22" s="1813"/>
      <c r="Y22" s="3302"/>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309"/>
      <c r="Q23" s="1810" t="str">
        <f>B23</f>
        <v>自然及人文环境</v>
      </c>
      <c r="R23" s="774" t="s">
        <v>17</v>
      </c>
      <c r="S23" s="775">
        <f>F23</f>
        <v>100</v>
      </c>
      <c r="T23" s="774" t="s">
        <v>17</v>
      </c>
      <c r="U23" s="775">
        <f>H23</f>
        <v>100</v>
      </c>
      <c r="V23" s="774" t="s">
        <v>17</v>
      </c>
      <c r="W23" s="775">
        <f>J23</f>
        <v>100</v>
      </c>
      <c r="X23" s="1813"/>
      <c r="Y23" s="3302"/>
      <c r="Z23" s="1814" t="str">
        <f>Q23</f>
        <v>自然及人文环境</v>
      </c>
      <c r="AA23" s="1811">
        <f t="shared" si="3"/>
        <v>1</v>
      </c>
      <c r="AB23" s="1811">
        <f t="shared" si="4"/>
        <v>1</v>
      </c>
      <c r="AC23" s="1811">
        <f t="shared" si="5"/>
        <v>1</v>
      </c>
    </row>
    <row r="24" spans="1:29" ht="15">
      <c r="A24" s="428"/>
      <c r="B24" s="456"/>
      <c r="C24" s="447" t="s">
        <v>3253</v>
      </c>
      <c r="D24" s="448"/>
      <c r="E24" s="2605" t="s">
        <v>3253</v>
      </c>
      <c r="F24" s="449"/>
      <c r="G24" s="2604" t="s">
        <v>3253</v>
      </c>
      <c r="H24" s="448"/>
      <c r="I24" s="2605" t="s">
        <v>3253</v>
      </c>
      <c r="J24" s="448"/>
      <c r="K24" s="615"/>
      <c r="L24" s="1140"/>
      <c r="M24" s="1131"/>
      <c r="N24" s="1131"/>
      <c r="O24" s="1131"/>
      <c r="P24" s="3309"/>
      <c r="Q24" s="1810"/>
      <c r="R24" s="774"/>
      <c r="S24" s="775"/>
      <c r="T24" s="774"/>
      <c r="U24" s="775"/>
      <c r="V24" s="774"/>
      <c r="W24" s="775"/>
      <c r="X24" s="1813"/>
      <c r="Y24" s="3302"/>
      <c r="Z24" s="1814"/>
      <c r="AA24" s="1811">
        <v>1</v>
      </c>
      <c r="AB24" s="1811">
        <v>1</v>
      </c>
      <c r="AC24" s="1811">
        <v>1</v>
      </c>
    </row>
    <row r="25" spans="1:29" ht="15">
      <c r="A25" s="428"/>
      <c r="B25" s="422" t="s">
        <v>2654</v>
      </c>
      <c r="C25" s="616" t="s">
        <v>3254</v>
      </c>
      <c r="D25" s="435">
        <v>100</v>
      </c>
      <c r="E25" s="616" t="s">
        <v>3254</v>
      </c>
      <c r="F25" s="461">
        <f>SUMIF(86:86,E25,87:87)-SUMIF(86:86,C25,87:87)+100</f>
        <v>100</v>
      </c>
      <c r="G25" s="616" t="s">
        <v>3254</v>
      </c>
      <c r="H25" s="435">
        <f>SUMIF(86:86,G25,87:87)-SUMIF(86:86,C25,87:87)+100</f>
        <v>100</v>
      </c>
      <c r="I25" s="616" t="s">
        <v>3254</v>
      </c>
      <c r="J25" s="435">
        <f>SUMIF(86:86,I25,87:87)-SUMIF(86:86,C25,87:87)+100</f>
        <v>100</v>
      </c>
      <c r="K25" s="612"/>
      <c r="L25" s="1140"/>
      <c r="M25" s="1131"/>
      <c r="N25" s="1131"/>
      <c r="O25" s="1131"/>
      <c r="P25" s="3309"/>
      <c r="Q25" s="1810" t="str">
        <f t="shared" ref="Q25:Q46" si="11">B25</f>
        <v>临街状况</v>
      </c>
      <c r="R25" s="774" t="s">
        <v>17</v>
      </c>
      <c r="S25" s="775">
        <f>F25</f>
        <v>100</v>
      </c>
      <c r="T25" s="774" t="s">
        <v>17</v>
      </c>
      <c r="U25" s="775">
        <f>H25</f>
        <v>100</v>
      </c>
      <c r="V25" s="774" t="s">
        <v>17</v>
      </c>
      <c r="W25" s="775">
        <f>J25</f>
        <v>100</v>
      </c>
      <c r="X25" s="1813"/>
      <c r="Y25" s="3302"/>
      <c r="Z25" s="1814" t="str">
        <f>Q25</f>
        <v>临街状况</v>
      </c>
      <c r="AA25" s="1811">
        <f t="shared" si="3"/>
        <v>1</v>
      </c>
      <c r="AB25" s="1811">
        <f t="shared" si="4"/>
        <v>1</v>
      </c>
      <c r="AC25" s="1811">
        <f t="shared" si="5"/>
        <v>1</v>
      </c>
    </row>
    <row r="26" spans="1:29" ht="15">
      <c r="A26" s="428"/>
      <c r="B26" s="1386" t="s">
        <v>2655</v>
      </c>
      <c r="C26" s="3054" t="s">
        <v>3259</v>
      </c>
      <c r="D26" s="435">
        <v>100</v>
      </c>
      <c r="E26" s="3054" t="s">
        <v>3259</v>
      </c>
      <c r="F26" s="461">
        <f>SUMIF(88:88,E26,89:89)-SUMIF(88:88,C26,89:89)+100</f>
        <v>100</v>
      </c>
      <c r="G26" s="3054" t="s">
        <v>3259</v>
      </c>
      <c r="H26" s="435">
        <f>SUMIF(88:88,G26,89:89)-SUMIF(88:88,C26,89:89)+100</f>
        <v>100</v>
      </c>
      <c r="I26" s="3054" t="s">
        <v>3259</v>
      </c>
      <c r="J26" s="435">
        <f>SUMIF(88:88,I26,89:89)-SUMIF(88:88,C26,89:89)+100</f>
        <v>100</v>
      </c>
      <c r="K26" s="613"/>
      <c r="L26" s="1140"/>
      <c r="M26" s="1131"/>
      <c r="N26" s="1131"/>
      <c r="O26" s="1131"/>
      <c r="P26" s="3309"/>
      <c r="Q26" s="1810" t="str">
        <f t="shared" si="11"/>
        <v>平面位置/可视性</v>
      </c>
      <c r="R26" s="774" t="s">
        <v>17</v>
      </c>
      <c r="S26" s="775">
        <f>F26</f>
        <v>100</v>
      </c>
      <c r="T26" s="774" t="s">
        <v>17</v>
      </c>
      <c r="U26" s="775">
        <f>H26</f>
        <v>100</v>
      </c>
      <c r="V26" s="774" t="s">
        <v>17</v>
      </c>
      <c r="W26" s="775">
        <f>J26</f>
        <v>100</v>
      </c>
      <c r="X26" s="1813"/>
      <c r="Y26" s="3302"/>
      <c r="Z26" s="1814" t="str">
        <f>Q26</f>
        <v>平面位置/可视性</v>
      </c>
      <c r="AA26" s="1811">
        <f t="shared" si="3"/>
        <v>1</v>
      </c>
      <c r="AB26" s="1811">
        <f t="shared" si="4"/>
        <v>1</v>
      </c>
      <c r="AC26" s="1811">
        <f t="shared" si="5"/>
        <v>1</v>
      </c>
    </row>
    <row r="27" spans="1:29" s="117" customFormat="1" ht="15">
      <c r="A27" s="431"/>
      <c r="B27" s="451" t="s">
        <v>2656</v>
      </c>
      <c r="C27" s="2665" t="s">
        <v>3254</v>
      </c>
      <c r="D27" s="462">
        <v>100</v>
      </c>
      <c r="E27" s="2665" t="s">
        <v>3254</v>
      </c>
      <c r="F27" s="464">
        <f>SUMIF(90:90,E27,91:91)-SUMIF(90:90,C27,91:91)+100</f>
        <v>100</v>
      </c>
      <c r="G27" s="2665" t="s">
        <v>3254</v>
      </c>
      <c r="H27" s="462">
        <f>SUMIF(90:90,G27,91:91)-SUMIF(90:90,C27,91:91)+100</f>
        <v>100</v>
      </c>
      <c r="I27" s="2665" t="s">
        <v>3254</v>
      </c>
      <c r="J27" s="462">
        <f>SUMIF(90:90,I27,91:91)-SUMIF(90:90,C27,91:91)+100</f>
        <v>100</v>
      </c>
      <c r="K27" s="612">
        <v>5</v>
      </c>
      <c r="L27" s="1132"/>
      <c r="M27" s="1133"/>
      <c r="N27" s="1133"/>
      <c r="O27" s="1133"/>
      <c r="P27" s="3309"/>
      <c r="Q27" s="1795" t="str">
        <f t="shared" si="11"/>
        <v>人流量</v>
      </c>
      <c r="R27" s="770" t="s">
        <v>17</v>
      </c>
      <c r="S27" s="771">
        <f>F27</f>
        <v>100</v>
      </c>
      <c r="T27" s="770" t="s">
        <v>17</v>
      </c>
      <c r="U27" s="771">
        <f>H27</f>
        <v>100</v>
      </c>
      <c r="V27" s="770" t="s">
        <v>17</v>
      </c>
      <c r="W27" s="771">
        <f>J27</f>
        <v>100</v>
      </c>
      <c r="X27" s="772"/>
      <c r="Y27" s="3302"/>
      <c r="Z27" s="55" t="str">
        <f>Q27</f>
        <v>人流量</v>
      </c>
      <c r="AA27" s="1811">
        <f>D27/F27</f>
        <v>1</v>
      </c>
      <c r="AB27" s="1811">
        <f>D27/H27</f>
        <v>1</v>
      </c>
      <c r="AC27" s="1811">
        <f>D27/J27</f>
        <v>1</v>
      </c>
    </row>
    <row r="28" spans="1:29" ht="15.75" thickBot="1">
      <c r="A28" s="428"/>
      <c r="B28" s="422" t="s">
        <v>2657</v>
      </c>
      <c r="C28" s="616" t="s">
        <v>3272</v>
      </c>
      <c r="D28" s="435">
        <v>100</v>
      </c>
      <c r="E28" s="616" t="s">
        <v>3272</v>
      </c>
      <c r="F28" s="461">
        <f>SUMIF(92:92,E28,93:93)-SUMIF(92:92,C28,93:93)+100</f>
        <v>100</v>
      </c>
      <c r="G28" s="616" t="s">
        <v>3272</v>
      </c>
      <c r="H28" s="435">
        <f>SUMIF(92:92,G28,93:93)-SUMIF(92:92,C28,93:93)+100</f>
        <v>100</v>
      </c>
      <c r="I28" s="616" t="s">
        <v>3272</v>
      </c>
      <c r="J28" s="435">
        <f>SUMIF(92:92,I28,93:93)-SUMIF(92:92,C28,93:93)+100</f>
        <v>100</v>
      </c>
      <c r="K28" s="613"/>
      <c r="L28" s="1140"/>
      <c r="M28" s="1131"/>
      <c r="N28" s="1131"/>
      <c r="O28" s="1131"/>
      <c r="P28" s="3309"/>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302"/>
      <c r="Z28" s="1814" t="str">
        <f t="shared" ref="Z28:Z46" si="15">Q28</f>
        <v>楼层</v>
      </c>
      <c r="AA28" s="1811">
        <f t="shared" si="3"/>
        <v>1</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09"/>
      <c r="Q29" s="1810">
        <f t="shared" si="11"/>
        <v>111</v>
      </c>
      <c r="R29" s="774" t="s">
        <v>17</v>
      </c>
      <c r="S29" s="775">
        <f t="shared" si="12"/>
        <v>100</v>
      </c>
      <c r="T29" s="774" t="s">
        <v>17</v>
      </c>
      <c r="U29" s="775">
        <f t="shared" si="13"/>
        <v>100</v>
      </c>
      <c r="V29" s="774" t="s">
        <v>17</v>
      </c>
      <c r="W29" s="775">
        <f t="shared" si="14"/>
        <v>100</v>
      </c>
      <c r="X29" s="1813"/>
      <c r="Y29" s="3302"/>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09"/>
      <c r="Q30" s="1810">
        <f t="shared" si="11"/>
        <v>111</v>
      </c>
      <c r="R30" s="774" t="s">
        <v>17</v>
      </c>
      <c r="S30" s="775">
        <f t="shared" si="12"/>
        <v>100</v>
      </c>
      <c r="T30" s="774" t="s">
        <v>17</v>
      </c>
      <c r="U30" s="775">
        <f t="shared" si="13"/>
        <v>100</v>
      </c>
      <c r="V30" s="774" t="s">
        <v>17</v>
      </c>
      <c r="W30" s="775">
        <f t="shared" si="14"/>
        <v>100</v>
      </c>
      <c r="X30" s="1813"/>
      <c r="Y30" s="3302"/>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09"/>
      <c r="Q31" s="1810">
        <f t="shared" si="11"/>
        <v>111</v>
      </c>
      <c r="R31" s="774" t="s">
        <v>17</v>
      </c>
      <c r="S31" s="775">
        <f t="shared" si="12"/>
        <v>100</v>
      </c>
      <c r="T31" s="774" t="s">
        <v>17</v>
      </c>
      <c r="U31" s="775">
        <f t="shared" si="13"/>
        <v>100</v>
      </c>
      <c r="V31" s="774" t="s">
        <v>17</v>
      </c>
      <c r="W31" s="775">
        <f t="shared" si="14"/>
        <v>100</v>
      </c>
      <c r="X31" s="1813"/>
      <c r="Y31" s="3302"/>
      <c r="Z31" s="1814">
        <f t="shared" si="15"/>
        <v>111</v>
      </c>
      <c r="AA31" s="1811">
        <f t="shared" si="3"/>
        <v>1</v>
      </c>
      <c r="AB31" s="1811">
        <f t="shared" si="4"/>
        <v>1</v>
      </c>
      <c r="AC31" s="1811">
        <f t="shared" si="5"/>
        <v>1</v>
      </c>
    </row>
    <row r="32" spans="1:29" ht="15">
      <c r="A32" s="440" t="s">
        <v>2561</v>
      </c>
      <c r="B32" s="71" t="s">
        <v>2658</v>
      </c>
      <c r="C32" s="2617" t="s">
        <v>3262</v>
      </c>
      <c r="D32" s="467">
        <v>100</v>
      </c>
      <c r="E32" s="2617" t="s">
        <v>3266</v>
      </c>
      <c r="F32" s="461">
        <f>SUMIF(100:100,E32,101:101)-SUMIF(100:100,C32,101:101)+100</f>
        <v>96</v>
      </c>
      <c r="G32" s="2617" t="s">
        <v>3264</v>
      </c>
      <c r="H32" s="435">
        <f>SUMIF(100:100,G32,101:101)-SUMIF(100:100,C32,101:101)+100</f>
        <v>98</v>
      </c>
      <c r="I32" s="2617" t="s">
        <v>3266</v>
      </c>
      <c r="J32" s="467">
        <f>SUMIF(100:100,I32,101:101)-SUMIF(100:100,C32,101:101)+100</f>
        <v>96</v>
      </c>
      <c r="K32" s="3060">
        <v>2</v>
      </c>
      <c r="L32" s="1140"/>
      <c r="M32" s="1131"/>
      <c r="N32" s="1131"/>
      <c r="O32" s="1131"/>
      <c r="P32" s="3303" t="s">
        <v>2563</v>
      </c>
      <c r="Q32" s="1810" t="str">
        <f t="shared" si="11"/>
        <v>商业类型</v>
      </c>
      <c r="R32" s="774" t="s">
        <v>17</v>
      </c>
      <c r="S32" s="775">
        <f t="shared" si="12"/>
        <v>96</v>
      </c>
      <c r="T32" s="774" t="s">
        <v>17</v>
      </c>
      <c r="U32" s="775">
        <f t="shared" si="13"/>
        <v>98</v>
      </c>
      <c r="V32" s="774" t="s">
        <v>17</v>
      </c>
      <c r="W32" s="775">
        <f t="shared" si="14"/>
        <v>96</v>
      </c>
      <c r="X32" s="1813"/>
      <c r="Y32" s="3306" t="s">
        <v>2563</v>
      </c>
      <c r="Z32" s="1814" t="str">
        <f t="shared" si="15"/>
        <v>商业类型</v>
      </c>
      <c r="AA32" s="1811">
        <f t="shared" si="3"/>
        <v>1.0416666666666667</v>
      </c>
      <c r="AB32" s="1811">
        <f t="shared" si="4"/>
        <v>1.0204081632653061</v>
      </c>
      <c r="AC32" s="1811">
        <f t="shared" si="5"/>
        <v>1.0416666666666667</v>
      </c>
    </row>
    <row r="33" spans="1:29" s="471" customFormat="1" ht="15">
      <c r="A33" s="468"/>
      <c r="B33" s="422" t="s">
        <v>2564</v>
      </c>
      <c r="C33" s="469">
        <f>'数据-汇总表'!E19</f>
        <v>2191.33</v>
      </c>
      <c r="D33" s="136">
        <v>100</v>
      </c>
      <c r="E33" s="430">
        <v>149</v>
      </c>
      <c r="F33" s="425">
        <f>LOOKUP(E33,103:103,104:104)-LOOKUP(C33,103:103,104:104)+100</f>
        <v>100</v>
      </c>
      <c r="G33" s="429">
        <v>1800</v>
      </c>
      <c r="H33" s="136">
        <f>LOOKUP(G33,103:103,104:104)-LOOKUP(C33,103:103,104:104)+100</f>
        <v>101</v>
      </c>
      <c r="I33" s="429">
        <v>967</v>
      </c>
      <c r="J33" s="136">
        <f>LOOKUP(I33,103:103,104:104)-LOOKUP(C33,103:103,104:104)+100</f>
        <v>100</v>
      </c>
      <c r="K33" s="613"/>
      <c r="L33" s="1138"/>
      <c r="M33" s="1141"/>
      <c r="N33" s="1141"/>
      <c r="O33" s="1141"/>
      <c r="P33" s="3304"/>
      <c r="Q33" s="776" t="str">
        <f t="shared" si="11"/>
        <v>项目建筑规模</v>
      </c>
      <c r="R33" s="777" t="s">
        <v>17</v>
      </c>
      <c r="S33" s="778">
        <f t="shared" si="12"/>
        <v>100</v>
      </c>
      <c r="T33" s="777" t="s">
        <v>17</v>
      </c>
      <c r="U33" s="778">
        <f t="shared" si="13"/>
        <v>101</v>
      </c>
      <c r="V33" s="777" t="s">
        <v>17</v>
      </c>
      <c r="W33" s="778">
        <f t="shared" si="14"/>
        <v>100</v>
      </c>
      <c r="X33" s="779"/>
      <c r="Y33" s="3306"/>
      <c r="Z33" s="780" t="str">
        <f t="shared" si="15"/>
        <v>项目建筑规模</v>
      </c>
      <c r="AA33" s="1811">
        <f t="shared" si="3"/>
        <v>1</v>
      </c>
      <c r="AB33" s="1811">
        <f t="shared" si="4"/>
        <v>0.99009900990099009</v>
      </c>
      <c r="AC33" s="1811">
        <f t="shared" si="5"/>
        <v>1</v>
      </c>
    </row>
    <row r="34" spans="1:29" ht="15" hidden="1">
      <c r="A34" s="472"/>
      <c r="B34" s="422" t="s">
        <v>2565</v>
      </c>
      <c r="C34" s="2619" t="s">
        <v>3268</v>
      </c>
      <c r="D34" s="435">
        <v>100</v>
      </c>
      <c r="E34" s="2619" t="s">
        <v>3268</v>
      </c>
      <c r="F34" s="461">
        <f>SUMIF(105:105,E34,106:106)-SUMIF(105:105,C34,106:106)+100</f>
        <v>100</v>
      </c>
      <c r="G34" s="2619" t="s">
        <v>3268</v>
      </c>
      <c r="H34" s="435">
        <f>SUMIF(105:105,G34,106:106)-SUMIF(105:105,C34,106:106)+100</f>
        <v>100</v>
      </c>
      <c r="I34" s="2619" t="s">
        <v>3268</v>
      </c>
      <c r="J34" s="435">
        <f>SUMIF(105:105,I34,106:106)-SUMIF(105:105,C34,106:106)+100</f>
        <v>100</v>
      </c>
      <c r="K34" s="612"/>
      <c r="L34" s="1140"/>
      <c r="M34" s="1131"/>
      <c r="N34" s="1131"/>
      <c r="O34" s="1131"/>
      <c r="P34" s="3304"/>
      <c r="Q34" s="1810" t="str">
        <f t="shared" si="11"/>
        <v>建筑结构</v>
      </c>
      <c r="R34" s="774" t="s">
        <v>17</v>
      </c>
      <c r="S34" s="775">
        <f t="shared" si="12"/>
        <v>100</v>
      </c>
      <c r="T34" s="774" t="s">
        <v>17</v>
      </c>
      <c r="U34" s="775">
        <f t="shared" si="13"/>
        <v>100</v>
      </c>
      <c r="V34" s="774" t="s">
        <v>17</v>
      </c>
      <c r="W34" s="775">
        <f t="shared" si="14"/>
        <v>100</v>
      </c>
      <c r="X34" s="1813"/>
      <c r="Y34" s="3306"/>
      <c r="Z34" s="1814" t="str">
        <f t="shared" si="15"/>
        <v>建筑结构</v>
      </c>
      <c r="AA34" s="1811">
        <f t="shared" si="3"/>
        <v>1</v>
      </c>
      <c r="AB34" s="1811">
        <f t="shared" si="4"/>
        <v>1</v>
      </c>
      <c r="AC34" s="1811">
        <f t="shared" si="5"/>
        <v>1</v>
      </c>
    </row>
    <row r="35" spans="1:29" ht="15" hidden="1">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304"/>
      <c r="Q35" s="1810" t="str">
        <f t="shared" si="11"/>
        <v>公共部分装修</v>
      </c>
      <c r="R35" s="774" t="s">
        <v>17</v>
      </c>
      <c r="S35" s="775">
        <f t="shared" si="12"/>
        <v>100</v>
      </c>
      <c r="T35" s="774" t="s">
        <v>17</v>
      </c>
      <c r="U35" s="775">
        <f t="shared" si="13"/>
        <v>100</v>
      </c>
      <c r="V35" s="774" t="s">
        <v>17</v>
      </c>
      <c r="W35" s="775">
        <f t="shared" si="14"/>
        <v>100</v>
      </c>
      <c r="X35" s="1813"/>
      <c r="Y35" s="3306"/>
      <c r="Z35" s="1814" t="str">
        <f t="shared" si="15"/>
        <v>公共部分装修</v>
      </c>
      <c r="AA35" s="1811">
        <f t="shared" si="3"/>
        <v>1</v>
      </c>
      <c r="AB35" s="1811">
        <f t="shared" si="4"/>
        <v>1</v>
      </c>
      <c r="AC35" s="1811">
        <f t="shared" si="5"/>
        <v>1</v>
      </c>
    </row>
    <row r="36" spans="1:29" ht="15" hidden="1">
      <c r="A36" s="472"/>
      <c r="B36" s="422" t="s">
        <v>2660</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0"/>
      <c r="M36" s="1131"/>
      <c r="N36" s="1131"/>
      <c r="O36" s="1131"/>
      <c r="P36" s="3304"/>
      <c r="Q36" s="1810" t="str">
        <f t="shared" si="11"/>
        <v>成新度</v>
      </c>
      <c r="R36" s="774" t="s">
        <v>17</v>
      </c>
      <c r="S36" s="775">
        <f t="shared" si="12"/>
        <v>100</v>
      </c>
      <c r="T36" s="774" t="s">
        <v>17</v>
      </c>
      <c r="U36" s="775">
        <f t="shared" si="13"/>
        <v>100</v>
      </c>
      <c r="V36" s="774" t="s">
        <v>17</v>
      </c>
      <c r="W36" s="775">
        <f t="shared" si="14"/>
        <v>100</v>
      </c>
      <c r="X36" s="1813"/>
      <c r="Y36" s="3306"/>
      <c r="Z36" s="1814" t="str">
        <f t="shared" si="15"/>
        <v>成新度</v>
      </c>
      <c r="AA36" s="1811">
        <f t="shared" si="3"/>
        <v>1</v>
      </c>
      <c r="AB36" s="1811">
        <f t="shared" si="4"/>
        <v>1</v>
      </c>
      <c r="AC36" s="1811">
        <f t="shared" si="5"/>
        <v>1</v>
      </c>
    </row>
    <row r="37" spans="1:29" s="117" customFormat="1" ht="15">
      <c r="A37" s="473"/>
      <c r="B37" s="422" t="s">
        <v>2661</v>
      </c>
      <c r="C37" s="2613" t="s">
        <v>3255</v>
      </c>
      <c r="D37" s="136">
        <v>100</v>
      </c>
      <c r="E37" s="2613" t="s">
        <v>3255</v>
      </c>
      <c r="F37" s="461">
        <f>SUMIF(112:112,E37,113:113)-SUMIF(112:112,C37,113:113)+100</f>
        <v>100</v>
      </c>
      <c r="G37" s="2613" t="s">
        <v>3255</v>
      </c>
      <c r="H37" s="435">
        <f>SUMIF(112:112,G37,113:113)-SUMIF(112:112,C37,113:113)+100</f>
        <v>100</v>
      </c>
      <c r="I37" s="2613" t="s">
        <v>3255</v>
      </c>
      <c r="J37" s="435">
        <f>SUMIF(112:112,I37,113:113)-SUMIF(112:112,C37,113:113)+100</f>
        <v>100</v>
      </c>
      <c r="K37" s="612"/>
      <c r="L37" s="1132"/>
      <c r="M37" s="1133"/>
      <c r="N37" s="1133"/>
      <c r="O37" s="1133"/>
      <c r="P37" s="3304"/>
      <c r="Q37" s="1795" t="str">
        <f t="shared" si="11"/>
        <v>市政基础设施</v>
      </c>
      <c r="R37" s="770" t="s">
        <v>17</v>
      </c>
      <c r="S37" s="771">
        <f t="shared" si="12"/>
        <v>100</v>
      </c>
      <c r="T37" s="770" t="s">
        <v>17</v>
      </c>
      <c r="U37" s="771">
        <f t="shared" si="13"/>
        <v>100</v>
      </c>
      <c r="V37" s="770" t="s">
        <v>17</v>
      </c>
      <c r="W37" s="771">
        <f t="shared" si="14"/>
        <v>100</v>
      </c>
      <c r="X37" s="772"/>
      <c r="Y37" s="3306"/>
      <c r="Z37" s="55" t="str">
        <f t="shared" si="15"/>
        <v>市政基础设施</v>
      </c>
      <c r="AA37" s="773">
        <f t="shared" si="3"/>
        <v>1</v>
      </c>
      <c r="AB37" s="773">
        <f t="shared" si="4"/>
        <v>1</v>
      </c>
      <c r="AC37" s="773">
        <f t="shared" si="5"/>
        <v>1</v>
      </c>
    </row>
    <row r="38" spans="1:29" ht="15" hidden="1">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304" t="s">
        <v>2563</v>
      </c>
      <c r="Q38" s="1810" t="str">
        <f t="shared" si="11"/>
        <v>业态</v>
      </c>
      <c r="R38" s="774" t="s">
        <v>17</v>
      </c>
      <c r="S38" s="775">
        <f t="shared" si="12"/>
        <v>100</v>
      </c>
      <c r="T38" s="774" t="s">
        <v>17</v>
      </c>
      <c r="U38" s="775">
        <f t="shared" si="13"/>
        <v>100</v>
      </c>
      <c r="V38" s="774" t="s">
        <v>17</v>
      </c>
      <c r="W38" s="775">
        <f t="shared" si="14"/>
        <v>100</v>
      </c>
      <c r="X38" s="1813"/>
      <c r="Y38" s="3306" t="s">
        <v>2563</v>
      </c>
      <c r="Z38" s="1814" t="str">
        <f t="shared" si="15"/>
        <v>业态</v>
      </c>
      <c r="AA38" s="1811">
        <f t="shared" si="3"/>
        <v>1</v>
      </c>
      <c r="AB38" s="1811">
        <f t="shared" si="4"/>
        <v>1</v>
      </c>
      <c r="AC38" s="1811">
        <f t="shared" si="5"/>
        <v>1</v>
      </c>
    </row>
    <row r="39" spans="1:29" ht="15" hidden="1">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304"/>
      <c r="Q39" s="1810" t="str">
        <f t="shared" si="11"/>
        <v>层高</v>
      </c>
      <c r="R39" s="774" t="s">
        <v>17</v>
      </c>
      <c r="S39" s="775">
        <f t="shared" si="12"/>
        <v>100</v>
      </c>
      <c r="T39" s="774" t="s">
        <v>17</v>
      </c>
      <c r="U39" s="775">
        <f t="shared" si="13"/>
        <v>100</v>
      </c>
      <c r="V39" s="774" t="s">
        <v>17</v>
      </c>
      <c r="W39" s="775">
        <f t="shared" si="14"/>
        <v>100</v>
      </c>
      <c r="X39" s="1813"/>
      <c r="Y39" s="3306"/>
      <c r="Z39" s="1814" t="str">
        <f t="shared" si="15"/>
        <v>层高</v>
      </c>
      <c r="AA39" s="1811">
        <f t="shared" si="3"/>
        <v>1</v>
      </c>
      <c r="AB39" s="1811">
        <f t="shared" si="4"/>
        <v>1</v>
      </c>
      <c r="AC39" s="1811">
        <f t="shared" si="5"/>
        <v>1</v>
      </c>
    </row>
    <row r="40" spans="1:29" ht="15" hidden="1">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04"/>
      <c r="Q40" s="1810" t="str">
        <f t="shared" si="11"/>
        <v>单套建筑面积</v>
      </c>
      <c r="R40" s="774" t="s">
        <v>17</v>
      </c>
      <c r="S40" s="775">
        <f t="shared" si="12"/>
        <v>100</v>
      </c>
      <c r="T40" s="774" t="s">
        <v>17</v>
      </c>
      <c r="U40" s="775">
        <f t="shared" si="13"/>
        <v>100</v>
      </c>
      <c r="V40" s="774" t="s">
        <v>17</v>
      </c>
      <c r="W40" s="775">
        <f t="shared" si="14"/>
        <v>100</v>
      </c>
      <c r="X40" s="1813"/>
      <c r="Y40" s="3306"/>
      <c r="Z40" s="1814" t="str">
        <f t="shared" si="15"/>
        <v>单套建筑面积</v>
      </c>
      <c r="AA40" s="1811">
        <f t="shared" si="3"/>
        <v>1</v>
      </c>
      <c r="AB40" s="1811">
        <f t="shared" si="4"/>
        <v>1</v>
      </c>
      <c r="AC40" s="1811">
        <f t="shared" si="5"/>
        <v>1</v>
      </c>
    </row>
    <row r="41" spans="1:29" s="471" customFormat="1" ht="15" hidden="1">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04"/>
      <c r="Q41" s="776" t="str">
        <f t="shared" si="11"/>
        <v>进深比</v>
      </c>
      <c r="R41" s="777" t="s">
        <v>17</v>
      </c>
      <c r="S41" s="778">
        <f t="shared" si="12"/>
        <v>100</v>
      </c>
      <c r="T41" s="777" t="s">
        <v>17</v>
      </c>
      <c r="U41" s="778">
        <f t="shared" si="13"/>
        <v>100</v>
      </c>
      <c r="V41" s="777" t="s">
        <v>17</v>
      </c>
      <c r="W41" s="778">
        <f t="shared" si="14"/>
        <v>100</v>
      </c>
      <c r="X41" s="779"/>
      <c r="Y41" s="3306"/>
      <c r="Z41" s="780" t="str">
        <f t="shared" si="15"/>
        <v>进深比</v>
      </c>
      <c r="AA41" s="1811">
        <f t="shared" si="3"/>
        <v>1</v>
      </c>
      <c r="AB41" s="1811">
        <f t="shared" si="4"/>
        <v>1</v>
      </c>
      <c r="AC41" s="1811">
        <f t="shared" si="5"/>
        <v>1</v>
      </c>
    </row>
    <row r="42" spans="1:29" ht="15" hidden="1">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304"/>
      <c r="Q42" s="1810" t="str">
        <f t="shared" si="11"/>
        <v>内部装修</v>
      </c>
      <c r="R42" s="774" t="s">
        <v>17</v>
      </c>
      <c r="S42" s="775">
        <f t="shared" si="12"/>
        <v>100</v>
      </c>
      <c r="T42" s="774" t="s">
        <v>17</v>
      </c>
      <c r="U42" s="775">
        <f t="shared" si="13"/>
        <v>100</v>
      </c>
      <c r="V42" s="774" t="s">
        <v>17</v>
      </c>
      <c r="W42" s="775">
        <f t="shared" si="14"/>
        <v>100</v>
      </c>
      <c r="X42" s="1813"/>
      <c r="Y42" s="3306"/>
      <c r="Z42" s="1814" t="str">
        <f t="shared" si="15"/>
        <v>内部装修</v>
      </c>
      <c r="AA42" s="1811">
        <f t="shared" si="3"/>
        <v>1</v>
      </c>
      <c r="AB42" s="1811">
        <f t="shared" si="4"/>
        <v>1</v>
      </c>
      <c r="AC42" s="1811">
        <f t="shared" si="5"/>
        <v>1</v>
      </c>
    </row>
    <row r="43" spans="1:29" ht="15.75" thickBot="1">
      <c r="A43" s="472"/>
      <c r="B43" s="422" t="s">
        <v>2574</v>
      </c>
      <c r="C43" s="2613" t="s">
        <v>3253</v>
      </c>
      <c r="D43" s="435">
        <v>100</v>
      </c>
      <c r="E43" s="2613" t="s">
        <v>3253</v>
      </c>
      <c r="F43" s="461">
        <f>SUMIF(124:124,E43,125:125)-SUMIF(124:124,C43,125:125)+100</f>
        <v>100</v>
      </c>
      <c r="G43" s="2613" t="s">
        <v>3253</v>
      </c>
      <c r="H43" s="435">
        <f>SUMIF(124:124,G43,125:125)-SUMIF(124:124,C43,125:125)+100</f>
        <v>100</v>
      </c>
      <c r="I43" s="2613" t="s">
        <v>3253</v>
      </c>
      <c r="J43" s="435">
        <f>SUMIF(124:124,I43,125:125)-SUMIF(124:124,C43,125:125)+100</f>
        <v>100</v>
      </c>
      <c r="K43" s="612"/>
      <c r="L43" s="1140"/>
      <c r="M43" s="1131"/>
      <c r="N43" s="1131"/>
      <c r="O43" s="1131"/>
      <c r="P43" s="3304"/>
      <c r="Q43" s="1810" t="str">
        <f t="shared" si="11"/>
        <v>内部装修维护情况</v>
      </c>
      <c r="R43" s="774" t="s">
        <v>17</v>
      </c>
      <c r="S43" s="775">
        <f t="shared" si="12"/>
        <v>100</v>
      </c>
      <c r="T43" s="774" t="s">
        <v>17</v>
      </c>
      <c r="U43" s="775">
        <f t="shared" si="13"/>
        <v>100</v>
      </c>
      <c r="V43" s="774" t="s">
        <v>17</v>
      </c>
      <c r="W43" s="775">
        <f t="shared" si="14"/>
        <v>100</v>
      </c>
      <c r="X43" s="1813"/>
      <c r="Y43" s="3306"/>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04"/>
      <c r="Q44" s="1795">
        <f t="shared" si="11"/>
        <v>111</v>
      </c>
      <c r="R44" s="770" t="s">
        <v>17</v>
      </c>
      <c r="S44" s="771">
        <f t="shared" si="12"/>
        <v>100</v>
      </c>
      <c r="T44" s="770" t="s">
        <v>17</v>
      </c>
      <c r="U44" s="771">
        <f t="shared" si="13"/>
        <v>100</v>
      </c>
      <c r="V44" s="770" t="s">
        <v>17</v>
      </c>
      <c r="W44" s="771">
        <f t="shared" si="14"/>
        <v>100</v>
      </c>
      <c r="X44" s="772"/>
      <c r="Y44" s="3306"/>
      <c r="Z44" s="55">
        <f t="shared" si="15"/>
        <v>111</v>
      </c>
      <c r="AA44" s="773">
        <f t="shared" si="3"/>
        <v>1</v>
      </c>
      <c r="AB44" s="773">
        <f t="shared" si="4"/>
        <v>1</v>
      </c>
      <c r="AC44" s="773">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04"/>
      <c r="Q45" s="1810">
        <f t="shared" si="11"/>
        <v>111</v>
      </c>
      <c r="R45" s="774" t="s">
        <v>17</v>
      </c>
      <c r="S45" s="775">
        <f t="shared" si="12"/>
        <v>100</v>
      </c>
      <c r="T45" s="774" t="s">
        <v>17</v>
      </c>
      <c r="U45" s="775">
        <f t="shared" si="13"/>
        <v>100</v>
      </c>
      <c r="V45" s="774" t="s">
        <v>17</v>
      </c>
      <c r="W45" s="775">
        <f t="shared" si="14"/>
        <v>100</v>
      </c>
      <c r="X45" s="1813"/>
      <c r="Y45" s="3306"/>
      <c r="Z45" s="1814">
        <f t="shared" si="15"/>
        <v>111</v>
      </c>
      <c r="AA45" s="1811">
        <f t="shared" si="3"/>
        <v>1</v>
      </c>
      <c r="AB45" s="1811">
        <f t="shared" si="4"/>
        <v>1</v>
      </c>
      <c r="AC45" s="1811">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05"/>
      <c r="Q46" s="1810">
        <f t="shared" si="11"/>
        <v>111</v>
      </c>
      <c r="R46" s="774" t="s">
        <v>17</v>
      </c>
      <c r="S46" s="775">
        <f t="shared" si="12"/>
        <v>100</v>
      </c>
      <c r="T46" s="774" t="s">
        <v>17</v>
      </c>
      <c r="U46" s="775">
        <f t="shared" si="13"/>
        <v>100</v>
      </c>
      <c r="V46" s="774" t="s">
        <v>17</v>
      </c>
      <c r="W46" s="775">
        <f t="shared" si="14"/>
        <v>100</v>
      </c>
      <c r="X46" s="1813"/>
      <c r="Y46" s="3307"/>
      <c r="Z46" s="1814">
        <f t="shared" si="15"/>
        <v>111</v>
      </c>
      <c r="AA46" s="1811">
        <f t="shared" si="3"/>
        <v>1</v>
      </c>
      <c r="AB46" s="1811">
        <f t="shared" si="4"/>
        <v>1</v>
      </c>
      <c r="AC46" s="1811">
        <f t="shared" si="5"/>
        <v>1</v>
      </c>
    </row>
    <row r="47" spans="1:29" ht="15">
      <c r="A47" s="479" t="s">
        <v>2575</v>
      </c>
      <c r="B47" s="480"/>
      <c r="C47" s="1407" t="s">
        <v>1</v>
      </c>
      <c r="D47" s="1408"/>
      <c r="E47" s="1409">
        <v>15973</v>
      </c>
      <c r="F47" s="1410"/>
      <c r="G47" s="1411">
        <v>15000</v>
      </c>
      <c r="H47" s="1412"/>
      <c r="I47" s="1409">
        <v>14468</v>
      </c>
      <c r="J47" s="1412"/>
      <c r="K47" s="783"/>
      <c r="L47" s="1143"/>
      <c r="M47" s="1144"/>
      <c r="N47" s="1131"/>
      <c r="O47" s="1144"/>
      <c r="P47" s="3299" t="str">
        <f>A47</f>
        <v>成交单价（元/平方米）</v>
      </c>
      <c r="Q47" s="3299"/>
      <c r="R47" s="3330">
        <f>E47</f>
        <v>15973</v>
      </c>
      <c r="S47" s="3330"/>
      <c r="T47" s="3330">
        <f>G47</f>
        <v>15000</v>
      </c>
      <c r="U47" s="3330"/>
      <c r="V47" s="3330">
        <f>I47</f>
        <v>14468</v>
      </c>
      <c r="W47" s="3330"/>
      <c r="X47" s="759"/>
      <c r="Y47" s="781"/>
      <c r="Z47" s="759"/>
      <c r="AA47" s="759"/>
      <c r="AB47" s="759"/>
      <c r="AC47" s="759"/>
    </row>
    <row r="48" spans="1:29" ht="15.75" thickBot="1">
      <c r="A48" s="486" t="s">
        <v>2667</v>
      </c>
      <c r="B48" s="487"/>
      <c r="C48" s="1413">
        <f>R49</f>
        <v>16001</v>
      </c>
      <c r="D48" s="1414"/>
      <c r="E48" s="1415">
        <f>R48</f>
        <v>17695</v>
      </c>
      <c r="F48" s="1415"/>
      <c r="G48" s="1413">
        <f>T48</f>
        <v>15005</v>
      </c>
      <c r="H48" s="1414"/>
      <c r="I48" s="1415">
        <f>V48</f>
        <v>15304</v>
      </c>
      <c r="J48" s="1414"/>
      <c r="K48" s="784"/>
      <c r="L48" s="1143"/>
      <c r="M48" s="1144"/>
      <c r="N48" s="1131"/>
      <c r="O48" s="1144"/>
      <c r="P48" s="3299" t="str">
        <f>A48</f>
        <v>比较价值（元/平方米）</v>
      </c>
      <c r="Q48" s="3299"/>
      <c r="R48" s="3300">
        <f>IF(F1="售价",ROUND(PRODUCT(R47,AA7:AA46),0),ROUND(PRODUCT(R47,AA7:AA46),1))</f>
        <v>17695</v>
      </c>
      <c r="S48" s="3300"/>
      <c r="T48" s="3300">
        <f>IF(F1="售价",ROUND(PRODUCT(T47,AB7:AB46),0),ROUND(PRODUCT(T47,AB7:AB46),1))</f>
        <v>15005</v>
      </c>
      <c r="U48" s="3300"/>
      <c r="V48" s="3300">
        <f>IF(F1="售价",ROUND(PRODUCT(V47,AC7:AC46),0),ROUND(PRODUCT(V47,AC7:AC46),1))</f>
        <v>15304</v>
      </c>
      <c r="W48" s="3300"/>
      <c r="X48" s="759"/>
      <c r="Y48" s="759"/>
      <c r="Z48" s="759"/>
      <c r="AA48" s="759"/>
      <c r="AB48" s="759"/>
      <c r="AC48" s="759"/>
    </row>
    <row r="49" spans="1:29" ht="15.75" thickBot="1">
      <c r="A49" s="492" t="s">
        <v>2668</v>
      </c>
      <c r="B49" s="493"/>
      <c r="C49" s="1417">
        <f>R49</f>
        <v>16001</v>
      </c>
      <c r="D49" s="1417"/>
      <c r="E49" s="1417"/>
      <c r="F49" s="1417"/>
      <c r="G49" s="1417"/>
      <c r="H49" s="1417"/>
      <c r="I49" s="1417"/>
      <c r="J49" s="1417"/>
      <c r="K49" s="785"/>
      <c r="L49" s="1143"/>
      <c r="M49" s="1144"/>
      <c r="N49" s="1131"/>
      <c r="O49" s="1144"/>
      <c r="P49" s="3296" t="str">
        <f>A49</f>
        <v>估价对象XX用房的比较价值（楼面单价，元/平方米）</v>
      </c>
      <c r="Q49" s="3297"/>
      <c r="R49" s="3298">
        <f>IF(F1="售价",ROUND(AVERAGE(R48:V48),0),ROUND(AVERAGE(R48:V48),1))</f>
        <v>16001</v>
      </c>
      <c r="S49" s="3298"/>
      <c r="T49" s="3298"/>
      <c r="U49" s="3298"/>
      <c r="V49" s="3298"/>
      <c r="W49" s="329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f>IF(E47&lt;E48,E48/E47-1,E47/E48-1)</f>
        <v>0.10780692418456139</v>
      </c>
      <c r="F52" s="500" t="str">
        <f>IF(OR(E52&gt;=0.3,E52&lt;=-0.3),"超过30%","")</f>
        <v/>
      </c>
      <c r="G52" s="499">
        <f>IF(G47&lt;G48,G48/G47-1,G47/G48-1)</f>
        <v>3.3333333333329662E-4</v>
      </c>
      <c r="H52" s="500" t="str">
        <f>IF(OR(G52&gt;=0.3,G52&lt;=-0.3),"超过30%","")</f>
        <v/>
      </c>
      <c r="I52" s="499">
        <f>IF(I47&lt;I48,I48/I47-1,I47/I48-1)</f>
        <v>5.7782692839369654E-2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f>IF(E48&lt;G48,G48/E48-1,E48/G48-1)</f>
        <v>0.1792735754748418</v>
      </c>
      <c r="F53" s="500" t="str">
        <f>IF(OR(E53&gt;=0.2,E53&lt;=-0.2),"超过20%","")</f>
        <v/>
      </c>
      <c r="G53" s="499">
        <f>IF(G48&lt;I48,I48/G48-1,G48/I48-1)</f>
        <v>1.9926691102965632E-2</v>
      </c>
      <c r="H53" s="500" t="str">
        <f>IF(OR(G53&gt;=0.2,G53&lt;=-0.2),"超过20%","")</f>
        <v/>
      </c>
      <c r="I53" s="499">
        <f>IF(I48&lt;E48,E48/I48-1,I48/E48-1)</f>
        <v>0.15623366440146369</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f>IF(E47&lt;G47,G47/E47-1,E47/G47-1)</f>
        <v>6.4866666666666628E-2</v>
      </c>
      <c r="F54" s="500" t="str">
        <f>IF(OR(E54&gt;=0.3,E54&lt;=-0.3),"超过30%","")</f>
        <v/>
      </c>
      <c r="G54" s="499">
        <f>IF(G47&lt;I47,I47/G47-1,G47/I47-1)</f>
        <v>3.6770804534144386E-2</v>
      </c>
      <c r="H54" s="500" t="str">
        <f>IF(OR(G54&gt;=0.3,G54&lt;=-0.3),"超过30%","")</f>
        <v/>
      </c>
      <c r="I54" s="499">
        <f>IF(I47&lt;E47,E47/I47-1,I47/E47-1)</f>
        <v>0.10402267072159255</v>
      </c>
      <c r="J54" s="500" t="str">
        <f>IF(OR(I54&gt;=0.3,I54&lt;=-0.3),"超过30%","")</f>
        <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3050" t="s">
        <v>3250</v>
      </c>
      <c r="E61" s="523"/>
      <c r="F61" s="523"/>
      <c r="G61" s="523"/>
      <c r="H61" s="523"/>
      <c r="I61" s="523"/>
      <c r="J61" s="523"/>
      <c r="K61" s="523"/>
      <c r="L61" s="524"/>
      <c r="M61" s="525"/>
      <c r="N61" s="1151"/>
      <c r="O61" s="1151"/>
      <c r="P61" s="2629"/>
      <c r="Q61" s="504"/>
    </row>
    <row r="62" spans="1:29" s="117" customFormat="1" ht="15.75" thickBot="1">
      <c r="A62" s="521"/>
      <c r="B62" s="510"/>
      <c r="C62" s="511">
        <v>100</v>
      </c>
      <c r="D62" s="512">
        <v>101</v>
      </c>
      <c r="E62" s="512"/>
      <c r="F62" s="512"/>
      <c r="G62" s="512"/>
      <c r="H62" s="512"/>
      <c r="I62" s="512"/>
      <c r="J62" s="512"/>
      <c r="K62" s="512"/>
      <c r="L62" s="512"/>
      <c r="M62" s="514"/>
      <c r="N62" s="1151"/>
      <c r="O62" s="1151"/>
      <c r="P62" s="2628"/>
      <c r="Q62" s="504"/>
    </row>
    <row r="63" spans="1:29">
      <c r="A63" s="527" t="s">
        <v>2586</v>
      </c>
      <c r="B63" s="528" t="s">
        <v>2552</v>
      </c>
      <c r="C63" s="529" t="str">
        <f>C9</f>
        <v>商业</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30"/>
      <c r="Q66" s="504"/>
    </row>
    <row r="67" spans="1:17" ht="15.75" thickTop="1">
      <c r="A67" s="534"/>
      <c r="B67" s="546" t="s">
        <v>2556</v>
      </c>
      <c r="C67" s="547" t="str">
        <f>C68&amp;"（含）"&amp;"-"&amp;D68</f>
        <v>1（含）-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v>1</v>
      </c>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97.5</v>
      </c>
      <c r="E79" s="544">
        <f>D79-$K17</f>
        <v>95</v>
      </c>
      <c r="F79" s="544">
        <f>E79-$K17</f>
        <v>92.5</v>
      </c>
      <c r="G79" s="544">
        <f>F79-$K17</f>
        <v>90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30"/>
      <c r="Q85" s="504"/>
    </row>
    <row r="86" spans="1:17" s="117" customFormat="1" ht="15.75" thickTop="1">
      <c r="A86" s="579"/>
      <c r="B86" s="538" t="s">
        <v>2678</v>
      </c>
      <c r="C86" s="3052" t="s">
        <v>3259</v>
      </c>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3052" t="s">
        <v>3257</v>
      </c>
      <c r="D88" s="3052" t="s">
        <v>3258</v>
      </c>
      <c r="E88" s="3052" t="s">
        <v>3259</v>
      </c>
      <c r="F88" s="3053" t="s">
        <v>3260</v>
      </c>
      <c r="G88" s="3052" t="s">
        <v>3261</v>
      </c>
      <c r="H88" s="554"/>
      <c r="I88" s="554"/>
      <c r="J88" s="554"/>
      <c r="K88" s="554"/>
      <c r="L88" s="554"/>
      <c r="M88" s="581"/>
      <c r="N88" s="1151"/>
      <c r="O88" s="1151"/>
      <c r="P88" s="2630"/>
      <c r="Q88" s="504"/>
    </row>
    <row r="89" spans="1:17" s="117" customFormat="1" ht="15.75" thickBot="1">
      <c r="A89" s="579"/>
      <c r="B89" s="543"/>
      <c r="C89" s="560">
        <v>100</v>
      </c>
      <c r="D89" s="536">
        <v>99</v>
      </c>
      <c r="E89" s="536">
        <v>98</v>
      </c>
      <c r="F89" s="536">
        <v>97</v>
      </c>
      <c r="G89" s="536">
        <v>96</v>
      </c>
      <c r="H89" s="536"/>
      <c r="I89" s="536"/>
      <c r="J89" s="536"/>
      <c r="K89" s="536"/>
      <c r="L89" s="536"/>
      <c r="M89" s="536"/>
      <c r="N89" s="1153"/>
      <c r="O89" s="1153"/>
      <c r="P89" s="2630"/>
      <c r="Q89" s="504"/>
    </row>
    <row r="90" spans="1:17" s="471" customFormat="1" ht="15.75" thickTop="1">
      <c r="A90" s="553"/>
      <c r="B90" s="538" t="str">
        <f>B27</f>
        <v>人流量</v>
      </c>
      <c r="C90" s="3052" t="s">
        <v>3257</v>
      </c>
      <c r="D90" s="3052" t="s">
        <v>3258</v>
      </c>
      <c r="E90" s="3052" t="s">
        <v>3259</v>
      </c>
      <c r="F90" s="3052" t="s">
        <v>3260</v>
      </c>
      <c r="G90" s="3052" t="s">
        <v>3261</v>
      </c>
      <c r="H90" s="555"/>
      <c r="I90" s="555"/>
      <c r="J90" s="555"/>
      <c r="K90" s="555"/>
      <c r="L90" s="556"/>
      <c r="M90" s="557"/>
      <c r="N90" s="1154"/>
      <c r="O90" s="1154"/>
      <c r="P90" s="2631"/>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1"/>
      <c r="Q91" s="559"/>
    </row>
    <row r="92" spans="1:17" ht="15.75" thickTop="1">
      <c r="A92" s="534"/>
      <c r="B92" s="538" t="str">
        <f>B28</f>
        <v>楼层</v>
      </c>
      <c r="C92" s="554" t="s">
        <v>3271</v>
      </c>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3055" t="s">
        <v>3263</v>
      </c>
      <c r="D100" s="3055" t="s">
        <v>3265</v>
      </c>
      <c r="E100" s="3055" t="s">
        <v>3267</v>
      </c>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30"/>
      <c r="Q101" s="504"/>
    </row>
    <row r="102" spans="1:17" ht="29.25" thickTop="1">
      <c r="A102" s="534"/>
      <c r="B102" s="538" t="s">
        <v>2611</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v>0</v>
      </c>
      <c r="D103" s="595">
        <v>1000</v>
      </c>
      <c r="E103" s="595">
        <v>2000</v>
      </c>
      <c r="F103" s="595">
        <v>3000</v>
      </c>
      <c r="G103" s="595"/>
      <c r="H103" s="595"/>
      <c r="I103" s="595"/>
      <c r="J103" s="596"/>
      <c r="K103" s="596"/>
      <c r="L103" s="597"/>
      <c r="M103" s="598"/>
      <c r="N103" s="1154"/>
      <c r="O103" s="1154"/>
      <c r="P103" s="2631"/>
      <c r="Q103" s="559"/>
    </row>
    <row r="104" spans="1:17" s="471" customFormat="1" ht="15.75" thickBot="1">
      <c r="A104" s="553"/>
      <c r="B104" s="543"/>
      <c r="C104" s="560">
        <v>99</v>
      </c>
      <c r="D104" s="536">
        <v>100</v>
      </c>
      <c r="E104" s="536">
        <v>99</v>
      </c>
      <c r="F104" s="536">
        <v>98</v>
      </c>
      <c r="G104" s="536"/>
      <c r="H104" s="536"/>
      <c r="I104" s="536"/>
      <c r="J104" s="536"/>
      <c r="K104" s="536"/>
      <c r="L104" s="536"/>
      <c r="M104" s="537"/>
      <c r="N104" s="1153"/>
      <c r="O104" s="1153"/>
      <c r="P104" s="2631"/>
      <c r="Q104" s="559"/>
    </row>
    <row r="105" spans="1:17" ht="15" thickTop="1">
      <c r="A105" s="599"/>
      <c r="B105" s="538" t="s">
        <v>2612</v>
      </c>
      <c r="C105" s="3052" t="s">
        <v>3269</v>
      </c>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3052" t="s">
        <v>3270</v>
      </c>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2191.33</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50" t="s">
        <v>2649</v>
      </c>
      <c r="Q4" s="3351"/>
      <c r="R4" s="3354" t="s">
        <v>2645</v>
      </c>
      <c r="S4" s="3355"/>
      <c r="T4" s="3354" t="s">
        <v>2646</v>
      </c>
      <c r="U4" s="3355"/>
      <c r="V4" s="3356" t="s">
        <v>2647</v>
      </c>
      <c r="W4" s="3356"/>
      <c r="X4" s="2670"/>
      <c r="Y4" s="3354" t="s">
        <v>2649</v>
      </c>
      <c r="Z4" s="3355"/>
      <c r="AA4" s="3358" t="s">
        <v>2645</v>
      </c>
      <c r="AB4" s="3358" t="s">
        <v>2646</v>
      </c>
      <c r="AC4" s="3347" t="s">
        <v>2647</v>
      </c>
    </row>
    <row r="5" spans="1:29" ht="15">
      <c r="A5" s="404"/>
      <c r="B5" s="405"/>
      <c r="C5" s="3333" t="s">
        <v>2540</v>
      </c>
      <c r="D5" s="3334"/>
      <c r="E5" s="3340" t="s">
        <v>2541</v>
      </c>
      <c r="F5" s="3341"/>
      <c r="G5" s="3333" t="s">
        <v>2542</v>
      </c>
      <c r="H5" s="3334"/>
      <c r="I5" s="3333" t="s">
        <v>2543</v>
      </c>
      <c r="J5" s="3334"/>
      <c r="K5" s="610"/>
      <c r="L5" s="1130"/>
      <c r="M5" s="1131"/>
      <c r="N5" s="1131"/>
      <c r="O5" s="1131"/>
      <c r="P5" s="3352"/>
      <c r="Q5" s="3321"/>
      <c r="R5" s="3326"/>
      <c r="S5" s="3327"/>
      <c r="T5" s="3326"/>
      <c r="U5" s="3327"/>
      <c r="V5" s="3330"/>
      <c r="W5" s="3330"/>
      <c r="X5" s="1813"/>
      <c r="Y5" s="3326"/>
      <c r="Z5" s="3327"/>
      <c r="AA5" s="3312"/>
      <c r="AB5" s="3312"/>
      <c r="AC5" s="3348"/>
    </row>
    <row r="6" spans="1:29" ht="15.75" thickBot="1">
      <c r="A6" s="406"/>
      <c r="B6" s="407"/>
      <c r="C6" s="3331" t="s">
        <v>2544</v>
      </c>
      <c r="D6" s="3332"/>
      <c r="E6" s="3338" t="s">
        <v>2544</v>
      </c>
      <c r="F6" s="3339"/>
      <c r="G6" s="3331" t="s">
        <v>2544</v>
      </c>
      <c r="H6" s="3332"/>
      <c r="I6" s="3331" t="s">
        <v>2544</v>
      </c>
      <c r="J6" s="3332"/>
      <c r="K6" s="610" t="s">
        <v>2545</v>
      </c>
      <c r="L6" s="1130"/>
      <c r="M6" s="1131"/>
      <c r="N6" s="1131"/>
      <c r="O6" s="1131"/>
      <c r="P6" s="3353"/>
      <c r="Q6" s="3323"/>
      <c r="R6" s="3326"/>
      <c r="S6" s="3327"/>
      <c r="T6" s="3328"/>
      <c r="U6" s="3329"/>
      <c r="V6" s="3330"/>
      <c r="W6" s="3330"/>
      <c r="X6" s="1813"/>
      <c r="Y6" s="3328"/>
      <c r="Z6" s="3329"/>
      <c r="AA6" s="3313"/>
      <c r="AB6" s="3313"/>
      <c r="AC6" s="3349"/>
    </row>
    <row r="7" spans="1:29" s="117" customFormat="1" ht="15.75" thickBot="1">
      <c r="A7" s="408" t="s">
        <v>2546</v>
      </c>
      <c r="B7" s="409"/>
      <c r="C7" s="410">
        <f>'数据-取费表'!B2</f>
        <v>43817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57" t="s">
        <v>2547</v>
      </c>
      <c r="Q7" s="3337"/>
      <c r="R7" s="770" t="s">
        <v>17</v>
      </c>
      <c r="S7" s="771">
        <f t="shared" ref="S7:S15" si="0">F7</f>
        <v>0</v>
      </c>
      <c r="T7" s="770" t="s">
        <v>17</v>
      </c>
      <c r="U7" s="771">
        <f t="shared" ref="U7:U15" si="1">H7</f>
        <v>0</v>
      </c>
      <c r="V7" s="770" t="s">
        <v>17</v>
      </c>
      <c r="W7" s="771">
        <f t="shared" ref="W7:W15" si="2">J7</f>
        <v>0</v>
      </c>
      <c r="X7" s="772"/>
      <c r="Y7" s="3335" t="s">
        <v>2547</v>
      </c>
      <c r="Z7" s="3336"/>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57" t="s">
        <v>2550</v>
      </c>
      <c r="Q8" s="3336"/>
      <c r="R8" s="770" t="s">
        <v>17</v>
      </c>
      <c r="S8" s="771">
        <f t="shared" si="0"/>
        <v>0</v>
      </c>
      <c r="T8" s="770" t="s">
        <v>17</v>
      </c>
      <c r="U8" s="771">
        <f t="shared" si="1"/>
        <v>0</v>
      </c>
      <c r="V8" s="770" t="s">
        <v>17</v>
      </c>
      <c r="W8" s="771">
        <f t="shared" si="2"/>
        <v>0</v>
      </c>
      <c r="X8" s="772"/>
      <c r="Y8" s="3335" t="s">
        <v>2550</v>
      </c>
      <c r="Z8" s="3336"/>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310"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310"/>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310"/>
      <c r="Q11" s="1795"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310"/>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310"/>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310"/>
      <c r="Q14" s="1795">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08" t="s">
        <v>2558</v>
      </c>
      <c r="Q15" s="1810" t="str">
        <f t="shared" si="6"/>
        <v>办公集聚程度</v>
      </c>
      <c r="R15" s="774" t="s">
        <v>17</v>
      </c>
      <c r="S15" s="775">
        <f t="shared" si="0"/>
        <v>100</v>
      </c>
      <c r="T15" s="774" t="s">
        <v>17</v>
      </c>
      <c r="U15" s="775">
        <f t="shared" si="1"/>
        <v>100</v>
      </c>
      <c r="V15" s="774" t="s">
        <v>17</v>
      </c>
      <c r="W15" s="775">
        <f t="shared" si="2"/>
        <v>100</v>
      </c>
      <c r="X15" s="1813"/>
      <c r="Y15" s="3301"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309"/>
      <c r="Q16" s="1810"/>
      <c r="R16" s="774"/>
      <c r="S16" s="775"/>
      <c r="T16" s="774"/>
      <c r="U16" s="775"/>
      <c r="V16" s="774"/>
      <c r="W16" s="775"/>
      <c r="X16" s="1813"/>
      <c r="Y16" s="3302"/>
      <c r="Z16" s="1814"/>
      <c r="AA16" s="1811">
        <v>1</v>
      </c>
      <c r="AB16" s="1811">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09"/>
      <c r="Q17" s="1810" t="str">
        <f>B17</f>
        <v>交通便捷度</v>
      </c>
      <c r="R17" s="774" t="s">
        <v>17</v>
      </c>
      <c r="S17" s="775">
        <f>F17</f>
        <v>100</v>
      </c>
      <c r="T17" s="774" t="s">
        <v>17</v>
      </c>
      <c r="U17" s="775">
        <f>H17</f>
        <v>100</v>
      </c>
      <c r="V17" s="774" t="s">
        <v>17</v>
      </c>
      <c r="W17" s="775">
        <f>J17</f>
        <v>100</v>
      </c>
      <c r="X17" s="1813"/>
      <c r="Y17" s="3302"/>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309"/>
      <c r="Q18" s="1810"/>
      <c r="R18" s="774"/>
      <c r="S18" s="775"/>
      <c r="T18" s="774"/>
      <c r="U18" s="775"/>
      <c r="V18" s="774"/>
      <c r="W18" s="775"/>
      <c r="X18" s="1813"/>
      <c r="Y18" s="3302"/>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09"/>
      <c r="Q19" s="1810" t="str">
        <f>B19</f>
        <v>公共配套设施</v>
      </c>
      <c r="R19" s="774" t="s">
        <v>17</v>
      </c>
      <c r="S19" s="775">
        <f>F19</f>
        <v>100</v>
      </c>
      <c r="T19" s="774" t="s">
        <v>17</v>
      </c>
      <c r="U19" s="775">
        <f>H19</f>
        <v>100</v>
      </c>
      <c r="V19" s="774" t="s">
        <v>17</v>
      </c>
      <c r="W19" s="775">
        <f>J19</f>
        <v>100</v>
      </c>
      <c r="X19" s="1813"/>
      <c r="Y19" s="3302"/>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309"/>
      <c r="Q20" s="1810"/>
      <c r="R20" s="774"/>
      <c r="S20" s="775"/>
      <c r="T20" s="774"/>
      <c r="U20" s="775"/>
      <c r="V20" s="774"/>
      <c r="W20" s="775"/>
      <c r="X20" s="1813"/>
      <c r="Y20" s="3302"/>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09"/>
      <c r="Q21" s="1810" t="str">
        <f>B21</f>
        <v>基础设施水平</v>
      </c>
      <c r="R21" s="774" t="s">
        <v>17</v>
      </c>
      <c r="S21" s="775">
        <f>F21</f>
        <v>100</v>
      </c>
      <c r="T21" s="774" t="s">
        <v>17</v>
      </c>
      <c r="U21" s="775">
        <f>H21</f>
        <v>100</v>
      </c>
      <c r="V21" s="774" t="s">
        <v>17</v>
      </c>
      <c r="W21" s="775">
        <f>J21</f>
        <v>100</v>
      </c>
      <c r="X21" s="1813"/>
      <c r="Y21" s="3302"/>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309"/>
      <c r="Q22" s="1810"/>
      <c r="R22" s="774"/>
      <c r="S22" s="775"/>
      <c r="T22" s="774"/>
      <c r="U22" s="775"/>
      <c r="V22" s="774"/>
      <c r="W22" s="775"/>
      <c r="X22" s="1813"/>
      <c r="Y22" s="3302"/>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09"/>
      <c r="Q23" s="1810" t="str">
        <f>B23</f>
        <v>环境质量</v>
      </c>
      <c r="R23" s="774" t="s">
        <v>17</v>
      </c>
      <c r="S23" s="775">
        <f>F23</f>
        <v>100</v>
      </c>
      <c r="T23" s="774" t="s">
        <v>17</v>
      </c>
      <c r="U23" s="775">
        <f>H23</f>
        <v>100</v>
      </c>
      <c r="V23" s="774" t="s">
        <v>17</v>
      </c>
      <c r="W23" s="775">
        <f>J23</f>
        <v>100</v>
      </c>
      <c r="X23" s="1813"/>
      <c r="Y23" s="3302"/>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309"/>
      <c r="Q24" s="1810"/>
      <c r="R24" s="774"/>
      <c r="S24" s="775"/>
      <c r="T24" s="774"/>
      <c r="U24" s="775"/>
      <c r="V24" s="774"/>
      <c r="W24" s="775"/>
      <c r="X24" s="1813"/>
      <c r="Y24" s="3302"/>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309"/>
      <c r="Q25" s="1810" t="str">
        <f>B25</f>
        <v>毗邻道路的类型与等级</v>
      </c>
      <c r="R25" s="774" t="s">
        <v>17</v>
      </c>
      <c r="S25" s="775">
        <f>F25</f>
        <v>100</v>
      </c>
      <c r="T25" s="774" t="s">
        <v>17</v>
      </c>
      <c r="U25" s="775">
        <f>H25</f>
        <v>100</v>
      </c>
      <c r="V25" s="774" t="s">
        <v>17</v>
      </c>
      <c r="W25" s="775">
        <f>J25</f>
        <v>100</v>
      </c>
      <c r="X25" s="1813"/>
      <c r="Y25" s="3302"/>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309"/>
      <c r="Q26" s="1810"/>
      <c r="R26" s="774"/>
      <c r="S26" s="775"/>
      <c r="T26" s="774"/>
      <c r="U26" s="775"/>
      <c r="V26" s="774"/>
      <c r="W26" s="775"/>
      <c r="X26" s="1813"/>
      <c r="Y26" s="3302"/>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09"/>
      <c r="Q27" s="1810" t="str">
        <f t="shared" ref="Q27:Q47" si="11">B27</f>
        <v>楼层</v>
      </c>
      <c r="R27" s="774" t="s">
        <v>17</v>
      </c>
      <c r="S27" s="775">
        <f>F27</f>
        <v>100</v>
      </c>
      <c r="T27" s="774" t="s">
        <v>17</v>
      </c>
      <c r="U27" s="775">
        <f>H27</f>
        <v>100</v>
      </c>
      <c r="V27" s="774" t="s">
        <v>17</v>
      </c>
      <c r="W27" s="775">
        <f>J27</f>
        <v>100</v>
      </c>
      <c r="X27" s="1813"/>
      <c r="Y27" s="3302"/>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309"/>
      <c r="Q28" s="1795" t="str">
        <f t="shared" si="11"/>
        <v>朝向</v>
      </c>
      <c r="R28" s="770" t="s">
        <v>17</v>
      </c>
      <c r="S28" s="771">
        <f>F28</f>
        <v>100</v>
      </c>
      <c r="T28" s="770" t="s">
        <v>17</v>
      </c>
      <c r="U28" s="771">
        <f>H28</f>
        <v>100</v>
      </c>
      <c r="V28" s="770" t="s">
        <v>17</v>
      </c>
      <c r="W28" s="771">
        <f>J28</f>
        <v>100</v>
      </c>
      <c r="X28" s="772"/>
      <c r="Y28" s="3302"/>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309"/>
      <c r="Q29" s="1810">
        <f t="shared" si="11"/>
        <v>111</v>
      </c>
      <c r="R29" s="774" t="s">
        <v>17</v>
      </c>
      <c r="S29" s="775">
        <f t="shared" ref="S29:S47" si="12">F29</f>
        <v>100</v>
      </c>
      <c r="T29" s="774" t="s">
        <v>17</v>
      </c>
      <c r="U29" s="775">
        <f t="shared" ref="U29:U47" si="13">H29</f>
        <v>100</v>
      </c>
      <c r="V29" s="774" t="s">
        <v>17</v>
      </c>
      <c r="W29" s="775">
        <f t="shared" ref="W29:W47" si="14">J29</f>
        <v>100</v>
      </c>
      <c r="X29" s="1813"/>
      <c r="Y29" s="3302"/>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309"/>
      <c r="Q30" s="1810">
        <f t="shared" si="11"/>
        <v>111</v>
      </c>
      <c r="R30" s="774" t="s">
        <v>17</v>
      </c>
      <c r="S30" s="775">
        <f t="shared" si="12"/>
        <v>100</v>
      </c>
      <c r="T30" s="774" t="s">
        <v>17</v>
      </c>
      <c r="U30" s="775">
        <f t="shared" si="13"/>
        <v>100</v>
      </c>
      <c r="V30" s="774" t="s">
        <v>17</v>
      </c>
      <c r="W30" s="775">
        <f t="shared" si="14"/>
        <v>100</v>
      </c>
      <c r="X30" s="1813"/>
      <c r="Y30" s="3302"/>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309"/>
      <c r="Q31" s="1810">
        <f t="shared" si="11"/>
        <v>111</v>
      </c>
      <c r="R31" s="774" t="s">
        <v>17</v>
      </c>
      <c r="S31" s="775">
        <f t="shared" si="12"/>
        <v>100</v>
      </c>
      <c r="T31" s="774" t="s">
        <v>17</v>
      </c>
      <c r="U31" s="775">
        <f t="shared" si="13"/>
        <v>100</v>
      </c>
      <c r="V31" s="774" t="s">
        <v>17</v>
      </c>
      <c r="W31" s="775">
        <f t="shared" si="14"/>
        <v>100</v>
      </c>
      <c r="X31" s="1813"/>
      <c r="Y31" s="3302"/>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309"/>
      <c r="Q32" s="1810">
        <f t="shared" si="11"/>
        <v>111</v>
      </c>
      <c r="R32" s="774" t="s">
        <v>17</v>
      </c>
      <c r="S32" s="775">
        <f t="shared" si="12"/>
        <v>100</v>
      </c>
      <c r="T32" s="774" t="s">
        <v>17</v>
      </c>
      <c r="U32" s="775">
        <f t="shared" si="13"/>
        <v>100</v>
      </c>
      <c r="V32" s="774" t="s">
        <v>17</v>
      </c>
      <c r="W32" s="775">
        <f t="shared" si="14"/>
        <v>100</v>
      </c>
      <c r="X32" s="1813"/>
      <c r="Y32" s="3302"/>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303" t="s">
        <v>2563</v>
      </c>
      <c r="Q33" s="1810" t="str">
        <f t="shared" si="11"/>
        <v>建筑类型</v>
      </c>
      <c r="R33" s="774" t="s">
        <v>17</v>
      </c>
      <c r="S33" s="775">
        <f t="shared" si="12"/>
        <v>100</v>
      </c>
      <c r="T33" s="774" t="s">
        <v>17</v>
      </c>
      <c r="U33" s="775">
        <f t="shared" si="13"/>
        <v>100</v>
      </c>
      <c r="V33" s="774" t="s">
        <v>17</v>
      </c>
      <c r="W33" s="775">
        <f t="shared" si="14"/>
        <v>100</v>
      </c>
      <c r="X33" s="1813"/>
      <c r="Y33" s="3306"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04"/>
      <c r="Q34" s="776" t="str">
        <f t="shared" si="11"/>
        <v>项目建筑规模</v>
      </c>
      <c r="R34" s="777" t="s">
        <v>17</v>
      </c>
      <c r="S34" s="778" t="e">
        <f t="shared" si="12"/>
        <v>#N/A</v>
      </c>
      <c r="T34" s="777" t="s">
        <v>17</v>
      </c>
      <c r="U34" s="778" t="e">
        <f t="shared" si="13"/>
        <v>#N/A</v>
      </c>
      <c r="V34" s="777" t="s">
        <v>17</v>
      </c>
      <c r="W34" s="778" t="e">
        <f t="shared" si="14"/>
        <v>#N/A</v>
      </c>
      <c r="X34" s="779"/>
      <c r="Y34" s="3306"/>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04"/>
      <c r="Q35" s="1810" t="str">
        <f t="shared" si="11"/>
        <v>建筑结构</v>
      </c>
      <c r="R35" s="774" t="s">
        <v>17</v>
      </c>
      <c r="S35" s="775">
        <f t="shared" si="12"/>
        <v>100</v>
      </c>
      <c r="T35" s="774" t="s">
        <v>17</v>
      </c>
      <c r="U35" s="775">
        <f t="shared" si="13"/>
        <v>100</v>
      </c>
      <c r="V35" s="774" t="s">
        <v>17</v>
      </c>
      <c r="W35" s="775">
        <f t="shared" si="14"/>
        <v>100</v>
      </c>
      <c r="X35" s="1813"/>
      <c r="Y35" s="3306"/>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04"/>
      <c r="Q36" s="1810" t="str">
        <f t="shared" si="11"/>
        <v>公共部分装修</v>
      </c>
      <c r="R36" s="774" t="s">
        <v>17</v>
      </c>
      <c r="S36" s="775">
        <f t="shared" si="12"/>
        <v>100</v>
      </c>
      <c r="T36" s="774" t="s">
        <v>17</v>
      </c>
      <c r="U36" s="775">
        <f t="shared" si="13"/>
        <v>100</v>
      </c>
      <c r="V36" s="774" t="s">
        <v>17</v>
      </c>
      <c r="W36" s="775">
        <f t="shared" si="14"/>
        <v>100</v>
      </c>
      <c r="X36" s="1813"/>
      <c r="Y36" s="3306"/>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04"/>
      <c r="Q37" s="1810" t="str">
        <f t="shared" si="11"/>
        <v>成新度</v>
      </c>
      <c r="R37" s="774" t="s">
        <v>17</v>
      </c>
      <c r="S37" s="775" t="e">
        <f t="shared" si="12"/>
        <v>#N/A</v>
      </c>
      <c r="T37" s="774" t="s">
        <v>17</v>
      </c>
      <c r="U37" s="775" t="e">
        <f t="shared" si="13"/>
        <v>#N/A</v>
      </c>
      <c r="V37" s="774" t="s">
        <v>17</v>
      </c>
      <c r="W37" s="775" t="e">
        <f t="shared" si="14"/>
        <v>#N/A</v>
      </c>
      <c r="X37" s="1813"/>
      <c r="Y37" s="3306"/>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04"/>
      <c r="Q38" s="1795" t="str">
        <f t="shared" si="11"/>
        <v>写字楼等级</v>
      </c>
      <c r="R38" s="770" t="s">
        <v>17</v>
      </c>
      <c r="S38" s="771">
        <f t="shared" si="12"/>
        <v>100</v>
      </c>
      <c r="T38" s="770" t="s">
        <v>17</v>
      </c>
      <c r="U38" s="771">
        <f t="shared" si="13"/>
        <v>100</v>
      </c>
      <c r="V38" s="770" t="s">
        <v>17</v>
      </c>
      <c r="W38" s="771">
        <f t="shared" si="14"/>
        <v>100</v>
      </c>
      <c r="X38" s="772"/>
      <c r="Y38" s="3306"/>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04" t="s">
        <v>2563</v>
      </c>
      <c r="Q39" s="1810" t="str">
        <f t="shared" si="11"/>
        <v>物业管理</v>
      </c>
      <c r="R39" s="774" t="s">
        <v>17</v>
      </c>
      <c r="S39" s="775">
        <f t="shared" si="12"/>
        <v>100</v>
      </c>
      <c r="T39" s="774" t="s">
        <v>17</v>
      </c>
      <c r="U39" s="775">
        <f t="shared" si="13"/>
        <v>100</v>
      </c>
      <c r="V39" s="774" t="s">
        <v>17</v>
      </c>
      <c r="W39" s="775">
        <f t="shared" si="14"/>
        <v>100</v>
      </c>
      <c r="X39" s="1813"/>
      <c r="Y39" s="3306"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04"/>
      <c r="Q40" s="1810" t="str">
        <f t="shared" si="11"/>
        <v>市政基础设施</v>
      </c>
      <c r="R40" s="774" t="s">
        <v>17</v>
      </c>
      <c r="S40" s="775">
        <f t="shared" si="12"/>
        <v>100</v>
      </c>
      <c r="T40" s="774" t="s">
        <v>17</v>
      </c>
      <c r="U40" s="775">
        <f t="shared" si="13"/>
        <v>100</v>
      </c>
      <c r="V40" s="774" t="s">
        <v>17</v>
      </c>
      <c r="W40" s="775">
        <f t="shared" si="14"/>
        <v>100</v>
      </c>
      <c r="X40" s="1813"/>
      <c r="Y40" s="3306"/>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04"/>
      <c r="Q41" s="1810" t="str">
        <f t="shared" si="11"/>
        <v>层高</v>
      </c>
      <c r="R41" s="774" t="s">
        <v>17</v>
      </c>
      <c r="S41" s="775">
        <f t="shared" si="12"/>
        <v>100</v>
      </c>
      <c r="T41" s="774" t="s">
        <v>17</v>
      </c>
      <c r="U41" s="775">
        <f t="shared" si="13"/>
        <v>100</v>
      </c>
      <c r="V41" s="774" t="s">
        <v>17</v>
      </c>
      <c r="W41" s="775">
        <f t="shared" si="14"/>
        <v>100</v>
      </c>
      <c r="X41" s="1813"/>
      <c r="Y41" s="3306"/>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04"/>
      <c r="Q42" s="776" t="str">
        <f t="shared" si="11"/>
        <v>单套建筑面积</v>
      </c>
      <c r="R42" s="777" t="s">
        <v>17</v>
      </c>
      <c r="S42" s="778">
        <f t="shared" si="12"/>
        <v>100</v>
      </c>
      <c r="T42" s="777" t="s">
        <v>17</v>
      </c>
      <c r="U42" s="778">
        <f t="shared" si="13"/>
        <v>100</v>
      </c>
      <c r="V42" s="777" t="s">
        <v>17</v>
      </c>
      <c r="W42" s="778">
        <f t="shared" si="14"/>
        <v>100</v>
      </c>
      <c r="X42" s="779"/>
      <c r="Y42" s="3306"/>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04"/>
      <c r="Q43" s="1810" t="str">
        <f t="shared" si="11"/>
        <v>内部装修</v>
      </c>
      <c r="R43" s="774" t="s">
        <v>17</v>
      </c>
      <c r="S43" s="775">
        <f t="shared" si="12"/>
        <v>100</v>
      </c>
      <c r="T43" s="774" t="s">
        <v>17</v>
      </c>
      <c r="U43" s="775">
        <f t="shared" si="13"/>
        <v>100</v>
      </c>
      <c r="V43" s="774" t="s">
        <v>17</v>
      </c>
      <c r="W43" s="775">
        <f t="shared" si="14"/>
        <v>100</v>
      </c>
      <c r="X43" s="1813"/>
      <c r="Y43" s="3306"/>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304"/>
      <c r="Q44" s="1810" t="str">
        <f t="shared" si="11"/>
        <v>内部装修维护情况</v>
      </c>
      <c r="R44" s="774" t="s">
        <v>17</v>
      </c>
      <c r="S44" s="775">
        <f t="shared" si="12"/>
        <v>100</v>
      </c>
      <c r="T44" s="774" t="s">
        <v>17</v>
      </c>
      <c r="U44" s="775">
        <f t="shared" si="13"/>
        <v>100</v>
      </c>
      <c r="V44" s="774" t="s">
        <v>17</v>
      </c>
      <c r="W44" s="775">
        <f t="shared" si="14"/>
        <v>100</v>
      </c>
      <c r="X44" s="1813"/>
      <c r="Y44" s="3306"/>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04"/>
      <c r="Q45" s="1795">
        <f t="shared" si="11"/>
        <v>111</v>
      </c>
      <c r="R45" s="770" t="s">
        <v>17</v>
      </c>
      <c r="S45" s="771">
        <f t="shared" si="12"/>
        <v>100</v>
      </c>
      <c r="T45" s="770" t="s">
        <v>17</v>
      </c>
      <c r="U45" s="771">
        <f t="shared" si="13"/>
        <v>100</v>
      </c>
      <c r="V45" s="770" t="s">
        <v>17</v>
      </c>
      <c r="W45" s="771">
        <f t="shared" si="14"/>
        <v>100</v>
      </c>
      <c r="X45" s="772"/>
      <c r="Y45" s="3306"/>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04"/>
      <c r="Q46" s="1810">
        <f t="shared" si="11"/>
        <v>111</v>
      </c>
      <c r="R46" s="774" t="s">
        <v>17</v>
      </c>
      <c r="S46" s="775">
        <f t="shared" si="12"/>
        <v>100</v>
      </c>
      <c r="T46" s="774" t="s">
        <v>17</v>
      </c>
      <c r="U46" s="775">
        <f t="shared" si="13"/>
        <v>100</v>
      </c>
      <c r="V46" s="774" t="s">
        <v>17</v>
      </c>
      <c r="W46" s="775">
        <f t="shared" si="14"/>
        <v>100</v>
      </c>
      <c r="X46" s="1813"/>
      <c r="Y46" s="3306"/>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05"/>
      <c r="Q47" s="1810">
        <f t="shared" si="11"/>
        <v>111</v>
      </c>
      <c r="R47" s="774" t="s">
        <v>17</v>
      </c>
      <c r="S47" s="775">
        <f t="shared" si="12"/>
        <v>100</v>
      </c>
      <c r="T47" s="774" t="s">
        <v>17</v>
      </c>
      <c r="U47" s="775">
        <f t="shared" si="13"/>
        <v>100</v>
      </c>
      <c r="V47" s="774" t="s">
        <v>17</v>
      </c>
      <c r="W47" s="775">
        <f t="shared" si="14"/>
        <v>100</v>
      </c>
      <c r="X47" s="1813"/>
      <c r="Y47" s="3307"/>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310" t="str">
        <f>A48</f>
        <v>成交单价（元/平方米）</v>
      </c>
      <c r="Q48" s="3299"/>
      <c r="R48" s="3300">
        <f>E48</f>
        <v>0</v>
      </c>
      <c r="S48" s="3300"/>
      <c r="T48" s="3300">
        <f>G48</f>
        <v>0</v>
      </c>
      <c r="U48" s="3300"/>
      <c r="V48" s="3300">
        <f>I48</f>
        <v>0</v>
      </c>
      <c r="W48" s="3300"/>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310"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344" t="str">
        <f>A50</f>
        <v>估价对象XX用房的比较价值（楼面单价，元/平方米）</v>
      </c>
      <c r="Q50" s="3345"/>
      <c r="R50" s="3346" t="e">
        <f>IF(F1="售价",ROUND(AVERAGE(R49:V49),0),ROUND(AVERAGE(R49:V49),1))</f>
        <v>#DIV/0!</v>
      </c>
      <c r="S50" s="3346"/>
      <c r="T50" s="3346"/>
      <c r="U50" s="3346"/>
      <c r="V50" s="3346"/>
      <c r="W50" s="3346"/>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12" t="s">
        <v>2646</v>
      </c>
      <c r="AC4" s="3311" t="s">
        <v>2647</v>
      </c>
    </row>
    <row r="5" spans="1:29" ht="15">
      <c r="A5" s="404"/>
      <c r="B5" s="405"/>
      <c r="C5" s="3333" t="s">
        <v>2540</v>
      </c>
      <c r="D5" s="3334"/>
      <c r="E5" s="3340" t="s">
        <v>2541</v>
      </c>
      <c r="F5" s="3341"/>
      <c r="G5" s="3333" t="s">
        <v>2542</v>
      </c>
      <c r="H5" s="3334"/>
      <c r="I5" s="3333" t="s">
        <v>2543</v>
      </c>
      <c r="J5" s="3334"/>
      <c r="K5" s="610"/>
      <c r="L5" s="1130"/>
      <c r="M5" s="1131"/>
      <c r="N5" s="1131"/>
      <c r="O5" s="1131"/>
      <c r="P5" s="3320"/>
      <c r="Q5" s="3321"/>
      <c r="R5" s="3326"/>
      <c r="S5" s="3327"/>
      <c r="T5" s="3326"/>
      <c r="U5" s="3327"/>
      <c r="V5" s="3330"/>
      <c r="W5" s="3330"/>
      <c r="X5" s="1813"/>
      <c r="Y5" s="3326"/>
      <c r="Z5" s="3327"/>
      <c r="AA5" s="3312"/>
      <c r="AB5" s="3312"/>
      <c r="AC5" s="3312"/>
    </row>
    <row r="6" spans="1:29" ht="15.75" thickBot="1">
      <c r="A6" s="406"/>
      <c r="B6" s="407"/>
      <c r="C6" s="3331" t="s">
        <v>2544</v>
      </c>
      <c r="D6" s="3332"/>
      <c r="E6" s="3338" t="s">
        <v>2544</v>
      </c>
      <c r="F6" s="3339"/>
      <c r="G6" s="3331" t="s">
        <v>2544</v>
      </c>
      <c r="H6" s="3332"/>
      <c r="I6" s="3331" t="s">
        <v>2544</v>
      </c>
      <c r="J6" s="3332"/>
      <c r="K6" s="610" t="s">
        <v>2545</v>
      </c>
      <c r="L6" s="1130"/>
      <c r="M6" s="1131"/>
      <c r="N6" s="1131"/>
      <c r="O6" s="1131"/>
      <c r="P6" s="3322"/>
      <c r="Q6" s="3323"/>
      <c r="R6" s="3326"/>
      <c r="S6" s="3327"/>
      <c r="T6" s="3328"/>
      <c r="U6" s="3329"/>
      <c r="V6" s="3330"/>
      <c r="W6" s="3330"/>
      <c r="X6" s="1813"/>
      <c r="Y6" s="3328"/>
      <c r="Z6" s="3329"/>
      <c r="AA6" s="3313"/>
      <c r="AB6" s="3313"/>
      <c r="AC6" s="3313"/>
    </row>
    <row r="7" spans="1:29" s="117" customFormat="1" ht="15.75" thickBot="1">
      <c r="A7" s="408" t="s">
        <v>2546</v>
      </c>
      <c r="B7" s="409"/>
      <c r="C7" s="410">
        <f>'数据-取费表'!B2</f>
        <v>43817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35" t="s">
        <v>2547</v>
      </c>
      <c r="Q7" s="3337"/>
      <c r="R7" s="770" t="s">
        <v>17</v>
      </c>
      <c r="S7" s="771">
        <f t="shared" ref="S7:S15" si="0">F7</f>
        <v>0</v>
      </c>
      <c r="T7" s="770" t="s">
        <v>17</v>
      </c>
      <c r="U7" s="771">
        <f t="shared" ref="U7:U15" si="1">H7</f>
        <v>0</v>
      </c>
      <c r="V7" s="770" t="s">
        <v>17</v>
      </c>
      <c r="W7" s="771">
        <f t="shared" ref="W7:W15" si="2">J7</f>
        <v>0</v>
      </c>
      <c r="X7" s="772"/>
      <c r="Y7" s="3335" t="s">
        <v>2547</v>
      </c>
      <c r="Z7" s="333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35" t="s">
        <v>2550</v>
      </c>
      <c r="Q8" s="3336"/>
      <c r="R8" s="770" t="s">
        <v>17</v>
      </c>
      <c r="S8" s="771">
        <f t="shared" si="0"/>
        <v>0</v>
      </c>
      <c r="T8" s="770" t="s">
        <v>17</v>
      </c>
      <c r="U8" s="771">
        <f t="shared" si="1"/>
        <v>0</v>
      </c>
      <c r="V8" s="770" t="s">
        <v>17</v>
      </c>
      <c r="W8" s="771">
        <f t="shared" si="2"/>
        <v>0</v>
      </c>
      <c r="X8" s="772"/>
      <c r="Y8" s="3335" t="s">
        <v>2550</v>
      </c>
      <c r="Z8" s="333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99"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99"/>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99"/>
      <c r="Q11" s="1795"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99"/>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99"/>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99"/>
      <c r="Q14" s="1795">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301" t="s">
        <v>2558</v>
      </c>
      <c r="Q15" s="1810" t="str">
        <f t="shared" si="6"/>
        <v>产业集聚程度</v>
      </c>
      <c r="R15" s="774" t="s">
        <v>17</v>
      </c>
      <c r="S15" s="775">
        <f t="shared" si="0"/>
        <v>100</v>
      </c>
      <c r="T15" s="774" t="s">
        <v>17</v>
      </c>
      <c r="U15" s="775">
        <f t="shared" si="1"/>
        <v>100</v>
      </c>
      <c r="V15" s="774" t="s">
        <v>17</v>
      </c>
      <c r="W15" s="775">
        <f t="shared" si="2"/>
        <v>100</v>
      </c>
      <c r="X15" s="1813"/>
      <c r="Y15" s="3301"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302"/>
      <c r="Q16" s="1810"/>
      <c r="R16" s="774"/>
      <c r="S16" s="775"/>
      <c r="T16" s="774"/>
      <c r="U16" s="775"/>
      <c r="V16" s="774"/>
      <c r="W16" s="775"/>
      <c r="X16" s="1813"/>
      <c r="Y16" s="3302"/>
      <c r="Z16" s="1814"/>
      <c r="AA16" s="1811">
        <v>1</v>
      </c>
      <c r="AB16" s="1811">
        <v>1</v>
      </c>
      <c r="AC16" s="1811">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302"/>
      <c r="Q17" s="1810" t="str">
        <f>B17</f>
        <v>交通便捷度</v>
      </c>
      <c r="R17" s="774" t="s">
        <v>17</v>
      </c>
      <c r="S17" s="775">
        <f>F17</f>
        <v>100</v>
      </c>
      <c r="T17" s="774" t="s">
        <v>17</v>
      </c>
      <c r="U17" s="775">
        <f>H17</f>
        <v>100</v>
      </c>
      <c r="V17" s="774" t="s">
        <v>17</v>
      </c>
      <c r="W17" s="775">
        <f>J17</f>
        <v>100</v>
      </c>
      <c r="X17" s="1813"/>
      <c r="Y17" s="3302"/>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302"/>
      <c r="Q18" s="1810"/>
      <c r="R18" s="774"/>
      <c r="S18" s="775"/>
      <c r="T18" s="774"/>
      <c r="U18" s="775"/>
      <c r="V18" s="774"/>
      <c r="W18" s="775"/>
      <c r="X18" s="1813"/>
      <c r="Y18" s="3302"/>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302"/>
      <c r="Q19" s="1810" t="str">
        <f>B19</f>
        <v>公共配套设施</v>
      </c>
      <c r="R19" s="774" t="s">
        <v>17</v>
      </c>
      <c r="S19" s="775">
        <f>F19</f>
        <v>100</v>
      </c>
      <c r="T19" s="774" t="s">
        <v>17</v>
      </c>
      <c r="U19" s="775">
        <f>H19</f>
        <v>100</v>
      </c>
      <c r="V19" s="774" t="s">
        <v>17</v>
      </c>
      <c r="W19" s="775">
        <f>J19</f>
        <v>100</v>
      </c>
      <c r="X19" s="1813"/>
      <c r="Y19" s="3302"/>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302"/>
      <c r="Q20" s="1810"/>
      <c r="R20" s="774"/>
      <c r="S20" s="775"/>
      <c r="T20" s="774"/>
      <c r="U20" s="775"/>
      <c r="V20" s="774"/>
      <c r="W20" s="775"/>
      <c r="X20" s="1813"/>
      <c r="Y20" s="3302"/>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302"/>
      <c r="Q21" s="1810" t="str">
        <f>B21</f>
        <v>基础设施水平</v>
      </c>
      <c r="R21" s="774" t="s">
        <v>17</v>
      </c>
      <c r="S21" s="775">
        <f>F21</f>
        <v>100</v>
      </c>
      <c r="T21" s="774" t="s">
        <v>17</v>
      </c>
      <c r="U21" s="775">
        <f>H21</f>
        <v>100</v>
      </c>
      <c r="V21" s="774" t="s">
        <v>17</v>
      </c>
      <c r="W21" s="775">
        <f>J21</f>
        <v>100</v>
      </c>
      <c r="X21" s="1813"/>
      <c r="Y21" s="3302"/>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302"/>
      <c r="Q22" s="1810"/>
      <c r="R22" s="774"/>
      <c r="S22" s="775"/>
      <c r="T22" s="774"/>
      <c r="U22" s="775"/>
      <c r="V22" s="774"/>
      <c r="W22" s="775"/>
      <c r="X22" s="1813"/>
      <c r="Y22" s="3302"/>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302"/>
      <c r="Q23" s="1810" t="str">
        <f>B23</f>
        <v>环境质量</v>
      </c>
      <c r="R23" s="774" t="s">
        <v>17</v>
      </c>
      <c r="S23" s="775">
        <f>F23</f>
        <v>100</v>
      </c>
      <c r="T23" s="774" t="s">
        <v>17</v>
      </c>
      <c r="U23" s="775">
        <f>H23</f>
        <v>100</v>
      </c>
      <c r="V23" s="774" t="s">
        <v>17</v>
      </c>
      <c r="W23" s="775">
        <f>J23</f>
        <v>100</v>
      </c>
      <c r="X23" s="1813"/>
      <c r="Y23" s="3302"/>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302"/>
      <c r="Q24" s="1810"/>
      <c r="R24" s="774"/>
      <c r="S24" s="775"/>
      <c r="T24" s="774"/>
      <c r="U24" s="775"/>
      <c r="V24" s="774"/>
      <c r="W24" s="775"/>
      <c r="X24" s="1813"/>
      <c r="Y24" s="3302"/>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302"/>
      <c r="Q25" s="1810">
        <f>B25</f>
        <v>111</v>
      </c>
      <c r="R25" s="774" t="s">
        <v>17</v>
      </c>
      <c r="S25" s="775">
        <f>F25</f>
        <v>100</v>
      </c>
      <c r="T25" s="774" t="s">
        <v>17</v>
      </c>
      <c r="U25" s="775">
        <f>H25</f>
        <v>100</v>
      </c>
      <c r="V25" s="774" t="s">
        <v>17</v>
      </c>
      <c r="W25" s="775">
        <f>J25</f>
        <v>100</v>
      </c>
      <c r="X25" s="1813"/>
      <c r="Y25" s="3302"/>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302"/>
      <c r="Q26" s="1810">
        <f t="shared" ref="Q26:Q40" si="11">B26</f>
        <v>111</v>
      </c>
      <c r="R26" s="774" t="s">
        <v>17</v>
      </c>
      <c r="S26" s="775">
        <f>F26</f>
        <v>100</v>
      </c>
      <c r="T26" s="774" t="s">
        <v>17</v>
      </c>
      <c r="U26" s="775">
        <f>H26</f>
        <v>100</v>
      </c>
      <c r="V26" s="774" t="s">
        <v>17</v>
      </c>
      <c r="W26" s="775">
        <f>J26</f>
        <v>100</v>
      </c>
      <c r="X26" s="1813"/>
      <c r="Y26" s="3302"/>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302"/>
      <c r="Q27" s="1795">
        <f t="shared" si="11"/>
        <v>111</v>
      </c>
      <c r="R27" s="770" t="s">
        <v>17</v>
      </c>
      <c r="S27" s="771">
        <f>F27</f>
        <v>100</v>
      </c>
      <c r="T27" s="770" t="s">
        <v>17</v>
      </c>
      <c r="U27" s="771">
        <f>H27</f>
        <v>100</v>
      </c>
      <c r="V27" s="770" t="s">
        <v>17</v>
      </c>
      <c r="W27" s="771">
        <f>J27</f>
        <v>100</v>
      </c>
      <c r="X27" s="772"/>
      <c r="Y27" s="3302"/>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302"/>
      <c r="Q28" s="1810">
        <f t="shared" si="11"/>
        <v>111</v>
      </c>
      <c r="R28" s="774" t="s">
        <v>17</v>
      </c>
      <c r="S28" s="775">
        <f t="shared" ref="S28:S40" si="12">F28</f>
        <v>100</v>
      </c>
      <c r="T28" s="774" t="s">
        <v>17</v>
      </c>
      <c r="U28" s="775">
        <f t="shared" ref="U28:U40" si="13">H28</f>
        <v>100</v>
      </c>
      <c r="V28" s="774" t="s">
        <v>17</v>
      </c>
      <c r="W28" s="775">
        <f t="shared" ref="W28:W40" si="14">J28</f>
        <v>100</v>
      </c>
      <c r="X28" s="1813"/>
      <c r="Y28" s="3302"/>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359" t="s">
        <v>2563</v>
      </c>
      <c r="Q29" s="1810" t="str">
        <f t="shared" si="11"/>
        <v>建筑类型</v>
      </c>
      <c r="R29" s="774" t="s">
        <v>17</v>
      </c>
      <c r="S29" s="775">
        <f t="shared" si="12"/>
        <v>100</v>
      </c>
      <c r="T29" s="774" t="s">
        <v>17</v>
      </c>
      <c r="U29" s="775">
        <f t="shared" si="13"/>
        <v>100</v>
      </c>
      <c r="V29" s="774" t="s">
        <v>17</v>
      </c>
      <c r="W29" s="775">
        <f t="shared" si="14"/>
        <v>100</v>
      </c>
      <c r="X29" s="1813"/>
      <c r="Y29" s="3306"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306"/>
      <c r="Q30" s="776" t="str">
        <f t="shared" si="11"/>
        <v>项目建筑规模</v>
      </c>
      <c r="R30" s="777" t="s">
        <v>17</v>
      </c>
      <c r="S30" s="778" t="e">
        <f t="shared" si="12"/>
        <v>#N/A</v>
      </c>
      <c r="T30" s="777" t="s">
        <v>17</v>
      </c>
      <c r="U30" s="778" t="e">
        <f t="shared" si="13"/>
        <v>#N/A</v>
      </c>
      <c r="V30" s="777" t="s">
        <v>17</v>
      </c>
      <c r="W30" s="778" t="e">
        <f t="shared" si="14"/>
        <v>#N/A</v>
      </c>
      <c r="X30" s="779"/>
      <c r="Y30" s="3306"/>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306"/>
      <c r="Q31" s="1810" t="str">
        <f t="shared" si="11"/>
        <v>建筑结构</v>
      </c>
      <c r="R31" s="774" t="s">
        <v>17</v>
      </c>
      <c r="S31" s="775">
        <f t="shared" si="12"/>
        <v>100</v>
      </c>
      <c r="T31" s="774" t="s">
        <v>17</v>
      </c>
      <c r="U31" s="775">
        <f t="shared" si="13"/>
        <v>100</v>
      </c>
      <c r="V31" s="774" t="s">
        <v>17</v>
      </c>
      <c r="W31" s="775">
        <f t="shared" si="14"/>
        <v>100</v>
      </c>
      <c r="X31" s="1813"/>
      <c r="Y31" s="3306"/>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306"/>
      <c r="Q32" s="1810" t="str">
        <f t="shared" si="11"/>
        <v>公共部分装修</v>
      </c>
      <c r="R32" s="774" t="s">
        <v>17</v>
      </c>
      <c r="S32" s="775">
        <f t="shared" si="12"/>
        <v>100</v>
      </c>
      <c r="T32" s="774" t="s">
        <v>17</v>
      </c>
      <c r="U32" s="775">
        <f t="shared" si="13"/>
        <v>100</v>
      </c>
      <c r="V32" s="774" t="s">
        <v>17</v>
      </c>
      <c r="W32" s="775">
        <f t="shared" si="14"/>
        <v>100</v>
      </c>
      <c r="X32" s="1813"/>
      <c r="Y32" s="3306"/>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306"/>
      <c r="Q33" s="1810" t="str">
        <f t="shared" si="11"/>
        <v>成新度</v>
      </c>
      <c r="R33" s="774" t="s">
        <v>17</v>
      </c>
      <c r="S33" s="775" t="e">
        <f t="shared" si="12"/>
        <v>#N/A</v>
      </c>
      <c r="T33" s="774" t="s">
        <v>17</v>
      </c>
      <c r="U33" s="775" t="e">
        <f t="shared" si="13"/>
        <v>#N/A</v>
      </c>
      <c r="V33" s="774" t="s">
        <v>17</v>
      </c>
      <c r="W33" s="775" t="e">
        <f t="shared" si="14"/>
        <v>#N/A</v>
      </c>
      <c r="X33" s="1813"/>
      <c r="Y33" s="3306"/>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306"/>
      <c r="Q34" s="1795" t="str">
        <f t="shared" si="11"/>
        <v>物业管理</v>
      </c>
      <c r="R34" s="770" t="s">
        <v>17</v>
      </c>
      <c r="S34" s="771">
        <f t="shared" si="12"/>
        <v>100</v>
      </c>
      <c r="T34" s="770" t="s">
        <v>17</v>
      </c>
      <c r="U34" s="771">
        <f t="shared" si="13"/>
        <v>100</v>
      </c>
      <c r="V34" s="770" t="s">
        <v>17</v>
      </c>
      <c r="W34" s="771">
        <f t="shared" si="14"/>
        <v>100</v>
      </c>
      <c r="X34" s="772"/>
      <c r="Y34" s="3306"/>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306" t="s">
        <v>2563</v>
      </c>
      <c r="Q35" s="1810" t="str">
        <f t="shared" si="11"/>
        <v>市政基础设施</v>
      </c>
      <c r="R35" s="774" t="s">
        <v>17</v>
      </c>
      <c r="S35" s="775">
        <f t="shared" si="12"/>
        <v>100</v>
      </c>
      <c r="T35" s="774" t="s">
        <v>17</v>
      </c>
      <c r="U35" s="775">
        <f t="shared" si="13"/>
        <v>100</v>
      </c>
      <c r="V35" s="774" t="s">
        <v>17</v>
      </c>
      <c r="W35" s="775">
        <f t="shared" si="14"/>
        <v>100</v>
      </c>
      <c r="X35" s="1813"/>
      <c r="Y35" s="3306"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306"/>
      <c r="Q36" s="1810" t="str">
        <f t="shared" si="11"/>
        <v>内部装修</v>
      </c>
      <c r="R36" s="774" t="s">
        <v>17</v>
      </c>
      <c r="S36" s="775">
        <f t="shared" si="12"/>
        <v>100</v>
      </c>
      <c r="T36" s="774" t="s">
        <v>17</v>
      </c>
      <c r="U36" s="775">
        <f t="shared" si="13"/>
        <v>100</v>
      </c>
      <c r="V36" s="774" t="s">
        <v>17</v>
      </c>
      <c r="W36" s="775">
        <f t="shared" si="14"/>
        <v>100</v>
      </c>
      <c r="X36" s="1813"/>
      <c r="Y36" s="3306"/>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306"/>
      <c r="Q37" s="1810" t="str">
        <f t="shared" si="11"/>
        <v>内部装修状况</v>
      </c>
      <c r="R37" s="774" t="s">
        <v>17</v>
      </c>
      <c r="S37" s="775">
        <f t="shared" si="12"/>
        <v>100</v>
      </c>
      <c r="T37" s="774" t="s">
        <v>17</v>
      </c>
      <c r="U37" s="775">
        <f t="shared" si="13"/>
        <v>100</v>
      </c>
      <c r="V37" s="774" t="s">
        <v>17</v>
      </c>
      <c r="W37" s="775">
        <f t="shared" si="14"/>
        <v>100</v>
      </c>
      <c r="X37" s="1813"/>
      <c r="Y37" s="330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306"/>
      <c r="Q38" s="776">
        <f t="shared" si="11"/>
        <v>111</v>
      </c>
      <c r="R38" s="777" t="s">
        <v>17</v>
      </c>
      <c r="S38" s="778">
        <f t="shared" si="12"/>
        <v>100</v>
      </c>
      <c r="T38" s="777" t="s">
        <v>17</v>
      </c>
      <c r="U38" s="778">
        <f t="shared" si="13"/>
        <v>100</v>
      </c>
      <c r="V38" s="777" t="s">
        <v>17</v>
      </c>
      <c r="W38" s="778">
        <f t="shared" si="14"/>
        <v>100</v>
      </c>
      <c r="X38" s="779"/>
      <c r="Y38" s="330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306"/>
      <c r="Q39" s="1810">
        <f t="shared" si="11"/>
        <v>111</v>
      </c>
      <c r="R39" s="774" t="s">
        <v>17</v>
      </c>
      <c r="S39" s="775">
        <f t="shared" si="12"/>
        <v>100</v>
      </c>
      <c r="T39" s="774" t="s">
        <v>17</v>
      </c>
      <c r="U39" s="775">
        <f t="shared" si="13"/>
        <v>100</v>
      </c>
      <c r="V39" s="774" t="s">
        <v>17</v>
      </c>
      <c r="W39" s="775">
        <f t="shared" si="14"/>
        <v>100</v>
      </c>
      <c r="X39" s="1813"/>
      <c r="Y39" s="3306"/>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07"/>
      <c r="Q40" s="1810">
        <f t="shared" si="11"/>
        <v>111</v>
      </c>
      <c r="R40" s="774" t="s">
        <v>17</v>
      </c>
      <c r="S40" s="775">
        <f t="shared" si="12"/>
        <v>100</v>
      </c>
      <c r="T40" s="774" t="s">
        <v>17</v>
      </c>
      <c r="U40" s="775">
        <f t="shared" si="13"/>
        <v>100</v>
      </c>
      <c r="V40" s="774" t="s">
        <v>17</v>
      </c>
      <c r="W40" s="775">
        <f t="shared" si="14"/>
        <v>100</v>
      </c>
      <c r="X40" s="1813"/>
      <c r="Y40" s="3307"/>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299" t="str">
        <f>A41</f>
        <v>成交单价（元/平方米）</v>
      </c>
      <c r="Q41" s="3299"/>
      <c r="R41" s="3300">
        <f>E41</f>
        <v>0</v>
      </c>
      <c r="S41" s="3300"/>
      <c r="T41" s="3300">
        <f>G41</f>
        <v>0</v>
      </c>
      <c r="U41" s="3300"/>
      <c r="V41" s="3300">
        <f>I41</f>
        <v>0</v>
      </c>
      <c r="W41" s="3300"/>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96" t="str">
        <f>A43</f>
        <v>估价对象XX用房的比较价值（楼面单价，元/平方米）</v>
      </c>
      <c r="Q43" s="3297"/>
      <c r="R43" s="3298" t="e">
        <f>IF(F1="售价",ROUND(AVERAGE(R42:V42),0),ROUND(AVERAGE(R42:V42),1))</f>
        <v>#DIV/0!</v>
      </c>
      <c r="S43" s="3298"/>
      <c r="T43" s="3298"/>
      <c r="U43" s="3298"/>
      <c r="V43" s="3298"/>
      <c r="W43" s="329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1604</v>
      </c>
    </row>
    <row r="2" spans="1:1">
      <c r="A2" s="1945"/>
    </row>
    <row r="3" spans="1:1" ht="18">
      <c r="A3" s="1946" t="str">
        <f>项目基本情况!B5&amp;"："</f>
        <v>昆明嘉丽泽投资有限公司：</v>
      </c>
    </row>
    <row r="4" spans="1:1" ht="18">
      <c r="A4" s="1947" t="str">
        <f>"受贵公司委托，我公司对"&amp;项目基本情况!S1&amp;"进行了预评估。"</f>
        <v>受贵公司委托，我公司对房地产市场价值进行了预评估。</v>
      </c>
    </row>
    <row r="5" spans="1:1" ht="18.75">
      <c r="A5" s="1948" t="s">
        <v>1605</v>
      </c>
    </row>
    <row r="6" spans="1:1" ht="18.75">
      <c r="A6" s="1949" t="s">
        <v>1606</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估价对象为房地产，为所有。根据《国有土地使用证》[]，估价对象（分摊）出让国有建设用地使用权面积为16164.6平方米，建筑面积为2191.33平方米。</v>
      </c>
    </row>
    <row r="8" spans="1:1" ht="57.75">
      <c r="A8" s="1950" t="s">
        <v>1607</v>
      </c>
    </row>
    <row r="9" spans="1:1" ht="18.75">
      <c r="A9" s="1949" t="s">
        <v>1608</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估价对象为房地产,为开发建设的，该项目尚在开发建设中。根据《国有土地使用证》[]，估价对象（分摊）出让国有建设用地使用权面积为16164.6平方米，规划建筑面积为2191.33平方米。</v>
      </c>
    </row>
    <row r="11" spans="1:1" ht="76.5">
      <c r="A11" s="1950" t="s">
        <v>1609</v>
      </c>
    </row>
    <row r="12" spans="1:1" ht="18.75">
      <c r="A12" s="1948" t="s">
        <v>1610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1611</v>
      </c>
    </row>
    <row r="15" spans="1:1" ht="18">
      <c r="A15" s="1953" t="str">
        <f>TEXT(项目基本情况!D3,"yyyy年m月d日;;")&amp;IF(项目基本情况!D3=项目基本情况!B3,"（评估专业人员实地查勘之日）","")</f>
        <v>2019年12月18日（评估专业人员实地查勘之日）</v>
      </c>
    </row>
    <row r="16" spans="1:1" ht="18.75">
      <c r="A16" s="1952" t="s">
        <v>1612</v>
      </c>
    </row>
    <row r="17" spans="1:1" ht="75">
      <c r="A17" s="1947" t="s">
        <v>1613</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1602</v>
      </c>
    </row>
    <row r="24" spans="1:1" ht="18">
      <c r="A24" s="1954" t="str">
        <f>"本次评估采用的主估价方法为"&amp;结果表!K4&amp;"和"&amp;结果表!L4&amp;"。"</f>
        <v>本次评估采用的主估价方法为收益法和比较法。</v>
      </c>
    </row>
    <row r="25" spans="1:1" ht="18">
      <c r="A25" s="1954"/>
    </row>
    <row r="26" spans="1:1" ht="18.75">
      <c r="A26" s="1955" t="s">
        <v>1603</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12" t="s">
        <v>2646</v>
      </c>
      <c r="AC4" s="3311" t="s">
        <v>2647</v>
      </c>
    </row>
    <row r="5" spans="1:29" ht="15">
      <c r="A5" s="404"/>
      <c r="B5" s="405"/>
      <c r="C5" s="3333" t="s">
        <v>2540</v>
      </c>
      <c r="D5" s="3334"/>
      <c r="E5" s="3340" t="s">
        <v>2541</v>
      </c>
      <c r="F5" s="3341"/>
      <c r="G5" s="3333" t="s">
        <v>2542</v>
      </c>
      <c r="H5" s="3334"/>
      <c r="I5" s="3333" t="s">
        <v>2543</v>
      </c>
      <c r="J5" s="3334"/>
      <c r="K5" s="610"/>
      <c r="L5" s="1130"/>
      <c r="M5" s="1131"/>
      <c r="N5" s="1131"/>
      <c r="O5" s="1131"/>
      <c r="P5" s="3320"/>
      <c r="Q5" s="3321"/>
      <c r="R5" s="3326"/>
      <c r="S5" s="3327"/>
      <c r="T5" s="3326"/>
      <c r="U5" s="3327"/>
      <c r="V5" s="3330"/>
      <c r="W5" s="3330"/>
      <c r="X5" s="1813"/>
      <c r="Y5" s="3326"/>
      <c r="Z5" s="3327"/>
      <c r="AA5" s="3312"/>
      <c r="AB5" s="3312"/>
      <c r="AC5" s="3312"/>
    </row>
    <row r="6" spans="1:29" ht="15.75" thickBot="1">
      <c r="A6" s="406"/>
      <c r="B6" s="407"/>
      <c r="C6" s="3331" t="s">
        <v>2544</v>
      </c>
      <c r="D6" s="3332"/>
      <c r="E6" s="3338" t="s">
        <v>2544</v>
      </c>
      <c r="F6" s="3339"/>
      <c r="G6" s="3331" t="s">
        <v>2544</v>
      </c>
      <c r="H6" s="3332"/>
      <c r="I6" s="3331" t="s">
        <v>2544</v>
      </c>
      <c r="J6" s="3332"/>
      <c r="K6" s="610" t="s">
        <v>2545</v>
      </c>
      <c r="L6" s="1130"/>
      <c r="M6" s="1131"/>
      <c r="N6" s="1131"/>
      <c r="O6" s="1131"/>
      <c r="P6" s="3322"/>
      <c r="Q6" s="3323"/>
      <c r="R6" s="3326"/>
      <c r="S6" s="3327"/>
      <c r="T6" s="3328"/>
      <c r="U6" s="3329"/>
      <c r="V6" s="3330"/>
      <c r="W6" s="3330"/>
      <c r="X6" s="1813"/>
      <c r="Y6" s="3328"/>
      <c r="Z6" s="3329"/>
      <c r="AA6" s="3313"/>
      <c r="AB6" s="3313"/>
      <c r="AC6" s="3313"/>
    </row>
    <row r="7" spans="1:29" s="117" customFormat="1" ht="15.75" thickBot="1">
      <c r="A7" s="408" t="s">
        <v>2546</v>
      </c>
      <c r="B7" s="409"/>
      <c r="C7" s="410">
        <f>'数据-取费表'!B2</f>
        <v>43817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35" t="s">
        <v>2547</v>
      </c>
      <c r="Q7" s="3337"/>
      <c r="R7" s="770" t="s">
        <v>17</v>
      </c>
      <c r="S7" s="771">
        <f t="shared" ref="S7:S14" si="0">F7</f>
        <v>0</v>
      </c>
      <c r="T7" s="770" t="s">
        <v>17</v>
      </c>
      <c r="U7" s="771">
        <f t="shared" ref="U7:U14" si="1">H7</f>
        <v>0</v>
      </c>
      <c r="V7" s="770" t="s">
        <v>17</v>
      </c>
      <c r="W7" s="771">
        <f t="shared" ref="W7:W14" si="2">J7</f>
        <v>0</v>
      </c>
      <c r="X7" s="772"/>
      <c r="Y7" s="3335" t="s">
        <v>2547</v>
      </c>
      <c r="Z7" s="333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35" t="s">
        <v>2550</v>
      </c>
      <c r="Q8" s="3336"/>
      <c r="R8" s="770" t="s">
        <v>17</v>
      </c>
      <c r="S8" s="771">
        <f t="shared" si="0"/>
        <v>0</v>
      </c>
      <c r="T8" s="770" t="s">
        <v>17</v>
      </c>
      <c r="U8" s="771">
        <f t="shared" si="1"/>
        <v>0</v>
      </c>
      <c r="V8" s="770" t="s">
        <v>17</v>
      </c>
      <c r="W8" s="771">
        <f t="shared" si="2"/>
        <v>0</v>
      </c>
      <c r="X8" s="772"/>
      <c r="Y8" s="3335" t="s">
        <v>2550</v>
      </c>
      <c r="Z8" s="333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99" t="s">
        <v>2553</v>
      </c>
      <c r="Q9" s="1795" t="str">
        <f t="shared" ref="Q9:Q14" si="6">B9</f>
        <v>用途</v>
      </c>
      <c r="R9" s="770" t="s">
        <v>17</v>
      </c>
      <c r="S9" s="771">
        <f t="shared" si="0"/>
        <v>100</v>
      </c>
      <c r="T9" s="770" t="s">
        <v>17</v>
      </c>
      <c r="U9" s="771">
        <f t="shared" si="1"/>
        <v>100</v>
      </c>
      <c r="V9" s="770" t="s">
        <v>17</v>
      </c>
      <c r="W9" s="771">
        <f t="shared" si="2"/>
        <v>100</v>
      </c>
      <c r="X9" s="772"/>
      <c r="Y9" s="310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99"/>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99"/>
      <c r="Q11" s="1795">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99"/>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99"/>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301" t="s">
        <v>2558</v>
      </c>
      <c r="Q14" s="1810" t="str">
        <f t="shared" si="6"/>
        <v>交通便捷度</v>
      </c>
      <c r="R14" s="774" t="s">
        <v>17</v>
      </c>
      <c r="S14" s="775">
        <f t="shared" si="0"/>
        <v>100</v>
      </c>
      <c r="T14" s="774" t="s">
        <v>17</v>
      </c>
      <c r="U14" s="775">
        <f t="shared" si="1"/>
        <v>100</v>
      </c>
      <c r="V14" s="774" t="s">
        <v>17</v>
      </c>
      <c r="W14" s="775">
        <f t="shared" si="2"/>
        <v>100</v>
      </c>
      <c r="X14" s="1813"/>
      <c r="Y14" s="3301"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302"/>
      <c r="Q15" s="1810"/>
      <c r="R15" s="774"/>
      <c r="S15" s="775"/>
      <c r="T15" s="774"/>
      <c r="U15" s="775"/>
      <c r="V15" s="774"/>
      <c r="W15" s="775"/>
      <c r="X15" s="1813"/>
      <c r="Y15" s="3302"/>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302"/>
      <c r="Q16" s="1810" t="str">
        <f>B16</f>
        <v>公共配套设施</v>
      </c>
      <c r="R16" s="774" t="s">
        <v>17</v>
      </c>
      <c r="S16" s="775">
        <f>F16</f>
        <v>100</v>
      </c>
      <c r="T16" s="774" t="s">
        <v>17</v>
      </c>
      <c r="U16" s="775">
        <f>H16</f>
        <v>100</v>
      </c>
      <c r="V16" s="774" t="s">
        <v>17</v>
      </c>
      <c r="W16" s="775">
        <f>J16</f>
        <v>100</v>
      </c>
      <c r="X16" s="1813"/>
      <c r="Y16" s="3302"/>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302"/>
      <c r="Q17" s="1810"/>
      <c r="R17" s="774"/>
      <c r="S17" s="775"/>
      <c r="T17" s="774"/>
      <c r="U17" s="775"/>
      <c r="V17" s="774"/>
      <c r="W17" s="775"/>
      <c r="X17" s="1813"/>
      <c r="Y17" s="3302"/>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302"/>
      <c r="Q18" s="1810" t="str">
        <f>B18</f>
        <v>基础设施水平</v>
      </c>
      <c r="R18" s="774" t="s">
        <v>17</v>
      </c>
      <c r="S18" s="775">
        <f>F18</f>
        <v>100</v>
      </c>
      <c r="T18" s="774" t="s">
        <v>17</v>
      </c>
      <c r="U18" s="775">
        <f>H18</f>
        <v>100</v>
      </c>
      <c r="V18" s="774" t="s">
        <v>17</v>
      </c>
      <c r="W18" s="775">
        <f>J18</f>
        <v>100</v>
      </c>
      <c r="X18" s="1813"/>
      <c r="Y18" s="3302"/>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302"/>
      <c r="Q19" s="1810"/>
      <c r="R19" s="774"/>
      <c r="S19" s="775"/>
      <c r="T19" s="774"/>
      <c r="U19" s="775"/>
      <c r="V19" s="774"/>
      <c r="W19" s="775"/>
      <c r="X19" s="1813"/>
      <c r="Y19" s="3302"/>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302"/>
      <c r="Q20" s="1810" t="str">
        <f>B20</f>
        <v>自然及人文环境</v>
      </c>
      <c r="R20" s="774" t="s">
        <v>17</v>
      </c>
      <c r="S20" s="775">
        <f>F20</f>
        <v>100</v>
      </c>
      <c r="T20" s="774" t="s">
        <v>17</v>
      </c>
      <c r="U20" s="775">
        <f>H20</f>
        <v>100</v>
      </c>
      <c r="V20" s="774" t="s">
        <v>17</v>
      </c>
      <c r="W20" s="775">
        <f>J20</f>
        <v>100</v>
      </c>
      <c r="X20" s="1813"/>
      <c r="Y20" s="330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302"/>
      <c r="Q21" s="1810"/>
      <c r="R21" s="774"/>
      <c r="S21" s="775"/>
      <c r="T21" s="774"/>
      <c r="U21" s="775"/>
      <c r="V21" s="774"/>
      <c r="W21" s="775"/>
      <c r="X21" s="1813"/>
      <c r="Y21" s="3302"/>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302"/>
      <c r="Q22" s="1810" t="str">
        <f>B22</f>
        <v>楼层</v>
      </c>
      <c r="R22" s="774" t="s">
        <v>17</v>
      </c>
      <c r="S22" s="775">
        <f>F22</f>
        <v>100</v>
      </c>
      <c r="T22" s="774" t="s">
        <v>17</v>
      </c>
      <c r="U22" s="775">
        <f>H22</f>
        <v>100</v>
      </c>
      <c r="V22" s="774" t="s">
        <v>17</v>
      </c>
      <c r="W22" s="775">
        <f>J22</f>
        <v>100</v>
      </c>
      <c r="X22" s="1813"/>
      <c r="Y22" s="330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302"/>
      <c r="Q23" s="1810">
        <f>B23</f>
        <v>111</v>
      </c>
      <c r="R23" s="774" t="s">
        <v>17</v>
      </c>
      <c r="S23" s="775">
        <f>F23</f>
        <v>100</v>
      </c>
      <c r="T23" s="774" t="s">
        <v>17</v>
      </c>
      <c r="U23" s="775">
        <f>H23</f>
        <v>100</v>
      </c>
      <c r="V23" s="774" t="s">
        <v>17</v>
      </c>
      <c r="W23" s="775">
        <f>J23</f>
        <v>100</v>
      </c>
      <c r="X23" s="1813"/>
      <c r="Y23" s="330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302"/>
      <c r="Q24" s="1810">
        <f t="shared" ref="Q24:Q36" si="11">B24</f>
        <v>111</v>
      </c>
      <c r="R24" s="774" t="s">
        <v>17</v>
      </c>
      <c r="S24" s="775">
        <f>F24</f>
        <v>100</v>
      </c>
      <c r="T24" s="774" t="s">
        <v>17</v>
      </c>
      <c r="U24" s="775">
        <f>H24</f>
        <v>100</v>
      </c>
      <c r="V24" s="774" t="s">
        <v>17</v>
      </c>
      <c r="W24" s="775">
        <f>J24</f>
        <v>100</v>
      </c>
      <c r="X24" s="1813"/>
      <c r="Y24" s="330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302"/>
      <c r="Q25" s="1795">
        <f t="shared" si="11"/>
        <v>111</v>
      </c>
      <c r="R25" s="770" t="s">
        <v>17</v>
      </c>
      <c r="S25" s="771">
        <f>F25</f>
        <v>100</v>
      </c>
      <c r="T25" s="770" t="s">
        <v>17</v>
      </c>
      <c r="U25" s="771">
        <f>H25</f>
        <v>100</v>
      </c>
      <c r="V25" s="770" t="s">
        <v>17</v>
      </c>
      <c r="W25" s="771">
        <f>J25</f>
        <v>100</v>
      </c>
      <c r="X25" s="772"/>
      <c r="Y25" s="3302"/>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59"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306"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306"/>
      <c r="Q27" s="776" t="str">
        <f t="shared" si="11"/>
        <v>项目停车位配比</v>
      </c>
      <c r="R27" s="777" t="s">
        <v>17</v>
      </c>
      <c r="S27" s="778">
        <f t="shared" si="12"/>
        <v>100</v>
      </c>
      <c r="T27" s="777" t="s">
        <v>17</v>
      </c>
      <c r="U27" s="778">
        <f t="shared" si="13"/>
        <v>100</v>
      </c>
      <c r="V27" s="777" t="s">
        <v>17</v>
      </c>
      <c r="W27" s="778">
        <f t="shared" si="14"/>
        <v>100</v>
      </c>
      <c r="X27" s="779"/>
      <c r="Y27" s="3306"/>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306"/>
      <c r="Q28" s="1810" t="str">
        <f t="shared" si="11"/>
        <v>公共部分装修</v>
      </c>
      <c r="R28" s="774" t="s">
        <v>17</v>
      </c>
      <c r="S28" s="775">
        <f t="shared" si="12"/>
        <v>100</v>
      </c>
      <c r="T28" s="774" t="s">
        <v>17</v>
      </c>
      <c r="U28" s="775">
        <f t="shared" si="13"/>
        <v>100</v>
      </c>
      <c r="V28" s="774" t="s">
        <v>17</v>
      </c>
      <c r="W28" s="775">
        <f t="shared" si="14"/>
        <v>100</v>
      </c>
      <c r="X28" s="1813"/>
      <c r="Y28" s="3306"/>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306"/>
      <c r="Q29" s="1810" t="str">
        <f t="shared" si="11"/>
        <v>成新率</v>
      </c>
      <c r="R29" s="774" t="s">
        <v>17</v>
      </c>
      <c r="S29" s="775" t="e">
        <f t="shared" si="12"/>
        <v>#N/A</v>
      </c>
      <c r="T29" s="774" t="s">
        <v>17</v>
      </c>
      <c r="U29" s="775" t="e">
        <f t="shared" si="13"/>
        <v>#N/A</v>
      </c>
      <c r="V29" s="774" t="s">
        <v>17</v>
      </c>
      <c r="W29" s="775" t="e">
        <f t="shared" si="14"/>
        <v>#N/A</v>
      </c>
      <c r="X29" s="1813"/>
      <c r="Y29" s="3306"/>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306"/>
      <c r="Q30" s="1810" t="str">
        <f t="shared" si="11"/>
        <v>物业等级</v>
      </c>
      <c r="R30" s="774" t="s">
        <v>17</v>
      </c>
      <c r="S30" s="775">
        <f t="shared" si="12"/>
        <v>100</v>
      </c>
      <c r="T30" s="774" t="s">
        <v>17</v>
      </c>
      <c r="U30" s="775">
        <f t="shared" si="13"/>
        <v>100</v>
      </c>
      <c r="V30" s="774" t="s">
        <v>17</v>
      </c>
      <c r="W30" s="775">
        <f t="shared" si="14"/>
        <v>100</v>
      </c>
      <c r="X30" s="1813"/>
      <c r="Y30" s="3306"/>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306"/>
      <c r="Q31" s="1795" t="str">
        <f t="shared" si="11"/>
        <v>停车位面积</v>
      </c>
      <c r="R31" s="770" t="s">
        <v>17</v>
      </c>
      <c r="S31" s="771" t="e">
        <f t="shared" si="12"/>
        <v>#N/A</v>
      </c>
      <c r="T31" s="770" t="s">
        <v>17</v>
      </c>
      <c r="U31" s="771" t="e">
        <f t="shared" si="13"/>
        <v>#N/A</v>
      </c>
      <c r="V31" s="770" t="s">
        <v>17</v>
      </c>
      <c r="W31" s="771" t="e">
        <f t="shared" si="14"/>
        <v>#N/A</v>
      </c>
      <c r="X31" s="772"/>
      <c r="Y31" s="3306"/>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306" t="s">
        <v>2563</v>
      </c>
      <c r="Q32" s="1810" t="str">
        <f t="shared" si="11"/>
        <v>车位类型</v>
      </c>
      <c r="R32" s="774" t="s">
        <v>17</v>
      </c>
      <c r="S32" s="775">
        <f t="shared" si="12"/>
        <v>100</v>
      </c>
      <c r="T32" s="774" t="s">
        <v>17</v>
      </c>
      <c r="U32" s="775">
        <f t="shared" si="13"/>
        <v>100</v>
      </c>
      <c r="V32" s="774" t="s">
        <v>17</v>
      </c>
      <c r="W32" s="775">
        <f t="shared" si="14"/>
        <v>100</v>
      </c>
      <c r="X32" s="1813"/>
      <c r="Y32" s="3306"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306"/>
      <c r="Q33" s="1810" t="str">
        <f t="shared" si="11"/>
        <v>是否直接入户</v>
      </c>
      <c r="R33" s="774" t="s">
        <v>17</v>
      </c>
      <c r="S33" s="775">
        <f t="shared" si="12"/>
        <v>100</v>
      </c>
      <c r="T33" s="774" t="s">
        <v>17</v>
      </c>
      <c r="U33" s="775">
        <f t="shared" si="13"/>
        <v>100</v>
      </c>
      <c r="V33" s="774" t="s">
        <v>17</v>
      </c>
      <c r="W33" s="775">
        <f t="shared" si="14"/>
        <v>100</v>
      </c>
      <c r="X33" s="1813"/>
      <c r="Y33" s="330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306"/>
      <c r="Q34" s="1810">
        <f t="shared" si="11"/>
        <v>111</v>
      </c>
      <c r="R34" s="774" t="s">
        <v>17</v>
      </c>
      <c r="S34" s="775">
        <f t="shared" si="12"/>
        <v>100</v>
      </c>
      <c r="T34" s="774" t="s">
        <v>17</v>
      </c>
      <c r="U34" s="775">
        <f t="shared" si="13"/>
        <v>100</v>
      </c>
      <c r="V34" s="774" t="s">
        <v>17</v>
      </c>
      <c r="W34" s="775">
        <f t="shared" si="14"/>
        <v>100</v>
      </c>
      <c r="X34" s="1813"/>
      <c r="Y34" s="330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306"/>
      <c r="Q35" s="776">
        <f t="shared" si="11"/>
        <v>111</v>
      </c>
      <c r="R35" s="777" t="s">
        <v>17</v>
      </c>
      <c r="S35" s="778">
        <f t="shared" si="12"/>
        <v>100</v>
      </c>
      <c r="T35" s="777" t="s">
        <v>17</v>
      </c>
      <c r="U35" s="778">
        <f t="shared" si="13"/>
        <v>100</v>
      </c>
      <c r="V35" s="777" t="s">
        <v>17</v>
      </c>
      <c r="W35" s="778">
        <f t="shared" si="14"/>
        <v>100</v>
      </c>
      <c r="X35" s="779"/>
      <c r="Y35" s="330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306"/>
      <c r="Q36" s="1810">
        <f t="shared" si="11"/>
        <v>111</v>
      </c>
      <c r="R36" s="774" t="s">
        <v>17</v>
      </c>
      <c r="S36" s="775">
        <f t="shared" si="12"/>
        <v>100</v>
      </c>
      <c r="T36" s="774" t="s">
        <v>17</v>
      </c>
      <c r="U36" s="775">
        <f t="shared" si="13"/>
        <v>100</v>
      </c>
      <c r="V36" s="774" t="s">
        <v>17</v>
      </c>
      <c r="W36" s="775">
        <f t="shared" si="14"/>
        <v>100</v>
      </c>
      <c r="X36" s="1813"/>
      <c r="Y36" s="3306"/>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299" t="str">
        <f>A37</f>
        <v>成交单价</v>
      </c>
      <c r="Q37" s="3299"/>
      <c r="R37" s="3300">
        <f>E37</f>
        <v>0</v>
      </c>
      <c r="S37" s="3300"/>
      <c r="T37" s="3300">
        <f>G37</f>
        <v>0</v>
      </c>
      <c r="U37" s="3300"/>
      <c r="V37" s="3300">
        <f>I37</f>
        <v>0</v>
      </c>
      <c r="W37" s="3300"/>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96" t="str">
        <f>A39</f>
        <v>估价对象XX用房的比较价值（楼面单价，元/平方米）</v>
      </c>
      <c r="Q39" s="3297"/>
      <c r="R39" s="3298" t="e">
        <f>IF(F1="售价",ROUND(AVERAGE(R38:V38),0),ROUND(AVERAGE(R38:V38),1))</f>
        <v>#DIV/0!</v>
      </c>
      <c r="S39" s="3298"/>
      <c r="T39" s="3298"/>
      <c r="U39" s="3298"/>
      <c r="V39" s="3298"/>
      <c r="W39" s="329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12" t="s">
        <v>2646</v>
      </c>
      <c r="AC4" s="3311" t="s">
        <v>2647</v>
      </c>
    </row>
    <row r="5" spans="1:29" ht="15">
      <c r="A5" s="404"/>
      <c r="B5" s="405"/>
      <c r="C5" s="3333" t="s">
        <v>2540</v>
      </c>
      <c r="D5" s="3334"/>
      <c r="E5" s="3340" t="s">
        <v>2541</v>
      </c>
      <c r="F5" s="3341"/>
      <c r="G5" s="3333" t="s">
        <v>2542</v>
      </c>
      <c r="H5" s="3334"/>
      <c r="I5" s="3333" t="s">
        <v>2543</v>
      </c>
      <c r="J5" s="3334"/>
      <c r="K5" s="610"/>
      <c r="L5" s="1130"/>
      <c r="M5" s="1131"/>
      <c r="N5" s="1131"/>
      <c r="O5" s="1131"/>
      <c r="P5" s="3320"/>
      <c r="Q5" s="3321"/>
      <c r="R5" s="3326"/>
      <c r="S5" s="3327"/>
      <c r="T5" s="3326"/>
      <c r="U5" s="3327"/>
      <c r="V5" s="3330"/>
      <c r="W5" s="3330"/>
      <c r="X5" s="1813"/>
      <c r="Y5" s="3326"/>
      <c r="Z5" s="3327"/>
      <c r="AA5" s="3312"/>
      <c r="AB5" s="3312"/>
      <c r="AC5" s="3312"/>
    </row>
    <row r="6" spans="1:29" ht="15.75" thickBot="1">
      <c r="A6" s="406"/>
      <c r="B6" s="407"/>
      <c r="C6" s="3331" t="s">
        <v>2544</v>
      </c>
      <c r="D6" s="3332"/>
      <c r="E6" s="3338" t="s">
        <v>2544</v>
      </c>
      <c r="F6" s="3339"/>
      <c r="G6" s="3331" t="s">
        <v>2544</v>
      </c>
      <c r="H6" s="3332"/>
      <c r="I6" s="3331" t="s">
        <v>2544</v>
      </c>
      <c r="J6" s="3332"/>
      <c r="K6" s="610" t="s">
        <v>2545</v>
      </c>
      <c r="L6" s="1130"/>
      <c r="M6" s="1131"/>
      <c r="N6" s="1131"/>
      <c r="O6" s="1131"/>
      <c r="P6" s="3322"/>
      <c r="Q6" s="3323"/>
      <c r="R6" s="3326"/>
      <c r="S6" s="3327"/>
      <c r="T6" s="3328"/>
      <c r="U6" s="3329"/>
      <c r="V6" s="3330"/>
      <c r="W6" s="3330"/>
      <c r="X6" s="1813"/>
      <c r="Y6" s="3328"/>
      <c r="Z6" s="3329"/>
      <c r="AA6" s="3313"/>
      <c r="AB6" s="3313"/>
      <c r="AC6" s="3313"/>
    </row>
    <row r="7" spans="1:29" s="117" customFormat="1" ht="15.75" thickBot="1">
      <c r="A7" s="408" t="s">
        <v>2546</v>
      </c>
      <c r="B7" s="409"/>
      <c r="C7" s="410">
        <f>'数据-取费表'!B2</f>
        <v>43817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335" t="s">
        <v>2547</v>
      </c>
      <c r="Q7" s="3337"/>
      <c r="R7" s="770" t="s">
        <v>17</v>
      </c>
      <c r="S7" s="771">
        <f t="shared" ref="S7:S14" si="0">F7</f>
        <v>0</v>
      </c>
      <c r="T7" s="770" t="s">
        <v>17</v>
      </c>
      <c r="U7" s="771">
        <f t="shared" ref="U7:U14" si="1">H7</f>
        <v>0</v>
      </c>
      <c r="V7" s="770" t="s">
        <v>17</v>
      </c>
      <c r="W7" s="771">
        <f t="shared" ref="W7:W14" si="2">J7</f>
        <v>0</v>
      </c>
      <c r="X7" s="772"/>
      <c r="Y7" s="3335" t="s">
        <v>2547</v>
      </c>
      <c r="Z7" s="333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35" t="s">
        <v>2550</v>
      </c>
      <c r="Q8" s="3336"/>
      <c r="R8" s="770" t="s">
        <v>17</v>
      </c>
      <c r="S8" s="771">
        <f t="shared" si="0"/>
        <v>0</v>
      </c>
      <c r="T8" s="770" t="s">
        <v>17</v>
      </c>
      <c r="U8" s="771">
        <f t="shared" si="1"/>
        <v>0</v>
      </c>
      <c r="V8" s="770" t="s">
        <v>17</v>
      </c>
      <c r="W8" s="771">
        <f t="shared" si="2"/>
        <v>0</v>
      </c>
      <c r="X8" s="772"/>
      <c r="Y8" s="3335" t="s">
        <v>2550</v>
      </c>
      <c r="Z8" s="333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99" t="s">
        <v>2553</v>
      </c>
      <c r="Q9" s="1795" t="str">
        <f t="shared" ref="Q9:Q14" si="6">B9</f>
        <v>用途</v>
      </c>
      <c r="R9" s="770" t="s">
        <v>17</v>
      </c>
      <c r="S9" s="771">
        <f t="shared" si="0"/>
        <v>100</v>
      </c>
      <c r="T9" s="770" t="s">
        <v>17</v>
      </c>
      <c r="U9" s="771">
        <f t="shared" si="1"/>
        <v>100</v>
      </c>
      <c r="V9" s="770" t="s">
        <v>17</v>
      </c>
      <c r="W9" s="771">
        <f t="shared" si="2"/>
        <v>100</v>
      </c>
      <c r="X9" s="772"/>
      <c r="Y9" s="310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99"/>
      <c r="Q10" s="1795" t="str">
        <f t="shared" si="6"/>
        <v>土地使用年限（年）</v>
      </c>
      <c r="R10" s="770" t="s">
        <v>17</v>
      </c>
      <c r="S10" s="771">
        <f t="shared" si="0"/>
        <v>100</v>
      </c>
      <c r="T10" s="770" t="s">
        <v>17</v>
      </c>
      <c r="U10" s="771">
        <f t="shared" si="1"/>
        <v>100</v>
      </c>
      <c r="V10" s="770" t="s">
        <v>17</v>
      </c>
      <c r="W10" s="771">
        <f t="shared" si="2"/>
        <v>100</v>
      </c>
      <c r="X10" s="772"/>
      <c r="Y10" s="310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99"/>
      <c r="Q11" s="1795">
        <f t="shared" si="6"/>
        <v>111</v>
      </c>
      <c r="R11" s="770" t="s">
        <v>17</v>
      </c>
      <c r="S11" s="771">
        <f t="shared" si="0"/>
        <v>100</v>
      </c>
      <c r="T11" s="770" t="s">
        <v>17</v>
      </c>
      <c r="U11" s="771">
        <f t="shared" si="1"/>
        <v>100</v>
      </c>
      <c r="V11" s="770" t="s">
        <v>17</v>
      </c>
      <c r="W11" s="771">
        <f t="shared" si="2"/>
        <v>100</v>
      </c>
      <c r="X11" s="772"/>
      <c r="Y11" s="310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99"/>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99"/>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301" t="s">
        <v>2558</v>
      </c>
      <c r="Q14" s="1810" t="str">
        <f t="shared" si="6"/>
        <v>交通便捷度</v>
      </c>
      <c r="R14" s="774" t="s">
        <v>17</v>
      </c>
      <c r="S14" s="775">
        <f t="shared" si="0"/>
        <v>100</v>
      </c>
      <c r="T14" s="774" t="s">
        <v>17</v>
      </c>
      <c r="U14" s="775">
        <f t="shared" si="1"/>
        <v>100</v>
      </c>
      <c r="V14" s="774" t="s">
        <v>17</v>
      </c>
      <c r="W14" s="775">
        <f t="shared" si="2"/>
        <v>100</v>
      </c>
      <c r="X14" s="1813"/>
      <c r="Y14" s="3301"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302"/>
      <c r="Q15" s="1810"/>
      <c r="R15" s="774"/>
      <c r="S15" s="775"/>
      <c r="T15" s="774"/>
      <c r="U15" s="775"/>
      <c r="V15" s="774"/>
      <c r="W15" s="775"/>
      <c r="X15" s="1813"/>
      <c r="Y15" s="3302"/>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302"/>
      <c r="Q16" s="1810" t="str">
        <f>B16</f>
        <v>公共配套设施</v>
      </c>
      <c r="R16" s="774" t="s">
        <v>17</v>
      </c>
      <c r="S16" s="775">
        <f>F16</f>
        <v>100</v>
      </c>
      <c r="T16" s="774" t="s">
        <v>17</v>
      </c>
      <c r="U16" s="775">
        <f>H16</f>
        <v>100</v>
      </c>
      <c r="V16" s="774" t="s">
        <v>17</v>
      </c>
      <c r="W16" s="775">
        <f>J16</f>
        <v>100</v>
      </c>
      <c r="X16" s="1813"/>
      <c r="Y16" s="3302"/>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302"/>
      <c r="Q17" s="1810"/>
      <c r="R17" s="774"/>
      <c r="S17" s="775"/>
      <c r="T17" s="774"/>
      <c r="U17" s="775"/>
      <c r="V17" s="774"/>
      <c r="W17" s="775"/>
      <c r="X17" s="1813"/>
      <c r="Y17" s="3302"/>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302"/>
      <c r="Q18" s="1810" t="str">
        <f>B18</f>
        <v>基础设施水平</v>
      </c>
      <c r="R18" s="774" t="s">
        <v>17</v>
      </c>
      <c r="S18" s="775">
        <f>F18</f>
        <v>100</v>
      </c>
      <c r="T18" s="774" t="s">
        <v>17</v>
      </c>
      <c r="U18" s="775">
        <f>H18</f>
        <v>100</v>
      </c>
      <c r="V18" s="774" t="s">
        <v>17</v>
      </c>
      <c r="W18" s="775">
        <f>J18</f>
        <v>100</v>
      </c>
      <c r="X18" s="1813"/>
      <c r="Y18" s="3302"/>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302"/>
      <c r="Q19" s="1810"/>
      <c r="R19" s="774"/>
      <c r="S19" s="775"/>
      <c r="T19" s="774"/>
      <c r="U19" s="775"/>
      <c r="V19" s="774"/>
      <c r="W19" s="775"/>
      <c r="X19" s="1813"/>
      <c r="Y19" s="3302"/>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302"/>
      <c r="Q20" s="1810" t="str">
        <f>B20</f>
        <v>自然及人文环境</v>
      </c>
      <c r="R20" s="774" t="s">
        <v>17</v>
      </c>
      <c r="S20" s="775">
        <f>F20</f>
        <v>100</v>
      </c>
      <c r="T20" s="774" t="s">
        <v>17</v>
      </c>
      <c r="U20" s="775">
        <f>H20</f>
        <v>100</v>
      </c>
      <c r="V20" s="774" t="s">
        <v>17</v>
      </c>
      <c r="W20" s="775">
        <f>J20</f>
        <v>100</v>
      </c>
      <c r="X20" s="1813"/>
      <c r="Y20" s="330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302"/>
      <c r="Q21" s="1810"/>
      <c r="R21" s="774"/>
      <c r="S21" s="775"/>
      <c r="T21" s="774"/>
      <c r="U21" s="775"/>
      <c r="V21" s="774"/>
      <c r="W21" s="775"/>
      <c r="X21" s="1813"/>
      <c r="Y21" s="3302"/>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302"/>
      <c r="Q22" s="1810" t="str">
        <f>B22</f>
        <v>楼层</v>
      </c>
      <c r="R22" s="774" t="s">
        <v>17</v>
      </c>
      <c r="S22" s="775">
        <f>F22</f>
        <v>100</v>
      </c>
      <c r="T22" s="774" t="s">
        <v>17</v>
      </c>
      <c r="U22" s="775">
        <f>H22</f>
        <v>100</v>
      </c>
      <c r="V22" s="774" t="s">
        <v>17</v>
      </c>
      <c r="W22" s="775">
        <f>J22</f>
        <v>100</v>
      </c>
      <c r="X22" s="1813"/>
      <c r="Y22" s="3302"/>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302"/>
      <c r="Q23" s="1810">
        <f>B23</f>
        <v>111</v>
      </c>
      <c r="R23" s="774" t="s">
        <v>17</v>
      </c>
      <c r="S23" s="775">
        <f>F23</f>
        <v>100</v>
      </c>
      <c r="T23" s="774" t="s">
        <v>17</v>
      </c>
      <c r="U23" s="775">
        <f>H23</f>
        <v>100</v>
      </c>
      <c r="V23" s="774" t="s">
        <v>17</v>
      </c>
      <c r="W23" s="775">
        <f>J23</f>
        <v>100</v>
      </c>
      <c r="X23" s="1813"/>
      <c r="Y23" s="3302"/>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302"/>
      <c r="Q24" s="1810">
        <f t="shared" ref="Q24:Q34" si="11">B24</f>
        <v>111</v>
      </c>
      <c r="R24" s="774" t="s">
        <v>17</v>
      </c>
      <c r="S24" s="775">
        <f>F24</f>
        <v>100</v>
      </c>
      <c r="T24" s="774" t="s">
        <v>17</v>
      </c>
      <c r="U24" s="775">
        <f>H24</f>
        <v>100</v>
      </c>
      <c r="V24" s="774" t="s">
        <v>17</v>
      </c>
      <c r="W24" s="775">
        <f>J24</f>
        <v>100</v>
      </c>
      <c r="X24" s="1813"/>
      <c r="Y24" s="3302"/>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302"/>
      <c r="Q25" s="1795">
        <f t="shared" si="11"/>
        <v>111</v>
      </c>
      <c r="R25" s="770" t="s">
        <v>17</v>
      </c>
      <c r="S25" s="771">
        <f>F25</f>
        <v>100</v>
      </c>
      <c r="T25" s="770" t="s">
        <v>17</v>
      </c>
      <c r="U25" s="771">
        <f>H25</f>
        <v>100</v>
      </c>
      <c r="V25" s="770" t="s">
        <v>17</v>
      </c>
      <c r="W25" s="771">
        <f>J25</f>
        <v>100</v>
      </c>
      <c r="X25" s="772"/>
      <c r="Y25" s="3302"/>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359"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306"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306"/>
      <c r="Q27" s="776" t="str">
        <f t="shared" si="11"/>
        <v>成新率</v>
      </c>
      <c r="R27" s="777" t="s">
        <v>17</v>
      </c>
      <c r="S27" s="778" t="e">
        <f t="shared" si="12"/>
        <v>#N/A</v>
      </c>
      <c r="T27" s="777" t="s">
        <v>17</v>
      </c>
      <c r="U27" s="778" t="e">
        <f t="shared" si="13"/>
        <v>#N/A</v>
      </c>
      <c r="V27" s="777" t="s">
        <v>17</v>
      </c>
      <c r="W27" s="778" t="e">
        <f t="shared" si="14"/>
        <v>#N/A</v>
      </c>
      <c r="X27" s="779"/>
      <c r="Y27" s="3306"/>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306"/>
      <c r="Q28" s="1810" t="str">
        <f t="shared" si="11"/>
        <v>物业等级</v>
      </c>
      <c r="R28" s="774" t="s">
        <v>17</v>
      </c>
      <c r="S28" s="775">
        <f t="shared" si="12"/>
        <v>100</v>
      </c>
      <c r="T28" s="774" t="s">
        <v>17</v>
      </c>
      <c r="U28" s="775">
        <f t="shared" si="13"/>
        <v>100</v>
      </c>
      <c r="V28" s="774" t="s">
        <v>17</v>
      </c>
      <c r="W28" s="775">
        <f t="shared" si="14"/>
        <v>100</v>
      </c>
      <c r="X28" s="1813"/>
      <c r="Y28" s="3306"/>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306"/>
      <c r="Q29" s="1810" t="str">
        <f t="shared" si="11"/>
        <v>有无电梯</v>
      </c>
      <c r="R29" s="774" t="s">
        <v>17</v>
      </c>
      <c r="S29" s="775">
        <f t="shared" si="12"/>
        <v>100</v>
      </c>
      <c r="T29" s="774" t="s">
        <v>17</v>
      </c>
      <c r="U29" s="775">
        <f t="shared" si="13"/>
        <v>100</v>
      </c>
      <c r="V29" s="774" t="s">
        <v>17</v>
      </c>
      <c r="W29" s="775">
        <f t="shared" si="14"/>
        <v>100</v>
      </c>
      <c r="X29" s="1813"/>
      <c r="Y29" s="3306"/>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306"/>
      <c r="Q30" s="1810" t="str">
        <f t="shared" si="11"/>
        <v>建筑面积</v>
      </c>
      <c r="R30" s="774" t="s">
        <v>17</v>
      </c>
      <c r="S30" s="775" t="e">
        <f t="shared" si="12"/>
        <v>#N/A</v>
      </c>
      <c r="T30" s="774" t="s">
        <v>17</v>
      </c>
      <c r="U30" s="775" t="e">
        <f t="shared" si="13"/>
        <v>#N/A</v>
      </c>
      <c r="V30" s="774" t="s">
        <v>17</v>
      </c>
      <c r="W30" s="775" t="e">
        <f t="shared" si="14"/>
        <v>#N/A</v>
      </c>
      <c r="X30" s="1813"/>
      <c r="Y30" s="3306"/>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306"/>
      <c r="Q31" s="1795" t="str">
        <f t="shared" si="11"/>
        <v>是否封闭</v>
      </c>
      <c r="R31" s="770" t="s">
        <v>17</v>
      </c>
      <c r="S31" s="771">
        <f t="shared" si="12"/>
        <v>100</v>
      </c>
      <c r="T31" s="770" t="s">
        <v>17</v>
      </c>
      <c r="U31" s="771">
        <f t="shared" si="13"/>
        <v>100</v>
      </c>
      <c r="V31" s="770" t="s">
        <v>17</v>
      </c>
      <c r="W31" s="771">
        <f t="shared" si="14"/>
        <v>100</v>
      </c>
      <c r="X31" s="772"/>
      <c r="Y31" s="330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306" t="s">
        <v>2563</v>
      </c>
      <c r="Q32" s="1810">
        <f t="shared" si="11"/>
        <v>111</v>
      </c>
      <c r="R32" s="774" t="s">
        <v>17</v>
      </c>
      <c r="S32" s="775">
        <f t="shared" si="12"/>
        <v>100</v>
      </c>
      <c r="T32" s="774" t="s">
        <v>17</v>
      </c>
      <c r="U32" s="775">
        <f t="shared" si="13"/>
        <v>100</v>
      </c>
      <c r="V32" s="774" t="s">
        <v>17</v>
      </c>
      <c r="W32" s="775">
        <f t="shared" si="14"/>
        <v>100</v>
      </c>
      <c r="X32" s="1813"/>
      <c r="Y32" s="3306"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306"/>
      <c r="Q33" s="1810">
        <f t="shared" si="11"/>
        <v>111</v>
      </c>
      <c r="R33" s="774" t="s">
        <v>17</v>
      </c>
      <c r="S33" s="775">
        <f t="shared" si="12"/>
        <v>100</v>
      </c>
      <c r="T33" s="774" t="s">
        <v>17</v>
      </c>
      <c r="U33" s="775">
        <f t="shared" si="13"/>
        <v>100</v>
      </c>
      <c r="V33" s="774" t="s">
        <v>17</v>
      </c>
      <c r="W33" s="775">
        <f t="shared" si="14"/>
        <v>100</v>
      </c>
      <c r="X33" s="1813"/>
      <c r="Y33" s="3306"/>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306"/>
      <c r="Q34" s="1810">
        <f t="shared" si="11"/>
        <v>111</v>
      </c>
      <c r="R34" s="774" t="s">
        <v>17</v>
      </c>
      <c r="S34" s="775">
        <f t="shared" si="12"/>
        <v>100</v>
      </c>
      <c r="T34" s="774" t="s">
        <v>17</v>
      </c>
      <c r="U34" s="775">
        <f t="shared" si="13"/>
        <v>100</v>
      </c>
      <c r="V34" s="774" t="s">
        <v>17</v>
      </c>
      <c r="W34" s="775">
        <f t="shared" si="14"/>
        <v>100</v>
      </c>
      <c r="X34" s="1813"/>
      <c r="Y34" s="3306"/>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299" t="str">
        <f>A35</f>
        <v>成交单价（元/平方米）</v>
      </c>
      <c r="Q35" s="3299"/>
      <c r="R35" s="3300">
        <f>E35</f>
        <v>0</v>
      </c>
      <c r="S35" s="3300"/>
      <c r="T35" s="3300">
        <f>G35</f>
        <v>0</v>
      </c>
      <c r="U35" s="3300"/>
      <c r="V35" s="3300">
        <f>I35</f>
        <v>0</v>
      </c>
      <c r="W35" s="3300"/>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96" t="str">
        <f>A37</f>
        <v>估价对象XX用房的比较价值（楼面单价，元/平方米）</v>
      </c>
      <c r="Q37" s="3297"/>
      <c r="R37" s="3298" t="e">
        <f>IF(F1="售价",ROUND(AVERAGE(R36:V36),0),ROUND(AVERAGE(R36:V36),1))</f>
        <v>#DIV/0!</v>
      </c>
      <c r="S37" s="3298"/>
      <c r="T37" s="3298"/>
      <c r="U37" s="3298"/>
      <c r="V37" s="3298"/>
      <c r="W37" s="329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I57"/>
  <sheetViews>
    <sheetView workbookViewId="0">
      <selection activeCell="G25" sqref="G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6" t="s">
        <v>1372</v>
      </c>
      <c r="C1" s="242"/>
      <c r="D1" s="242"/>
      <c r="E1" s="242"/>
      <c r="F1" s="242"/>
      <c r="G1" s="1379">
        <f>MATCH(B1,'数据-取费表'!A6:A16,0)+5</f>
        <v>6</v>
      </c>
    </row>
    <row r="2" spans="1:9" s="244" customFormat="1" ht="18" customHeight="1">
      <c r="A2" s="245" t="s">
        <v>2325</v>
      </c>
      <c r="B2" s="246">
        <f ca="1">IF(D2="——",C52,C52-E2)</f>
        <v>32991</v>
      </c>
      <c r="C2" s="243" t="s">
        <v>2326</v>
      </c>
      <c r="D2" s="2547" t="s">
        <v>70</v>
      </c>
      <c r="E2" s="1440">
        <f ca="1">SUMIF(INDIRECT("'"&amp;G2&amp;"'"&amp;"!A:A"),"承租人权益价值",INDIRECT("'"&amp;G2&amp;"'"&amp;"!c:c"))</f>
        <v>941</v>
      </c>
      <c r="F2" s="2548" t="s">
        <v>2326</v>
      </c>
      <c r="G2" s="2549" t="s">
        <v>3068</v>
      </c>
    </row>
    <row r="3" spans="1:9" s="244" customFormat="1" ht="18" customHeight="1" thickBot="1">
      <c r="A3" s="247" t="s">
        <v>2327</v>
      </c>
      <c r="B3" s="248">
        <f ca="1">ROUND(B2*10000/(IF(B1="",'数据-汇总表'!E3,INDIRECT("'数据-取费表'!k"&amp;$G$1))),0)</f>
        <v>150552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25021.9</v>
      </c>
      <c r="D5" s="255" t="s">
        <v>2332</v>
      </c>
      <c r="E5" s="256" t="s">
        <v>2333</v>
      </c>
      <c r="F5" s="256" t="s">
        <v>2334</v>
      </c>
      <c r="G5" s="257"/>
    </row>
    <row r="6" spans="1:9" s="258" customFormat="1" ht="13.5" customHeight="1">
      <c r="A6" s="949" t="s">
        <v>2335</v>
      </c>
      <c r="B6" s="259" t="s">
        <v>2336</v>
      </c>
      <c r="C6" s="260">
        <f>'数据-基础表'!A3*15000/10000</f>
        <v>24246.9</v>
      </c>
      <c r="D6" s="261"/>
      <c r="E6" s="262"/>
      <c r="F6" s="262"/>
      <c r="G6" s="263"/>
    </row>
    <row r="7" spans="1:9" s="258" customFormat="1" ht="13.5" customHeight="1">
      <c r="A7" s="949" t="s">
        <v>2337</v>
      </c>
      <c r="B7" s="259" t="s">
        <v>2338</v>
      </c>
      <c r="C7" s="264">
        <f>ROUND(C6*F7,0)</f>
        <v>740</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35</v>
      </c>
      <c r="D8" s="266"/>
      <c r="E8" s="264"/>
      <c r="F8" s="265"/>
      <c r="G8" s="2550" t="s">
        <v>3242</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3243</v>
      </c>
      <c r="H9" s="1390"/>
      <c r="I9" s="2552" t="s">
        <v>2342</v>
      </c>
    </row>
    <row r="10" spans="1:9" s="258" customFormat="1" ht="13.5" customHeight="1">
      <c r="A10" s="950" t="s">
        <v>801</v>
      </c>
      <c r="B10" s="268" t="s">
        <v>2343</v>
      </c>
      <c r="C10" s="269">
        <f ca="1">ROUND(D10*E10/10000,0)</f>
        <v>35</v>
      </c>
      <c r="D10" s="1032">
        <f ca="1">IF(B1="",'数据-汇总表'!E6,IF(INDIRECT("'数据-取费表'!c"&amp;$G$1)="住宅",INDIRECT("'数据-取费表'!s"&amp;$G$1),INDIRECT("'数据-取费表'!k"&amp;$G$1)+INDIRECT("'数据-取费表'!s"&amp;$G$1)))</f>
        <v>2191.33</v>
      </c>
      <c r="E10" s="269">
        <f>'数据-取费表'!B28</f>
        <v>160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f ca="1">IF(G19="已包含在土地取得成本中","0",ROUND(D19*E19/10000,0))</f>
        <v>44</v>
      </c>
      <c r="D19" s="1036">
        <f ca="1">D9+D10</f>
        <v>2191.33</v>
      </c>
      <c r="E19" s="255">
        <f>'数据-取费表'!B31</f>
        <v>200</v>
      </c>
      <c r="F19" s="275"/>
      <c r="G19" s="2550" t="s">
        <v>1070</v>
      </c>
    </row>
    <row r="20" spans="1:7" s="258" customFormat="1" ht="13.5" customHeight="1">
      <c r="A20" s="299" t="s">
        <v>2356</v>
      </c>
      <c r="B20" s="254" t="s">
        <v>2357</v>
      </c>
      <c r="C20" s="276">
        <f ca="1">ROUND((C5+C19)*F20,0)</f>
        <v>501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550</v>
      </c>
      <c r="D22" s="279">
        <f ca="1">C26</f>
        <v>2.0000000000000001E-4</v>
      </c>
      <c r="E22" s="280" t="s">
        <v>2361</v>
      </c>
      <c r="F22" s="281">
        <f ca="1">'数据-取费表'!B40</f>
        <v>4.3499999999999997E-2</v>
      </c>
      <c r="G22" s="278" t="str">
        <f>IF('数据-取费表'!B22&lt;=1,"单利计息","复利计息")</f>
        <v>单利计息</v>
      </c>
    </row>
    <row r="23" spans="1:7" s="258" customFormat="1" ht="13.5" customHeight="1">
      <c r="A23" s="951" t="s">
        <v>2365</v>
      </c>
      <c r="B23" s="259" t="s">
        <v>2366</v>
      </c>
      <c r="C23" s="1355">
        <f ca="1">ROUND(IF('数据-取费表'!B22&lt;=1,C5*F22*'数据-取费表'!B23,C5*(POWER((1+F22),'数据-取费表'!B23)-1)),0)</f>
        <v>544</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1</v>
      </c>
      <c r="D24" s="282"/>
      <c r="E24" s="282"/>
      <c r="F24" s="283"/>
      <c r="G24" s="284" t="s">
        <v>2370</v>
      </c>
    </row>
    <row r="25" spans="1:7" s="258" customFormat="1" ht="24">
      <c r="A25" s="951" t="s">
        <v>2371</v>
      </c>
      <c r="B25" s="259" t="s">
        <v>2372</v>
      </c>
      <c r="C25" s="1355">
        <f ca="1">ROUND(IF('数据-取费表'!B22&lt;=1,C20*F22*'数据-取费表'!B23/2,C20*(POWER((1+F22),'数据-取费表'!B23/2)-1)),0)</f>
        <v>5</v>
      </c>
      <c r="D25" s="282"/>
      <c r="E25" s="285"/>
      <c r="F25" s="283"/>
      <c r="G25" s="286" t="s">
        <v>2373</v>
      </c>
    </row>
    <row r="26" spans="1:7" s="258" customFormat="1">
      <c r="A26" s="951" t="s">
        <v>795</v>
      </c>
      <c r="B26" s="259" t="s">
        <v>2374</v>
      </c>
      <c r="C26" s="282">
        <f ca="1">ROUND(IF('数据-取费表'!B22&lt;=1,F21*F22*'数据-取费表'!B23/2,F21*(POWER((1+F22),'数据-取费表'!B23/2)-1)),4)</f>
        <v>2.0000000000000001E-4</v>
      </c>
      <c r="D26" s="282"/>
      <c r="E26" s="285"/>
      <c r="F26" s="283"/>
      <c r="G26" s="287"/>
    </row>
    <row r="27" spans="1:7" s="258" customFormat="1" ht="24.75">
      <c r="A27" s="299" t="s">
        <v>2375</v>
      </c>
      <c r="B27" s="288" t="s">
        <v>2376</v>
      </c>
      <c r="C27" s="289">
        <f ca="1">C28</f>
        <v>3835</v>
      </c>
      <c r="D27" s="279">
        <f ca="1">C29</f>
        <v>3.0000000000000001E-3</v>
      </c>
      <c r="E27" s="280" t="s">
        <v>2377</v>
      </c>
      <c r="F27" s="290">
        <f ca="1">IF(B1="",'数据-取费表'!Q16,INDIRECT("'数据-取费表'!q"&amp;$G$1))</f>
        <v>0.15</v>
      </c>
      <c r="G27" s="291" t="s">
        <v>2378</v>
      </c>
    </row>
    <row r="28" spans="1:7" s="258" customFormat="1" ht="13.5" customHeight="1">
      <c r="A28" s="951" t="s">
        <v>791</v>
      </c>
      <c r="B28" s="292" t="s">
        <v>2379</v>
      </c>
      <c r="C28" s="293">
        <f ca="1">ROUND((C5+C19+C20)*F27*'数据-取费表'!B21/'数据-取费表'!B20,0)</f>
        <v>3835</v>
      </c>
      <c r="D28" s="279"/>
      <c r="E28" s="280"/>
      <c r="F28" s="290"/>
      <c r="G28" s="291"/>
    </row>
    <row r="29" spans="1:7" s="258" customFormat="1" ht="13.5" customHeight="1">
      <c r="A29" s="951" t="s">
        <v>792</v>
      </c>
      <c r="B29" s="292" t="s">
        <v>2380</v>
      </c>
      <c r="C29" s="282">
        <f ca="1">ROUND(C21*F27*'数据-取费表'!B21/'数据-取费表'!B20,4)</f>
        <v>3.0000000000000001E-3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32401</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640</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570</v>
      </c>
      <c r="D34" s="261"/>
      <c r="E34" s="264"/>
      <c r="F34" s="301">
        <f ca="1">IF('数据-取费表'!B24=0,1,IF(B1="",'数据-取费表'!N16,INDIRECT("'数据-取费表'!n"&amp;$G$1)))</f>
        <v>1</v>
      </c>
      <c r="G34" s="263" t="s">
        <v>2389</v>
      </c>
    </row>
    <row r="35" spans="1:7" ht="13.5" customHeight="1">
      <c r="A35" s="951" t="s">
        <v>796</v>
      </c>
      <c r="B35" s="259" t="s">
        <v>2390</v>
      </c>
      <c r="C35" s="264">
        <f ca="1">ROUND(C34*F35,0)</f>
        <v>17</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0.1</v>
      </c>
      <c r="G36" s="304" t="s">
        <v>2393</v>
      </c>
    </row>
    <row r="37" spans="1:7" s="302" customFormat="1" ht="13.5" customHeight="1">
      <c r="A37" s="951" t="s">
        <v>798</v>
      </c>
      <c r="B37" s="259" t="s">
        <v>2394</v>
      </c>
      <c r="C37" s="293">
        <f ca="1">ROUND(E37*D37*F34/10000,0)</f>
        <v>44</v>
      </c>
      <c r="D37" s="261">
        <f ca="1">D19</f>
        <v>2191.33</v>
      </c>
      <c r="E37" s="293">
        <f>'数据-取费表'!B35</f>
        <v>200</v>
      </c>
      <c r="F37" s="303"/>
      <c r="G37" s="305" t="s">
        <v>2395</v>
      </c>
    </row>
    <row r="38" spans="1:7" ht="13.5" customHeight="1">
      <c r="A38" s="951"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7</v>
      </c>
      <c r="D41" s="279">
        <f ca="1">C44</f>
        <v>2.0000000000000001E-4</v>
      </c>
      <c r="E41" s="280" t="s">
        <v>2402</v>
      </c>
      <c r="F41" s="281"/>
      <c r="G41" s="278" t="str">
        <f>IF('数据-取费表'!B22&lt;=1,"单利计息","复利计息")</f>
        <v>单利计息</v>
      </c>
    </row>
    <row r="42" spans="1:7" ht="13.5" customHeight="1">
      <c r="A42" s="951" t="s">
        <v>791</v>
      </c>
      <c r="B42" s="259" t="s">
        <v>2406</v>
      </c>
      <c r="C42" s="282">
        <f ca="1">ROUND(IF('数据-取费表'!B22&lt;=1,C33*F22*'数据-取费表'!B21/2,C33*(POWER((1+F22),'数据-取费表'!B21/2)-1)),0)</f>
        <v>7</v>
      </c>
      <c r="D42" s="282"/>
      <c r="E42" s="282"/>
      <c r="F42" s="283"/>
      <c r="G42" s="3254" t="s">
        <v>2407</v>
      </c>
    </row>
    <row r="43" spans="1:7" ht="13.5" customHeight="1">
      <c r="A43" s="951" t="s">
        <v>792</v>
      </c>
      <c r="B43" s="259" t="s">
        <v>2408</v>
      </c>
      <c r="C43" s="282">
        <f ca="1">ROUND(IF('数据-取费表'!B22&lt;=1,C39*F22*'数据-取费表'!B21/2,C39*(POWER((1+F22),'数据-取费表'!B21/2)-1)),0)</f>
        <v>0</v>
      </c>
      <c r="D43" s="282"/>
      <c r="E43" s="282"/>
      <c r="F43" s="283"/>
      <c r="G43" s="3255"/>
    </row>
    <row r="44" spans="1:7" ht="13.5" customHeight="1">
      <c r="A44" s="951" t="s">
        <v>793</v>
      </c>
      <c r="B44" s="259" t="s">
        <v>2409</v>
      </c>
      <c r="C44" s="282">
        <f ca="1">ROUND(IF('数据-取费表'!B22&lt;=1,C40*F22*'数据-取费表'!B21/2,C40*(POWER((1+F22),'数据-取费表'!B21/2)-1)),4)</f>
        <v>2.0000000000000001E-4</v>
      </c>
      <c r="D44" s="282"/>
      <c r="E44" s="282"/>
      <c r="F44" s="283"/>
      <c r="G44" s="3256"/>
    </row>
    <row r="45" spans="1:7" s="258" customFormat="1" ht="13.5" customHeight="1">
      <c r="A45" s="299" t="s">
        <v>2410</v>
      </c>
      <c r="B45" s="288" t="s">
        <v>2376</v>
      </c>
      <c r="C45" s="289">
        <f ca="1">C46</f>
        <v>98</v>
      </c>
      <c r="D45" s="279">
        <f ca="1">C47</f>
        <v>3.0000000000000001E-3</v>
      </c>
      <c r="E45" s="280" t="s">
        <v>2402</v>
      </c>
      <c r="F45" s="290"/>
      <c r="G45" s="291" t="s">
        <v>2411</v>
      </c>
    </row>
    <row r="46" spans="1:7" s="258" customFormat="1" ht="13.5" customHeight="1">
      <c r="A46" s="951" t="s">
        <v>791</v>
      </c>
      <c r="B46" s="292" t="s">
        <v>2412</v>
      </c>
      <c r="C46" s="293">
        <f ca="1">ROUND((C33+C39)*F27,0)</f>
        <v>98</v>
      </c>
      <c r="D46" s="307"/>
      <c r="E46" s="280"/>
      <c r="F46" s="290"/>
      <c r="G46" s="291"/>
    </row>
    <row r="47" spans="1:7" s="258" customFormat="1" ht="13.5" customHeight="1">
      <c r="A47" s="951" t="s">
        <v>792</v>
      </c>
      <c r="B47" s="292" t="s">
        <v>2413</v>
      </c>
      <c r="C47" s="282">
        <f ca="1">ROUND(C40*F27,4)</f>
        <v>3.0000000000000001E-3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820</v>
      </c>
      <c r="D49" s="276"/>
      <c r="E49" s="276"/>
      <c r="F49" s="308"/>
      <c r="G49" s="278" t="s">
        <v>2417</v>
      </c>
    </row>
    <row r="50" spans="1:7" s="302" customFormat="1" ht="24">
      <c r="A50" s="299" t="s">
        <v>2418</v>
      </c>
      <c r="B50" s="254" t="s">
        <v>2419</v>
      </c>
      <c r="C50" s="276"/>
      <c r="D50" s="276"/>
      <c r="E50" s="276"/>
      <c r="F50" s="308">
        <f>IF('数据-取费表'!B24=0,'数据-取费表'!N16,1)</f>
        <v>0.72</v>
      </c>
      <c r="G50" s="291" t="s">
        <v>2420</v>
      </c>
    </row>
    <row r="51" spans="1:7" ht="16.5" customHeight="1">
      <c r="A51" s="299" t="s">
        <v>2421</v>
      </c>
      <c r="B51" s="254" t="s">
        <v>2422</v>
      </c>
      <c r="C51" s="276">
        <f ca="1">ROUND(C49*F50,0)</f>
        <v>590</v>
      </c>
      <c r="D51" s="276"/>
      <c r="E51" s="276"/>
      <c r="F51" s="308"/>
      <c r="G51" s="278" t="s">
        <v>2423</v>
      </c>
    </row>
    <row r="52" spans="1:7" s="252" customFormat="1" ht="16.5" thickBot="1">
      <c r="A52" s="309" t="s">
        <v>2424</v>
      </c>
      <c r="B52" s="310"/>
      <c r="C52" s="311">
        <f ca="1">C31+C51</f>
        <v>32991</v>
      </c>
      <c r="D52" s="310"/>
      <c r="E52" s="310"/>
      <c r="F52" s="310"/>
      <c r="G52" s="312"/>
    </row>
    <row r="55" spans="1:7" ht="15">
      <c r="B55" s="314" t="s">
        <v>2425</v>
      </c>
      <c r="C55" s="315"/>
    </row>
    <row r="56" spans="1:7">
      <c r="B56" s="317" t="s">
        <v>1506</v>
      </c>
      <c r="C56" s="319">
        <f ca="1">1-C57</f>
        <v>0.98199999999999998</v>
      </c>
    </row>
    <row r="57" spans="1:7">
      <c r="B57" s="317" t="s">
        <v>1507</v>
      </c>
      <c r="C57" s="318">
        <f ca="1">ROUND(C51/C52,3)</f>
        <v>1.7999999999999999E-2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I4" sqref="I4:J4"/>
    </sheetView>
  </sheetViews>
  <sheetFormatPr defaultColWidth="9" defaultRowHeight="14.25"/>
  <cols>
    <col min="1" max="1" width="14.375" style="403" customWidth="1"/>
    <col min="2" max="2" width="15.75" style="403" customWidth="1"/>
    <col min="3" max="3" width="17.375" style="403" customWidth="1"/>
    <col min="4" max="4" width="14.125" style="403" customWidth="1"/>
    <col min="5" max="5" width="17.25" style="403" customWidth="1"/>
    <col min="6" max="6" width="12.25" style="403" customWidth="1"/>
    <col min="7" max="7" width="17.75" style="403" customWidth="1"/>
    <col min="8" max="8" width="12.25" style="403" customWidth="1"/>
    <col min="9" max="9" width="1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3">
        <f>'数据-基础表'!I13</f>
        <v>2191.33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12" t="s">
        <v>2646</v>
      </c>
      <c r="AC4" s="3311" t="s">
        <v>2647</v>
      </c>
    </row>
    <row r="5" spans="1:30" ht="15">
      <c r="A5" s="404"/>
      <c r="B5" s="405"/>
      <c r="C5" s="3333" t="s">
        <v>2540</v>
      </c>
      <c r="D5" s="3334"/>
      <c r="E5" s="3340" t="s">
        <v>2541</v>
      </c>
      <c r="F5" s="3341"/>
      <c r="G5" s="3333" t="s">
        <v>2542</v>
      </c>
      <c r="H5" s="3334"/>
      <c r="I5" s="3333" t="s">
        <v>2543</v>
      </c>
      <c r="J5" s="3334"/>
      <c r="K5" s="610"/>
      <c r="L5" s="1130"/>
      <c r="M5" s="1131"/>
      <c r="N5" s="1131"/>
      <c r="O5" s="1131"/>
      <c r="P5" s="3320"/>
      <c r="Q5" s="3321"/>
      <c r="R5" s="3326"/>
      <c r="S5" s="3327"/>
      <c r="T5" s="3326"/>
      <c r="U5" s="3327"/>
      <c r="V5" s="3330"/>
      <c r="W5" s="3330"/>
      <c r="X5" s="1813"/>
      <c r="Y5" s="3326"/>
      <c r="Z5" s="3327"/>
      <c r="AA5" s="3312"/>
      <c r="AB5" s="3312"/>
      <c r="AC5" s="3312"/>
    </row>
    <row r="6" spans="1:30" ht="15.75" thickBot="1">
      <c r="A6" s="406"/>
      <c r="B6" s="407"/>
      <c r="C6" s="3331" t="s">
        <v>2544</v>
      </c>
      <c r="D6" s="3332"/>
      <c r="E6" s="3338" t="s">
        <v>2544</v>
      </c>
      <c r="F6" s="3339"/>
      <c r="G6" s="3331" t="s">
        <v>2544</v>
      </c>
      <c r="H6" s="3332"/>
      <c r="I6" s="3331" t="s">
        <v>2544</v>
      </c>
      <c r="J6" s="3332"/>
      <c r="K6" s="610" t="s">
        <v>2545</v>
      </c>
      <c r="L6" s="1130"/>
      <c r="M6" s="1131"/>
      <c r="N6" s="1131"/>
      <c r="O6" s="1131"/>
      <c r="P6" s="3322"/>
      <c r="Q6" s="3323"/>
      <c r="R6" s="3326"/>
      <c r="S6" s="3327"/>
      <c r="T6" s="3328"/>
      <c r="U6" s="3329"/>
      <c r="V6" s="3330"/>
      <c r="W6" s="3330"/>
      <c r="X6" s="1813"/>
      <c r="Y6" s="3328"/>
      <c r="Z6" s="3329"/>
      <c r="AA6" s="3313"/>
      <c r="AB6" s="3313"/>
      <c r="AC6" s="3313"/>
    </row>
    <row r="7" spans="1:30" s="117" customFormat="1" ht="15.75" thickBot="1">
      <c r="A7" s="408" t="s">
        <v>2546</v>
      </c>
      <c r="B7" s="409"/>
      <c r="C7" s="410">
        <f>'数据-取费表'!B2</f>
        <v>43817</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335" t="s">
        <v>2547</v>
      </c>
      <c r="Q7" s="3337"/>
      <c r="R7" s="770" t="s">
        <v>17</v>
      </c>
      <c r="S7" s="771">
        <f t="shared" ref="S7:S15" si="0">F7</f>
        <v>0</v>
      </c>
      <c r="T7" s="770" t="s">
        <v>17</v>
      </c>
      <c r="U7" s="771">
        <f t="shared" ref="U7:U15" si="1">H7</f>
        <v>0</v>
      </c>
      <c r="V7" s="770" t="s">
        <v>17</v>
      </c>
      <c r="W7" s="771">
        <f t="shared" ref="W7:W15" si="2">J7</f>
        <v>0</v>
      </c>
      <c r="X7" s="772"/>
      <c r="Y7" s="3335" t="s">
        <v>2547</v>
      </c>
      <c r="Z7" s="3336"/>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335" t="s">
        <v>2550</v>
      </c>
      <c r="Q8" s="3336"/>
      <c r="R8" s="770" t="s">
        <v>17</v>
      </c>
      <c r="S8" s="771">
        <f t="shared" si="0"/>
        <v>0</v>
      </c>
      <c r="T8" s="770" t="s">
        <v>17</v>
      </c>
      <c r="U8" s="771">
        <f t="shared" si="1"/>
        <v>0</v>
      </c>
      <c r="V8" s="770" t="s">
        <v>17</v>
      </c>
      <c r="W8" s="771">
        <f t="shared" si="2"/>
        <v>0</v>
      </c>
      <c r="X8" s="772"/>
      <c r="Y8" s="3335" t="s">
        <v>2550</v>
      </c>
      <c r="Z8" s="3336"/>
      <c r="AA8" s="773" t="e">
        <f t="shared" ref="AA8:AA45" si="3">D8/F8</f>
        <v>#DIV/0!</v>
      </c>
      <c r="AB8" s="773" t="e">
        <f t="shared" ref="AB8:AB45" si="4">D8/H8</f>
        <v>#DIV/0!</v>
      </c>
      <c r="AC8" s="773"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99"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130</v>
      </c>
      <c r="G10" s="463"/>
      <c r="H10" s="136">
        <f>ROUND(100/'数据-取费表'!G16,0)</f>
        <v>130</v>
      </c>
      <c r="I10" s="463"/>
      <c r="J10" s="136">
        <f>ROUND(100/'数据-取费表'!G16,0)</f>
        <v>130</v>
      </c>
      <c r="K10" s="672"/>
      <c r="L10" s="1135"/>
      <c r="M10" s="1136"/>
      <c r="N10" s="1136"/>
      <c r="O10" s="1137"/>
      <c r="P10" s="3299"/>
      <c r="Q10" s="1795" t="str">
        <f t="shared" si="6"/>
        <v>土地使用年限（年）</v>
      </c>
      <c r="R10" s="770" t="s">
        <v>17</v>
      </c>
      <c r="S10" s="771">
        <f t="shared" si="0"/>
        <v>130</v>
      </c>
      <c r="T10" s="770" t="s">
        <v>17</v>
      </c>
      <c r="U10" s="771">
        <f t="shared" si="1"/>
        <v>130</v>
      </c>
      <c r="V10" s="770" t="s">
        <v>17</v>
      </c>
      <c r="W10" s="771">
        <f t="shared" si="2"/>
        <v>130</v>
      </c>
      <c r="X10" s="772"/>
      <c r="Y10" s="3107"/>
      <c r="Z10" s="55" t="str">
        <f t="shared" si="7"/>
        <v>土地使用年限（年）</v>
      </c>
      <c r="AA10" s="773">
        <f t="shared" si="3"/>
        <v>0.76923076923076927</v>
      </c>
      <c r="AB10" s="773">
        <f t="shared" si="4"/>
        <v>0.76923076923076927</v>
      </c>
      <c r="AC10" s="773">
        <f t="shared" si="5"/>
        <v>0.76923076923076927</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99"/>
      <c r="Q11" s="1795"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99"/>
      <c r="Q12" s="1795" t="str">
        <f t="shared" si="6"/>
        <v>配建</v>
      </c>
      <c r="R12" s="770" t="s">
        <v>17</v>
      </c>
      <c r="S12" s="771">
        <f t="shared" si="0"/>
        <v>100</v>
      </c>
      <c r="T12" s="770" t="s">
        <v>17</v>
      </c>
      <c r="U12" s="771">
        <f t="shared" si="1"/>
        <v>100</v>
      </c>
      <c r="V12" s="770" t="s">
        <v>17</v>
      </c>
      <c r="W12" s="771">
        <f t="shared" si="2"/>
        <v>100</v>
      </c>
      <c r="X12" s="772"/>
      <c r="Y12" s="310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99"/>
      <c r="Q13" s="1795">
        <f t="shared" si="6"/>
        <v>111</v>
      </c>
      <c r="R13" s="770" t="s">
        <v>17</v>
      </c>
      <c r="S13" s="771">
        <f t="shared" si="0"/>
        <v>100</v>
      </c>
      <c r="T13" s="770" t="s">
        <v>17</v>
      </c>
      <c r="U13" s="771">
        <f t="shared" si="1"/>
        <v>100</v>
      </c>
      <c r="V13" s="770" t="s">
        <v>17</v>
      </c>
      <c r="W13" s="771">
        <f t="shared" si="2"/>
        <v>100</v>
      </c>
      <c r="X13" s="772"/>
      <c r="Y13" s="310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99"/>
      <c r="Q14" s="1795">
        <f t="shared" si="6"/>
        <v>111</v>
      </c>
      <c r="R14" s="770" t="s">
        <v>17</v>
      </c>
      <c r="S14" s="771">
        <f t="shared" si="0"/>
        <v>100</v>
      </c>
      <c r="T14" s="770" t="s">
        <v>17</v>
      </c>
      <c r="U14" s="771">
        <f t="shared" si="1"/>
        <v>100</v>
      </c>
      <c r="V14" s="770" t="s">
        <v>17</v>
      </c>
      <c r="W14" s="771">
        <f t="shared" si="2"/>
        <v>100</v>
      </c>
      <c r="X14" s="772"/>
      <c r="Y14" s="3107"/>
      <c r="Z14" s="55">
        <f t="shared" si="7"/>
        <v>111</v>
      </c>
      <c r="AA14" s="773">
        <f>D14/F14</f>
        <v>1</v>
      </c>
      <c r="AB14" s="773">
        <f>D14/H14</f>
        <v>1</v>
      </c>
      <c r="AC14" s="773">
        <f>D14/J14</f>
        <v>1</v>
      </c>
    </row>
    <row r="15" spans="1:30" ht="85.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301" t="s">
        <v>2558</v>
      </c>
      <c r="Q15" s="1810" t="str">
        <f t="shared" si="6"/>
        <v>居住社区成熟度</v>
      </c>
      <c r="R15" s="774" t="s">
        <v>17</v>
      </c>
      <c r="S15" s="775">
        <f t="shared" si="0"/>
        <v>100</v>
      </c>
      <c r="T15" s="774" t="s">
        <v>17</v>
      </c>
      <c r="U15" s="775">
        <f t="shared" si="1"/>
        <v>100</v>
      </c>
      <c r="V15" s="774" t="s">
        <v>17</v>
      </c>
      <c r="W15" s="775">
        <f t="shared" si="2"/>
        <v>100</v>
      </c>
      <c r="X15" s="1813"/>
      <c r="Y15" s="3301"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302"/>
      <c r="Q16" s="1810"/>
      <c r="R16" s="774"/>
      <c r="S16" s="775"/>
      <c r="T16" s="774"/>
      <c r="U16" s="775"/>
      <c r="V16" s="774"/>
      <c r="W16" s="775"/>
      <c r="X16" s="1813"/>
      <c r="Y16" s="3302"/>
      <c r="Z16" s="1814"/>
      <c r="AA16" s="1811">
        <v>1</v>
      </c>
      <c r="AB16" s="1811">
        <v>1</v>
      </c>
      <c r="AC16" s="1811">
        <v>1</v>
      </c>
    </row>
    <row r="17" spans="1:29" ht="57">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302"/>
      <c r="Q17" s="1810" t="str">
        <f>B17</f>
        <v>商业繁华度</v>
      </c>
      <c r="R17" s="774" t="s">
        <v>17</v>
      </c>
      <c r="S17" s="775">
        <f>F17</f>
        <v>100</v>
      </c>
      <c r="T17" s="774" t="s">
        <v>17</v>
      </c>
      <c r="U17" s="775">
        <f>H17</f>
        <v>100</v>
      </c>
      <c r="V17" s="774" t="s">
        <v>17</v>
      </c>
      <c r="W17" s="775">
        <f>J17</f>
        <v>100</v>
      </c>
      <c r="X17" s="1813"/>
      <c r="Y17" s="3302"/>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302"/>
      <c r="Q18" s="1810"/>
      <c r="R18" s="774"/>
      <c r="S18" s="775"/>
      <c r="T18" s="774"/>
      <c r="U18" s="775"/>
      <c r="V18" s="774"/>
      <c r="W18" s="775"/>
      <c r="X18" s="1813"/>
      <c r="Y18" s="3302"/>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302"/>
      <c r="Q19" s="1810" t="str">
        <f>B19</f>
        <v>办公集聚程度</v>
      </c>
      <c r="R19" s="774" t="s">
        <v>17</v>
      </c>
      <c r="S19" s="775">
        <f>F19</f>
        <v>100</v>
      </c>
      <c r="T19" s="774" t="s">
        <v>17</v>
      </c>
      <c r="U19" s="775">
        <f>H19</f>
        <v>100</v>
      </c>
      <c r="V19" s="774" t="s">
        <v>17</v>
      </c>
      <c r="W19" s="775">
        <f>J19</f>
        <v>100</v>
      </c>
      <c r="X19" s="1813"/>
      <c r="Y19" s="3302"/>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302"/>
      <c r="Q20" s="1810"/>
      <c r="R20" s="774"/>
      <c r="S20" s="775"/>
      <c r="T20" s="774"/>
      <c r="U20" s="775"/>
      <c r="V20" s="774"/>
      <c r="W20" s="775"/>
      <c r="X20" s="1813"/>
      <c r="Y20" s="3302"/>
      <c r="Z20" s="1814"/>
      <c r="AA20" s="1811">
        <v>1</v>
      </c>
      <c r="AB20" s="1811">
        <v>1</v>
      </c>
      <c r="AC20" s="1811">
        <v>1</v>
      </c>
    </row>
    <row r="21" spans="1:29" ht="71.2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302"/>
      <c r="Q21" s="1810" t="str">
        <f>B21</f>
        <v>交通便捷度</v>
      </c>
      <c r="R21" s="774" t="s">
        <v>17</v>
      </c>
      <c r="S21" s="775">
        <f>F21</f>
        <v>100</v>
      </c>
      <c r="T21" s="774" t="s">
        <v>17</v>
      </c>
      <c r="U21" s="775">
        <f>H21</f>
        <v>100</v>
      </c>
      <c r="V21" s="774" t="s">
        <v>17</v>
      </c>
      <c r="W21" s="775">
        <f>J21</f>
        <v>100</v>
      </c>
      <c r="X21" s="1813"/>
      <c r="Y21" s="3302"/>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302"/>
      <c r="Q22" s="1810"/>
      <c r="R22" s="774"/>
      <c r="S22" s="775"/>
      <c r="T22" s="774"/>
      <c r="U22" s="775"/>
      <c r="V22" s="774"/>
      <c r="W22" s="775"/>
      <c r="X22" s="1813"/>
      <c r="Y22" s="3302"/>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302"/>
      <c r="Q23" s="1810" t="str">
        <f t="shared" ref="Q23:Q37" si="8">B23</f>
        <v>区域土地利用方向</v>
      </c>
      <c r="R23" s="774" t="s">
        <v>17</v>
      </c>
      <c r="S23" s="775">
        <f>F23</f>
        <v>100</v>
      </c>
      <c r="T23" s="774" t="s">
        <v>17</v>
      </c>
      <c r="U23" s="775">
        <f>H23</f>
        <v>100</v>
      </c>
      <c r="V23" s="774" t="s">
        <v>17</v>
      </c>
      <c r="W23" s="775">
        <f>J23</f>
        <v>100</v>
      </c>
      <c r="X23" s="1813"/>
      <c r="Y23" s="3302"/>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302"/>
      <c r="Q24" s="1810"/>
      <c r="R24" s="774"/>
      <c r="S24" s="775"/>
      <c r="T24" s="774"/>
      <c r="U24" s="775"/>
      <c r="V24" s="774"/>
      <c r="W24" s="775"/>
      <c r="X24" s="1813"/>
      <c r="Y24" s="3302"/>
      <c r="Z24" s="1814"/>
      <c r="AA24" s="1811"/>
      <c r="AB24" s="1811"/>
      <c r="AC24" s="1811"/>
    </row>
    <row r="25" spans="1:29" ht="42.75">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302"/>
      <c r="Q25" s="1810" t="str">
        <f t="shared" si="8"/>
        <v>自然及人文环境状况</v>
      </c>
      <c r="R25" s="774" t="s">
        <v>17</v>
      </c>
      <c r="S25" s="775">
        <f>F25</f>
        <v>100</v>
      </c>
      <c r="T25" s="774" t="s">
        <v>17</v>
      </c>
      <c r="U25" s="775">
        <f>H25</f>
        <v>100</v>
      </c>
      <c r="V25" s="774" t="s">
        <v>17</v>
      </c>
      <c r="W25" s="775">
        <f>J25</f>
        <v>100</v>
      </c>
      <c r="X25" s="1813"/>
      <c r="Y25" s="3302"/>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302"/>
      <c r="Q26" s="1810"/>
      <c r="R26" s="774"/>
      <c r="S26" s="775"/>
      <c r="T26" s="774"/>
      <c r="U26" s="775"/>
      <c r="V26" s="774"/>
      <c r="W26" s="775"/>
      <c r="X26" s="1813"/>
      <c r="Y26" s="3302"/>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302"/>
      <c r="Q27" s="1795" t="str">
        <f t="shared" si="8"/>
        <v>公共配套设施</v>
      </c>
      <c r="R27" s="770" t="s">
        <v>17</v>
      </c>
      <c r="S27" s="771">
        <f>F27</f>
        <v>100</v>
      </c>
      <c r="T27" s="770" t="s">
        <v>17</v>
      </c>
      <c r="U27" s="771">
        <f>H27</f>
        <v>100</v>
      </c>
      <c r="V27" s="770" t="s">
        <v>17</v>
      </c>
      <c r="W27" s="771">
        <f>J27</f>
        <v>100</v>
      </c>
      <c r="X27" s="772"/>
      <c r="Y27" s="3302"/>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302"/>
      <c r="Q28" s="1795"/>
      <c r="R28" s="770"/>
      <c r="S28" s="771"/>
      <c r="T28" s="770"/>
      <c r="U28" s="771"/>
      <c r="V28" s="770"/>
      <c r="W28" s="771"/>
      <c r="X28" s="772"/>
      <c r="Y28" s="3302"/>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302"/>
      <c r="Q29" s="1795" t="str">
        <f t="shared" ref="Q29" si="9">B29</f>
        <v>基础设施水平</v>
      </c>
      <c r="R29" s="770" t="s">
        <v>17</v>
      </c>
      <c r="S29" s="771">
        <f>F29</f>
        <v>100</v>
      </c>
      <c r="T29" s="770" t="s">
        <v>17</v>
      </c>
      <c r="U29" s="771">
        <f>H29</f>
        <v>100</v>
      </c>
      <c r="V29" s="770" t="s">
        <v>17</v>
      </c>
      <c r="W29" s="771">
        <f>J29</f>
        <v>100</v>
      </c>
      <c r="X29" s="772"/>
      <c r="Y29" s="3302"/>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302"/>
      <c r="Q30" s="1795"/>
      <c r="R30" s="770"/>
      <c r="S30" s="771"/>
      <c r="T30" s="770"/>
      <c r="U30" s="771"/>
      <c r="V30" s="770"/>
      <c r="W30" s="771"/>
      <c r="X30" s="772"/>
      <c r="Y30" s="3302"/>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302"/>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302"/>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302"/>
      <c r="Q32" s="1810" t="str">
        <f t="shared" si="8"/>
        <v>毗邻道路的类型与等级</v>
      </c>
      <c r="R32" s="774" t="s">
        <v>17</v>
      </c>
      <c r="S32" s="775">
        <f t="shared" si="10"/>
        <v>100</v>
      </c>
      <c r="T32" s="774" t="s">
        <v>17</v>
      </c>
      <c r="U32" s="775">
        <f t="shared" si="11"/>
        <v>100</v>
      </c>
      <c r="V32" s="774" t="s">
        <v>17</v>
      </c>
      <c r="W32" s="775">
        <f t="shared" si="12"/>
        <v>100</v>
      </c>
      <c r="X32" s="1813"/>
      <c r="Y32" s="3302"/>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302"/>
      <c r="Q33" s="1810"/>
      <c r="R33" s="774"/>
      <c r="S33" s="775"/>
      <c r="T33" s="774"/>
      <c r="U33" s="775"/>
      <c r="V33" s="774"/>
      <c r="W33" s="775"/>
      <c r="X33" s="1813"/>
      <c r="Y33" s="3302"/>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302"/>
      <c r="Q34" s="1810" t="str">
        <f t="shared" si="8"/>
        <v>土地级别</v>
      </c>
      <c r="R34" s="774" t="s">
        <v>17</v>
      </c>
      <c r="S34" s="775">
        <f t="shared" si="10"/>
        <v>100</v>
      </c>
      <c r="T34" s="774" t="s">
        <v>17</v>
      </c>
      <c r="U34" s="775">
        <f t="shared" si="11"/>
        <v>100</v>
      </c>
      <c r="V34" s="774" t="s">
        <v>17</v>
      </c>
      <c r="W34" s="775">
        <f t="shared" si="12"/>
        <v>100</v>
      </c>
      <c r="X34" s="1813"/>
      <c r="Y34" s="3302"/>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302"/>
      <c r="Q35" s="1810">
        <f t="shared" si="8"/>
        <v>111</v>
      </c>
      <c r="R35" s="774" t="s">
        <v>17</v>
      </c>
      <c r="S35" s="775">
        <f t="shared" si="10"/>
        <v>100</v>
      </c>
      <c r="T35" s="774" t="s">
        <v>17</v>
      </c>
      <c r="U35" s="775">
        <f t="shared" si="11"/>
        <v>100</v>
      </c>
      <c r="V35" s="774" t="s">
        <v>17</v>
      </c>
      <c r="W35" s="775">
        <f t="shared" si="12"/>
        <v>100</v>
      </c>
      <c r="X35" s="1813"/>
      <c r="Y35" s="3302"/>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59" t="s">
        <v>2563</v>
      </c>
      <c r="Q36" s="1810">
        <f t="shared" si="8"/>
        <v>111</v>
      </c>
      <c r="R36" s="774" t="s">
        <v>17</v>
      </c>
      <c r="S36" s="775">
        <f t="shared" si="10"/>
        <v>100</v>
      </c>
      <c r="T36" s="774" t="s">
        <v>17</v>
      </c>
      <c r="U36" s="775">
        <f t="shared" si="11"/>
        <v>100</v>
      </c>
      <c r="V36" s="774" t="s">
        <v>17</v>
      </c>
      <c r="W36" s="775">
        <f t="shared" si="12"/>
        <v>100</v>
      </c>
      <c r="X36" s="1813"/>
      <c r="Y36" s="3306"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306"/>
      <c r="Q37" s="1810">
        <f t="shared" si="8"/>
        <v>111</v>
      </c>
      <c r="R37" s="777" t="s">
        <v>17</v>
      </c>
      <c r="S37" s="778">
        <f t="shared" si="10"/>
        <v>100</v>
      </c>
      <c r="T37" s="777" t="s">
        <v>17</v>
      </c>
      <c r="U37" s="778">
        <f t="shared" si="11"/>
        <v>100</v>
      </c>
      <c r="V37" s="777" t="s">
        <v>17</v>
      </c>
      <c r="W37" s="778">
        <f t="shared" si="12"/>
        <v>100</v>
      </c>
      <c r="X37" s="779"/>
      <c r="Y37" s="3306"/>
      <c r="Z37" s="780">
        <f t="shared" si="13"/>
        <v>111</v>
      </c>
      <c r="AA37" s="1811">
        <f t="shared" si="3"/>
        <v>1</v>
      </c>
      <c r="AB37" s="1811">
        <f t="shared" si="4"/>
        <v>1</v>
      </c>
      <c r="AC37" s="1811">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306"/>
      <c r="Q38" s="1810" t="str">
        <f>B38</f>
        <v>宗地面积</v>
      </c>
      <c r="R38" s="774" t="s">
        <v>17</v>
      </c>
      <c r="S38" s="775" t="e">
        <f t="shared" si="10"/>
        <v>#N/A</v>
      </c>
      <c r="T38" s="774" t="s">
        <v>17</v>
      </c>
      <c r="U38" s="775" t="e">
        <f t="shared" si="11"/>
        <v>#N/A</v>
      </c>
      <c r="V38" s="774" t="s">
        <v>17</v>
      </c>
      <c r="W38" s="775" t="e">
        <f t="shared" si="12"/>
        <v>#N/A</v>
      </c>
      <c r="X38" s="1813"/>
      <c r="Y38" s="3306"/>
      <c r="Z38" s="1814" t="str">
        <f t="shared" si="13"/>
        <v>宗地面积</v>
      </c>
      <c r="AA38" s="1811" t="e">
        <f t="shared" si="3"/>
        <v>#N/A</v>
      </c>
      <c r="AB38" s="1811" t="e">
        <f t="shared" si="4"/>
        <v>#N/A</v>
      </c>
      <c r="AC38" s="1811"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306"/>
      <c r="Q39" s="1810" t="str">
        <f t="shared" ref="Q39:Q45" si="14">B39</f>
        <v>宗地形状</v>
      </c>
      <c r="R39" s="774" t="s">
        <v>17</v>
      </c>
      <c r="S39" s="775">
        <f t="shared" si="10"/>
        <v>100</v>
      </c>
      <c r="T39" s="774" t="s">
        <v>17</v>
      </c>
      <c r="U39" s="775">
        <f t="shared" si="11"/>
        <v>100</v>
      </c>
      <c r="V39" s="774" t="s">
        <v>17</v>
      </c>
      <c r="W39" s="775">
        <f t="shared" si="12"/>
        <v>100</v>
      </c>
      <c r="X39" s="1813"/>
      <c r="Y39" s="3306"/>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306"/>
      <c r="Q40" s="1810" t="str">
        <f t="shared" si="14"/>
        <v>临街宽度及深度</v>
      </c>
      <c r="R40" s="774" t="s">
        <v>17</v>
      </c>
      <c r="S40" s="775">
        <f t="shared" si="10"/>
        <v>100</v>
      </c>
      <c r="T40" s="774" t="s">
        <v>17</v>
      </c>
      <c r="U40" s="775">
        <f t="shared" si="11"/>
        <v>100</v>
      </c>
      <c r="V40" s="774" t="s">
        <v>17</v>
      </c>
      <c r="W40" s="775">
        <f t="shared" si="12"/>
        <v>100</v>
      </c>
      <c r="X40" s="1813"/>
      <c r="Y40" s="3306"/>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306"/>
      <c r="Q41" s="1810" t="str">
        <f t="shared" si="14"/>
        <v>宗地开发程度</v>
      </c>
      <c r="R41" s="770" t="s">
        <v>17</v>
      </c>
      <c r="S41" s="771">
        <f t="shared" si="10"/>
        <v>100</v>
      </c>
      <c r="T41" s="770" t="s">
        <v>17</v>
      </c>
      <c r="U41" s="771">
        <f t="shared" si="11"/>
        <v>100</v>
      </c>
      <c r="V41" s="770" t="s">
        <v>17</v>
      </c>
      <c r="W41" s="771">
        <f t="shared" si="12"/>
        <v>100</v>
      </c>
      <c r="X41" s="772"/>
      <c r="Y41" s="3306"/>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306" t="s">
        <v>2563</v>
      </c>
      <c r="Q42" s="1810" t="str">
        <f t="shared" si="14"/>
        <v>工程地质条件</v>
      </c>
      <c r="R42" s="774" t="s">
        <v>17</v>
      </c>
      <c r="S42" s="775">
        <f t="shared" si="10"/>
        <v>100</v>
      </c>
      <c r="T42" s="774" t="s">
        <v>17</v>
      </c>
      <c r="U42" s="775">
        <f t="shared" si="11"/>
        <v>100</v>
      </c>
      <c r="V42" s="774" t="s">
        <v>17</v>
      </c>
      <c r="W42" s="775">
        <f t="shared" si="12"/>
        <v>100</v>
      </c>
      <c r="X42" s="1813"/>
      <c r="Y42" s="3306"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306"/>
      <c r="Q43" s="1810">
        <f t="shared" si="14"/>
        <v>111</v>
      </c>
      <c r="R43" s="774" t="s">
        <v>17</v>
      </c>
      <c r="S43" s="775">
        <f t="shared" si="10"/>
        <v>100</v>
      </c>
      <c r="T43" s="774" t="s">
        <v>17</v>
      </c>
      <c r="U43" s="775">
        <f t="shared" si="11"/>
        <v>100</v>
      </c>
      <c r="V43" s="774" t="s">
        <v>17</v>
      </c>
      <c r="W43" s="775">
        <f t="shared" si="12"/>
        <v>100</v>
      </c>
      <c r="X43" s="1813"/>
      <c r="Y43" s="330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306"/>
      <c r="Q44" s="1810">
        <f t="shared" si="14"/>
        <v>111</v>
      </c>
      <c r="R44" s="774" t="s">
        <v>17</v>
      </c>
      <c r="S44" s="775">
        <f t="shared" si="10"/>
        <v>100</v>
      </c>
      <c r="T44" s="774" t="s">
        <v>17</v>
      </c>
      <c r="U44" s="775">
        <f t="shared" si="11"/>
        <v>100</v>
      </c>
      <c r="V44" s="774" t="s">
        <v>17</v>
      </c>
      <c r="W44" s="775">
        <f t="shared" si="12"/>
        <v>100</v>
      </c>
      <c r="X44" s="1813"/>
      <c r="Y44" s="3306"/>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306"/>
      <c r="Q45" s="1810">
        <f t="shared" si="14"/>
        <v>111</v>
      </c>
      <c r="R45" s="777" t="s">
        <v>17</v>
      </c>
      <c r="S45" s="778">
        <f t="shared" si="10"/>
        <v>100</v>
      </c>
      <c r="T45" s="777" t="s">
        <v>17</v>
      </c>
      <c r="U45" s="778">
        <f t="shared" si="11"/>
        <v>100</v>
      </c>
      <c r="V45" s="777" t="s">
        <v>17</v>
      </c>
      <c r="W45" s="778">
        <f t="shared" si="12"/>
        <v>100</v>
      </c>
      <c r="X45" s="779"/>
      <c r="Y45" s="3306"/>
      <c r="Z45" s="780">
        <f t="shared" si="13"/>
        <v>111</v>
      </c>
      <c r="AA45" s="1811">
        <f t="shared" si="3"/>
        <v>1</v>
      </c>
      <c r="AB45" s="1811">
        <f t="shared" si="4"/>
        <v>1</v>
      </c>
      <c r="AC45" s="1811">
        <f t="shared" si="5"/>
        <v>1</v>
      </c>
    </row>
    <row r="46" spans="1:29" ht="15">
      <c r="A46" s="479" t="s">
        <v>2718</v>
      </c>
      <c r="B46" s="2704" t="s">
        <v>2754</v>
      </c>
      <c r="C46" s="682" t="s">
        <v>1</v>
      </c>
      <c r="D46" s="481"/>
      <c r="E46" s="482"/>
      <c r="F46" s="483"/>
      <c r="G46" s="484"/>
      <c r="H46" s="485"/>
      <c r="I46" s="482"/>
      <c r="J46" s="485"/>
      <c r="K46" s="783"/>
      <c r="L46" s="1143"/>
      <c r="M46" s="1144"/>
      <c r="N46" s="1131"/>
      <c r="O46" s="1144"/>
      <c r="P46" s="3299" t="str">
        <f>A46</f>
        <v>成交单价</v>
      </c>
      <c r="Q46" s="3299"/>
      <c r="R46" s="3330">
        <f>E46</f>
        <v>0</v>
      </c>
      <c r="S46" s="3330"/>
      <c r="T46" s="3330">
        <f>G46</f>
        <v>0</v>
      </c>
      <c r="U46" s="3330"/>
      <c r="V46" s="3330">
        <f>I46</f>
        <v>0</v>
      </c>
      <c r="W46" s="3330"/>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99" t="str">
        <f>A47</f>
        <v>比较价值（元/平方米）</v>
      </c>
      <c r="Q47" s="3299"/>
      <c r="R47" s="3360" t="e">
        <f>ROUND(PRODUCT(R46,AA7:AA45),0)</f>
        <v>#DIV/0!</v>
      </c>
      <c r="S47" s="3360"/>
      <c r="T47" s="3360" t="e">
        <f>ROUND(PRODUCT(T46,AB7:AB45),0)</f>
        <v>#DIV/0!</v>
      </c>
      <c r="U47" s="3360"/>
      <c r="V47" s="3360" t="e">
        <f>ROUND(PRODUCT(V46,AC7:AC45),0)</f>
        <v>#DIV/0!</v>
      </c>
      <c r="W47" s="3360"/>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96" t="str">
        <f>A48</f>
        <v>估价对象XX用房的比较价值（楼面单价，元/平方米）</v>
      </c>
      <c r="Q48" s="3297"/>
      <c r="R48" s="3361" t="e">
        <f>ROUND(AVERAGE(R47:V47),0)</f>
        <v>#DIV/0!</v>
      </c>
      <c r="S48" s="3361"/>
      <c r="T48" s="3361"/>
      <c r="U48" s="3361"/>
      <c r="V48" s="3361"/>
      <c r="W48" s="336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5" t="s">
        <v>2758</v>
      </c>
      <c r="D55" s="2706" t="s">
        <v>2759</v>
      </c>
      <c r="E55" s="686" t="s">
        <v>2760</v>
      </c>
      <c r="F55" s="1107" t="s">
        <v>2761</v>
      </c>
      <c r="G55" s="3314" t="s">
        <v>2762</v>
      </c>
      <c r="H55" s="3362"/>
      <c r="I55" s="144" t="s">
        <v>2763</v>
      </c>
      <c r="J55" s="2707">
        <f>项目基本情况!F35</f>
        <v>0</v>
      </c>
      <c r="K55" s="2708" t="s">
        <v>2764</v>
      </c>
      <c r="L55" s="1106"/>
      <c r="M55" s="1144"/>
      <c r="N55" s="1144"/>
      <c r="O55" s="1144"/>
    </row>
    <row r="56" spans="1:15" s="692" customFormat="1">
      <c r="A56" s="688" t="s">
        <v>2765</v>
      </c>
      <c r="B56" s="689" t="e">
        <f>C48</f>
        <v>#DIV/0!</v>
      </c>
      <c r="C56" s="690">
        <v>1</v>
      </c>
      <c r="D56" s="1163">
        <v>1</v>
      </c>
      <c r="E56" s="690">
        <f>'数据-汇总表'!E8+'数据-汇总表'!E9</f>
        <v>2191.33</v>
      </c>
      <c r="F56" s="1103" t="e">
        <f t="shared" ref="F56:F65" si="15">ROUND(B56*E56/10000,0)</f>
        <v>#DIV/0!</v>
      </c>
      <c r="G56" s="3310"/>
      <c r="H56" s="3299"/>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363"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363"/>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363"/>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363"/>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9"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9"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10"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2191.33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2781</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314" t="s">
        <v>2644</v>
      </c>
      <c r="D4" s="3315"/>
      <c r="E4" s="3316" t="s">
        <v>2645</v>
      </c>
      <c r="F4" s="3317"/>
      <c r="G4" s="3314" t="s">
        <v>2646</v>
      </c>
      <c r="H4" s="3315"/>
      <c r="I4" s="3314" t="s">
        <v>2647</v>
      </c>
      <c r="J4" s="3315"/>
      <c r="K4" s="610" t="s">
        <v>2648</v>
      </c>
      <c r="L4" s="1130"/>
      <c r="M4" s="1131"/>
      <c r="N4" s="1131"/>
      <c r="O4" s="1131"/>
      <c r="P4" s="3318" t="s">
        <v>2649</v>
      </c>
      <c r="Q4" s="3319"/>
      <c r="R4" s="3324" t="s">
        <v>2645</v>
      </c>
      <c r="S4" s="3325"/>
      <c r="T4" s="3324" t="s">
        <v>2646</v>
      </c>
      <c r="U4" s="3325"/>
      <c r="V4" s="3330" t="s">
        <v>2647</v>
      </c>
      <c r="W4" s="3330"/>
      <c r="X4" s="1813"/>
      <c r="Y4" s="3324" t="s">
        <v>2649</v>
      </c>
      <c r="Z4" s="3325"/>
      <c r="AA4" s="3311" t="s">
        <v>2645</v>
      </c>
      <c r="AB4" s="3312" t="s">
        <v>2646</v>
      </c>
      <c r="AC4" s="3311" t="s">
        <v>2647</v>
      </c>
    </row>
    <row r="5" spans="1:29" ht="15">
      <c r="A5" s="404"/>
      <c r="B5" s="405"/>
      <c r="C5" s="3333" t="s">
        <v>2540</v>
      </c>
      <c r="D5" s="3334"/>
      <c r="E5" s="3340" t="s">
        <v>2541</v>
      </c>
      <c r="F5" s="3341"/>
      <c r="G5" s="3333" t="s">
        <v>2542</v>
      </c>
      <c r="H5" s="3334"/>
      <c r="I5" s="3333" t="s">
        <v>2543</v>
      </c>
      <c r="J5" s="3334"/>
      <c r="K5" s="610"/>
      <c r="L5" s="1130"/>
      <c r="M5" s="1131"/>
      <c r="N5" s="1131"/>
      <c r="O5" s="1131"/>
      <c r="P5" s="3320"/>
      <c r="Q5" s="3321"/>
      <c r="R5" s="3326"/>
      <c r="S5" s="3327"/>
      <c r="T5" s="3326"/>
      <c r="U5" s="3327"/>
      <c r="V5" s="3330"/>
      <c r="W5" s="3330"/>
      <c r="X5" s="1813"/>
      <c r="Y5" s="3326"/>
      <c r="Z5" s="3327"/>
      <c r="AA5" s="3312"/>
      <c r="AB5" s="3312"/>
      <c r="AC5" s="3312"/>
    </row>
    <row r="6" spans="1:29" ht="15.75" thickBot="1">
      <c r="A6" s="406"/>
      <c r="B6" s="407"/>
      <c r="C6" s="3364" t="s">
        <v>2795</v>
      </c>
      <c r="D6" s="3365"/>
      <c r="E6" s="3366" t="s">
        <v>2795</v>
      </c>
      <c r="F6" s="3367"/>
      <c r="G6" s="3364" t="s">
        <v>2795</v>
      </c>
      <c r="H6" s="3365"/>
      <c r="I6" s="3364" t="s">
        <v>2795</v>
      </c>
      <c r="J6" s="3365"/>
      <c r="K6" s="610" t="s">
        <v>2545</v>
      </c>
      <c r="L6" s="1130"/>
      <c r="M6" s="1131"/>
      <c r="N6" s="1131"/>
      <c r="O6" s="1131"/>
      <c r="P6" s="3322"/>
      <c r="Q6" s="3323"/>
      <c r="R6" s="3326"/>
      <c r="S6" s="3327"/>
      <c r="T6" s="3328"/>
      <c r="U6" s="3329"/>
      <c r="V6" s="3330"/>
      <c r="W6" s="3330"/>
      <c r="X6" s="1813"/>
      <c r="Y6" s="3328"/>
      <c r="Z6" s="3329"/>
      <c r="AA6" s="3313"/>
      <c r="AB6" s="3313"/>
      <c r="AC6" s="3313"/>
    </row>
    <row r="7" spans="1:29" s="117" customFormat="1" ht="15.75" thickBot="1">
      <c r="A7" s="408" t="s">
        <v>2546</v>
      </c>
      <c r="B7" s="409"/>
      <c r="C7" s="410">
        <f>'数据-取费表'!B2</f>
        <v>43817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335" t="s">
        <v>2547</v>
      </c>
      <c r="Q7" s="3337"/>
      <c r="R7" s="770" t="s">
        <v>17</v>
      </c>
      <c r="S7" s="771">
        <f t="shared" ref="S7:S15" si="0">F7</f>
        <v>0</v>
      </c>
      <c r="T7" s="770" t="s">
        <v>17</v>
      </c>
      <c r="U7" s="771">
        <f t="shared" ref="U7:U15" si="1">H7</f>
        <v>0</v>
      </c>
      <c r="V7" s="770" t="s">
        <v>17</v>
      </c>
      <c r="W7" s="771">
        <f t="shared" ref="W7:W15" si="2">J7</f>
        <v>0</v>
      </c>
      <c r="X7" s="772"/>
      <c r="Y7" s="3335" t="s">
        <v>2547</v>
      </c>
      <c r="Z7" s="333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35" t="s">
        <v>2550</v>
      </c>
      <c r="Q8" s="3336"/>
      <c r="R8" s="770" t="s">
        <v>17</v>
      </c>
      <c r="S8" s="771">
        <f t="shared" si="0"/>
        <v>0</v>
      </c>
      <c r="T8" s="770" t="s">
        <v>17</v>
      </c>
      <c r="U8" s="771">
        <f t="shared" si="1"/>
        <v>0</v>
      </c>
      <c r="V8" s="770" t="s">
        <v>17</v>
      </c>
      <c r="W8" s="771">
        <f t="shared" si="2"/>
        <v>0</v>
      </c>
      <c r="X8" s="772"/>
      <c r="Y8" s="3335" t="s">
        <v>2550</v>
      </c>
      <c r="Z8" s="3336"/>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99" t="s">
        <v>2553</v>
      </c>
      <c r="Q9" s="1795" t="str">
        <f t="shared" ref="Q9:Q15" si="6">B9</f>
        <v>用途</v>
      </c>
      <c r="R9" s="770" t="s">
        <v>17</v>
      </c>
      <c r="S9" s="771">
        <f t="shared" si="0"/>
        <v>100</v>
      </c>
      <c r="T9" s="770" t="s">
        <v>17</v>
      </c>
      <c r="U9" s="771">
        <f t="shared" si="1"/>
        <v>100</v>
      </c>
      <c r="V9" s="770" t="s">
        <v>17</v>
      </c>
      <c r="W9" s="771">
        <f t="shared" si="2"/>
        <v>100</v>
      </c>
      <c r="X9" s="772"/>
      <c r="Y9" s="310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130</v>
      </c>
      <c r="G10" s="432"/>
      <c r="H10" s="136">
        <f>ROUND(100/'数据-取费表'!G16,0)</f>
        <v>130</v>
      </c>
      <c r="I10" s="432"/>
      <c r="J10" s="136">
        <f>ROUND(100/'数据-取费表'!G16,0)</f>
        <v>130</v>
      </c>
      <c r="K10" s="672"/>
      <c r="L10" s="1135"/>
      <c r="M10" s="1136"/>
      <c r="N10" s="1136"/>
      <c r="O10" s="1137"/>
      <c r="P10" s="3299"/>
      <c r="Q10" s="1795" t="str">
        <f t="shared" si="6"/>
        <v>土地使用年限（年）</v>
      </c>
      <c r="R10" s="770" t="s">
        <v>17</v>
      </c>
      <c r="S10" s="771">
        <f t="shared" si="0"/>
        <v>130</v>
      </c>
      <c r="T10" s="770" t="s">
        <v>17</v>
      </c>
      <c r="U10" s="771">
        <f t="shared" si="1"/>
        <v>130</v>
      </c>
      <c r="V10" s="770" t="s">
        <v>17</v>
      </c>
      <c r="W10" s="771">
        <f t="shared" si="2"/>
        <v>130</v>
      </c>
      <c r="X10" s="772"/>
      <c r="Y10" s="3107"/>
      <c r="Z10" s="55" t="str">
        <f t="shared" si="7"/>
        <v>土地使用年限（年）</v>
      </c>
      <c r="AA10" s="773">
        <f t="shared" si="3"/>
        <v>0.76923076923076927</v>
      </c>
      <c r="AB10" s="773">
        <f t="shared" si="4"/>
        <v>0.76923076923076927</v>
      </c>
      <c r="AC10" s="773">
        <f t="shared" si="5"/>
        <v>0.76923076923076927</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99"/>
      <c r="Q11" s="1795" t="str">
        <f t="shared" si="6"/>
        <v>容积率</v>
      </c>
      <c r="R11" s="770" t="s">
        <v>17</v>
      </c>
      <c r="S11" s="771" t="e">
        <f t="shared" si="0"/>
        <v>#N/A</v>
      </c>
      <c r="T11" s="770" t="s">
        <v>17</v>
      </c>
      <c r="U11" s="771" t="e">
        <f t="shared" si="1"/>
        <v>#N/A</v>
      </c>
      <c r="V11" s="770" t="s">
        <v>17</v>
      </c>
      <c r="W11" s="771" t="e">
        <f t="shared" si="2"/>
        <v>#N/A</v>
      </c>
      <c r="X11" s="772"/>
      <c r="Y11" s="310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99"/>
      <c r="Q12" s="1795">
        <f t="shared" si="6"/>
        <v>111</v>
      </c>
      <c r="R12" s="770" t="s">
        <v>17</v>
      </c>
      <c r="S12" s="771">
        <f t="shared" si="0"/>
        <v>100</v>
      </c>
      <c r="T12" s="770" t="s">
        <v>17</v>
      </c>
      <c r="U12" s="771">
        <f t="shared" si="1"/>
        <v>100</v>
      </c>
      <c r="V12" s="770" t="s">
        <v>17</v>
      </c>
      <c r="W12" s="771">
        <f t="shared" si="2"/>
        <v>100</v>
      </c>
      <c r="X12" s="772"/>
      <c r="Y12" s="310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99"/>
      <c r="Q13" s="1795">
        <f t="shared" si="6"/>
        <v>111</v>
      </c>
      <c r="R13" s="770" t="s">
        <v>17</v>
      </c>
      <c r="S13" s="771">
        <f t="shared" si="0"/>
        <v>100</v>
      </c>
      <c r="T13" s="770" t="s">
        <v>17</v>
      </c>
      <c r="U13" s="771">
        <f t="shared" si="1"/>
        <v>100</v>
      </c>
      <c r="V13" s="770" t="s">
        <v>17</v>
      </c>
      <c r="W13" s="771">
        <f t="shared" si="2"/>
        <v>100</v>
      </c>
      <c r="X13" s="772"/>
      <c r="Y13" s="310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99"/>
      <c r="Q14" s="1795">
        <f t="shared" si="6"/>
        <v>111</v>
      </c>
      <c r="R14" s="770" t="s">
        <v>17</v>
      </c>
      <c r="S14" s="771">
        <f t="shared" si="0"/>
        <v>100</v>
      </c>
      <c r="T14" s="770" t="s">
        <v>17</v>
      </c>
      <c r="U14" s="771">
        <f t="shared" si="1"/>
        <v>100</v>
      </c>
      <c r="V14" s="770" t="s">
        <v>17</v>
      </c>
      <c r="W14" s="771">
        <f t="shared" si="2"/>
        <v>100</v>
      </c>
      <c r="X14" s="772"/>
      <c r="Y14" s="3107"/>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301" t="s">
        <v>2558</v>
      </c>
      <c r="Q15" s="1810" t="str">
        <f t="shared" si="6"/>
        <v>产业集聚程度</v>
      </c>
      <c r="R15" s="774" t="s">
        <v>17</v>
      </c>
      <c r="S15" s="775">
        <f t="shared" si="0"/>
        <v>100</v>
      </c>
      <c r="T15" s="774" t="s">
        <v>17</v>
      </c>
      <c r="U15" s="775">
        <f t="shared" si="1"/>
        <v>100</v>
      </c>
      <c r="V15" s="774" t="s">
        <v>17</v>
      </c>
      <c r="W15" s="775">
        <f t="shared" si="2"/>
        <v>100</v>
      </c>
      <c r="X15" s="1813"/>
      <c r="Y15" s="3301"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302"/>
      <c r="Q16" s="1810"/>
      <c r="R16" s="774"/>
      <c r="S16" s="775"/>
      <c r="T16" s="774"/>
      <c r="U16" s="775"/>
      <c r="V16" s="774"/>
      <c r="W16" s="775"/>
      <c r="X16" s="1813"/>
      <c r="Y16" s="3302"/>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302"/>
      <c r="Q17" s="1810" t="str">
        <f>B17</f>
        <v>交通便捷度</v>
      </c>
      <c r="R17" s="774" t="s">
        <v>17</v>
      </c>
      <c r="S17" s="775">
        <f>F17</f>
        <v>100</v>
      </c>
      <c r="T17" s="774" t="s">
        <v>17</v>
      </c>
      <c r="U17" s="775">
        <f>H17</f>
        <v>100</v>
      </c>
      <c r="V17" s="774" t="s">
        <v>17</v>
      </c>
      <c r="W17" s="775">
        <f>J17</f>
        <v>100</v>
      </c>
      <c r="X17" s="1813"/>
      <c r="Y17" s="3302"/>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302"/>
      <c r="Q18" s="1810"/>
      <c r="R18" s="774"/>
      <c r="S18" s="775"/>
      <c r="T18" s="774"/>
      <c r="U18" s="775"/>
      <c r="V18" s="774"/>
      <c r="W18" s="775"/>
      <c r="X18" s="1813"/>
      <c r="Y18" s="3302"/>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302"/>
      <c r="Q19" s="1810" t="str">
        <f t="shared" ref="Q19:Q33" si="8">B19</f>
        <v>区域土地利用方向</v>
      </c>
      <c r="R19" s="774" t="s">
        <v>17</v>
      </c>
      <c r="S19" s="775">
        <f>F19</f>
        <v>100</v>
      </c>
      <c r="T19" s="774" t="s">
        <v>17</v>
      </c>
      <c r="U19" s="775">
        <f>H19</f>
        <v>100</v>
      </c>
      <c r="V19" s="774" t="s">
        <v>17</v>
      </c>
      <c r="W19" s="775">
        <f>J19</f>
        <v>100</v>
      </c>
      <c r="X19" s="1813"/>
      <c r="Y19" s="3302"/>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302"/>
      <c r="Q20" s="1810"/>
      <c r="R20" s="774"/>
      <c r="S20" s="775"/>
      <c r="T20" s="774"/>
      <c r="U20" s="775"/>
      <c r="V20" s="774"/>
      <c r="W20" s="775"/>
      <c r="X20" s="1813"/>
      <c r="Y20" s="3302"/>
      <c r="Z20" s="1814"/>
      <c r="AA20" s="1811"/>
      <c r="AB20" s="1811"/>
      <c r="AC20" s="1811"/>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302"/>
      <c r="Q21" s="1810" t="str">
        <f t="shared" si="8"/>
        <v>环境状况</v>
      </c>
      <c r="R21" s="774" t="s">
        <v>17</v>
      </c>
      <c r="S21" s="775">
        <f>F21</f>
        <v>100</v>
      </c>
      <c r="T21" s="774" t="s">
        <v>17</v>
      </c>
      <c r="U21" s="775">
        <f>H21</f>
        <v>100</v>
      </c>
      <c r="V21" s="774" t="s">
        <v>17</v>
      </c>
      <c r="W21" s="775">
        <f>J21</f>
        <v>100</v>
      </c>
      <c r="X21" s="1813"/>
      <c r="Y21" s="3302"/>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302"/>
      <c r="Q22" s="1810"/>
      <c r="R22" s="774"/>
      <c r="S22" s="775"/>
      <c r="T22" s="774"/>
      <c r="U22" s="775"/>
      <c r="V22" s="774"/>
      <c r="W22" s="775"/>
      <c r="X22" s="1813"/>
      <c r="Y22" s="3302"/>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302"/>
      <c r="Q23" s="1795" t="str">
        <f t="shared" si="8"/>
        <v>公共配套设施</v>
      </c>
      <c r="R23" s="770" t="s">
        <v>17</v>
      </c>
      <c r="S23" s="771">
        <f>F23</f>
        <v>100</v>
      </c>
      <c r="T23" s="770" t="s">
        <v>17</v>
      </c>
      <c r="U23" s="771">
        <f>H23</f>
        <v>100</v>
      </c>
      <c r="V23" s="770" t="s">
        <v>17</v>
      </c>
      <c r="W23" s="771">
        <f>J23</f>
        <v>100</v>
      </c>
      <c r="X23" s="772"/>
      <c r="Y23" s="3302"/>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302"/>
      <c r="Q24" s="1795"/>
      <c r="R24" s="770"/>
      <c r="S24" s="771"/>
      <c r="T24" s="770"/>
      <c r="U24" s="771"/>
      <c r="V24" s="770"/>
      <c r="W24" s="771"/>
      <c r="X24" s="772"/>
      <c r="Y24" s="3302"/>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302"/>
      <c r="Q25" s="1795" t="str">
        <f t="shared" ref="Q25" si="9">B25</f>
        <v>基础设施水平</v>
      </c>
      <c r="R25" s="770" t="s">
        <v>17</v>
      </c>
      <c r="S25" s="771">
        <f>F25</f>
        <v>100</v>
      </c>
      <c r="T25" s="770" t="s">
        <v>17</v>
      </c>
      <c r="U25" s="771">
        <f>H25</f>
        <v>100</v>
      </c>
      <c r="V25" s="770" t="s">
        <v>17</v>
      </c>
      <c r="W25" s="771">
        <f>J25</f>
        <v>100</v>
      </c>
      <c r="X25" s="772"/>
      <c r="Y25" s="3302"/>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302"/>
      <c r="Q26" s="1795"/>
      <c r="R26" s="770"/>
      <c r="S26" s="771"/>
      <c r="T26" s="770"/>
      <c r="U26" s="771"/>
      <c r="V26" s="770"/>
      <c r="W26" s="771"/>
      <c r="X26" s="772"/>
      <c r="Y26" s="330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30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302"/>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302"/>
      <c r="Q28" s="1810" t="str">
        <f t="shared" si="8"/>
        <v>毗邻道路的类型与等级</v>
      </c>
      <c r="R28" s="774" t="s">
        <v>17</v>
      </c>
      <c r="S28" s="775">
        <f t="shared" si="10"/>
        <v>100</v>
      </c>
      <c r="T28" s="774" t="s">
        <v>17</v>
      </c>
      <c r="U28" s="775">
        <f t="shared" si="11"/>
        <v>100</v>
      </c>
      <c r="V28" s="774" t="s">
        <v>17</v>
      </c>
      <c r="W28" s="775">
        <f t="shared" si="12"/>
        <v>100</v>
      </c>
      <c r="X28" s="1813"/>
      <c r="Y28" s="3302"/>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302"/>
      <c r="Q29" s="1810"/>
      <c r="R29" s="774"/>
      <c r="S29" s="775"/>
      <c r="T29" s="774"/>
      <c r="U29" s="775"/>
      <c r="V29" s="774"/>
      <c r="W29" s="775"/>
      <c r="X29" s="1813"/>
      <c r="Y29" s="3302"/>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302"/>
      <c r="Q30" s="1810" t="str">
        <f t="shared" si="8"/>
        <v>土地级别</v>
      </c>
      <c r="R30" s="774" t="s">
        <v>17</v>
      </c>
      <c r="S30" s="775">
        <f t="shared" si="10"/>
        <v>100</v>
      </c>
      <c r="T30" s="774" t="s">
        <v>17</v>
      </c>
      <c r="U30" s="775">
        <f t="shared" si="11"/>
        <v>100</v>
      </c>
      <c r="V30" s="774" t="s">
        <v>17</v>
      </c>
      <c r="W30" s="775">
        <f t="shared" si="12"/>
        <v>100</v>
      </c>
      <c r="X30" s="1813"/>
      <c r="Y30" s="3302"/>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302"/>
      <c r="Q31" s="1810">
        <f t="shared" si="8"/>
        <v>111</v>
      </c>
      <c r="R31" s="774" t="s">
        <v>17</v>
      </c>
      <c r="S31" s="775">
        <f t="shared" si="10"/>
        <v>100</v>
      </c>
      <c r="T31" s="774" t="s">
        <v>17</v>
      </c>
      <c r="U31" s="775">
        <f t="shared" si="11"/>
        <v>100</v>
      </c>
      <c r="V31" s="774" t="s">
        <v>17</v>
      </c>
      <c r="W31" s="775">
        <f t="shared" si="12"/>
        <v>100</v>
      </c>
      <c r="X31" s="1813"/>
      <c r="Y31" s="3302"/>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59" t="s">
        <v>2563</v>
      </c>
      <c r="Q32" s="1810">
        <f t="shared" si="8"/>
        <v>111</v>
      </c>
      <c r="R32" s="774" t="s">
        <v>17</v>
      </c>
      <c r="S32" s="775">
        <f t="shared" si="10"/>
        <v>100</v>
      </c>
      <c r="T32" s="774" t="s">
        <v>17</v>
      </c>
      <c r="U32" s="775">
        <f t="shared" si="11"/>
        <v>100</v>
      </c>
      <c r="V32" s="774" t="s">
        <v>17</v>
      </c>
      <c r="W32" s="775">
        <f t="shared" si="12"/>
        <v>100</v>
      </c>
      <c r="X32" s="1813"/>
      <c r="Y32" s="3306"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306"/>
      <c r="Q33" s="1810">
        <f t="shared" si="8"/>
        <v>111</v>
      </c>
      <c r="R33" s="777" t="s">
        <v>17</v>
      </c>
      <c r="S33" s="778">
        <f t="shared" si="10"/>
        <v>100</v>
      </c>
      <c r="T33" s="777" t="s">
        <v>17</v>
      </c>
      <c r="U33" s="778">
        <f t="shared" si="11"/>
        <v>100</v>
      </c>
      <c r="V33" s="777" t="s">
        <v>17</v>
      </c>
      <c r="W33" s="778">
        <f t="shared" si="12"/>
        <v>100</v>
      </c>
      <c r="X33" s="779"/>
      <c r="Y33" s="3306"/>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306"/>
      <c r="Q34" s="1810" t="str">
        <f>B34</f>
        <v>宗地面积</v>
      </c>
      <c r="R34" s="774" t="s">
        <v>17</v>
      </c>
      <c r="S34" s="775" t="e">
        <f t="shared" si="10"/>
        <v>#N/A</v>
      </c>
      <c r="T34" s="774" t="s">
        <v>17</v>
      </c>
      <c r="U34" s="775" t="e">
        <f t="shared" si="11"/>
        <v>#N/A</v>
      </c>
      <c r="V34" s="774" t="s">
        <v>17</v>
      </c>
      <c r="W34" s="775" t="e">
        <f t="shared" si="12"/>
        <v>#N/A</v>
      </c>
      <c r="X34" s="1813"/>
      <c r="Y34" s="3306"/>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306"/>
      <c r="Q35" s="1810" t="str">
        <f t="shared" ref="Q35:Q40" si="14">B35</f>
        <v>宗地形状</v>
      </c>
      <c r="R35" s="774" t="s">
        <v>17</v>
      </c>
      <c r="S35" s="775">
        <f t="shared" si="10"/>
        <v>100</v>
      </c>
      <c r="T35" s="774" t="s">
        <v>17</v>
      </c>
      <c r="U35" s="775">
        <f t="shared" si="11"/>
        <v>100</v>
      </c>
      <c r="V35" s="774" t="s">
        <v>17</v>
      </c>
      <c r="W35" s="775">
        <f t="shared" si="12"/>
        <v>100</v>
      </c>
      <c r="X35" s="1813"/>
      <c r="Y35" s="3306"/>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306"/>
      <c r="Q36" s="1810" t="str">
        <f t="shared" si="14"/>
        <v>宗地开发程度</v>
      </c>
      <c r="R36" s="770" t="s">
        <v>17</v>
      </c>
      <c r="S36" s="771">
        <f t="shared" si="10"/>
        <v>100</v>
      </c>
      <c r="T36" s="770" t="s">
        <v>17</v>
      </c>
      <c r="U36" s="771">
        <f t="shared" si="11"/>
        <v>100</v>
      </c>
      <c r="V36" s="770" t="s">
        <v>17</v>
      </c>
      <c r="W36" s="771">
        <f t="shared" si="12"/>
        <v>100</v>
      </c>
      <c r="X36" s="772"/>
      <c r="Y36" s="3306"/>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306" t="s">
        <v>2563</v>
      </c>
      <c r="Q37" s="1810" t="str">
        <f t="shared" si="14"/>
        <v>工程地质条件</v>
      </c>
      <c r="R37" s="774" t="s">
        <v>17</v>
      </c>
      <c r="S37" s="775">
        <f t="shared" si="10"/>
        <v>100</v>
      </c>
      <c r="T37" s="774" t="s">
        <v>17</v>
      </c>
      <c r="U37" s="775">
        <f t="shared" si="11"/>
        <v>100</v>
      </c>
      <c r="V37" s="774" t="s">
        <v>17</v>
      </c>
      <c r="W37" s="775">
        <f t="shared" si="12"/>
        <v>100</v>
      </c>
      <c r="X37" s="1813"/>
      <c r="Y37" s="3306"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306"/>
      <c r="Q38" s="1810">
        <f t="shared" si="14"/>
        <v>111</v>
      </c>
      <c r="R38" s="774" t="s">
        <v>17</v>
      </c>
      <c r="S38" s="775">
        <f t="shared" si="10"/>
        <v>100</v>
      </c>
      <c r="T38" s="774" t="s">
        <v>17</v>
      </c>
      <c r="U38" s="775">
        <f t="shared" si="11"/>
        <v>100</v>
      </c>
      <c r="V38" s="774" t="s">
        <v>17</v>
      </c>
      <c r="W38" s="775">
        <f t="shared" si="12"/>
        <v>100</v>
      </c>
      <c r="X38" s="1813"/>
      <c r="Y38" s="330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306"/>
      <c r="Q39" s="1810">
        <f t="shared" si="14"/>
        <v>111</v>
      </c>
      <c r="R39" s="774" t="s">
        <v>17</v>
      </c>
      <c r="S39" s="775">
        <f t="shared" si="10"/>
        <v>100</v>
      </c>
      <c r="T39" s="774" t="s">
        <v>17</v>
      </c>
      <c r="U39" s="775">
        <f t="shared" si="11"/>
        <v>100</v>
      </c>
      <c r="V39" s="774" t="s">
        <v>17</v>
      </c>
      <c r="W39" s="775">
        <f t="shared" si="12"/>
        <v>100</v>
      </c>
      <c r="X39" s="1813"/>
      <c r="Y39" s="3306"/>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306"/>
      <c r="Q40" s="1810">
        <f t="shared" si="14"/>
        <v>111</v>
      </c>
      <c r="R40" s="777" t="s">
        <v>17</v>
      </c>
      <c r="S40" s="778">
        <f t="shared" si="10"/>
        <v>100</v>
      </c>
      <c r="T40" s="777" t="s">
        <v>17</v>
      </c>
      <c r="U40" s="778">
        <f t="shared" si="11"/>
        <v>100</v>
      </c>
      <c r="V40" s="777" t="s">
        <v>17</v>
      </c>
      <c r="W40" s="778">
        <f t="shared" si="12"/>
        <v>100</v>
      </c>
      <c r="X40" s="779"/>
      <c r="Y40" s="3306"/>
      <c r="Z40" s="780">
        <f t="shared" si="13"/>
        <v>111</v>
      </c>
      <c r="AA40" s="1811">
        <f t="shared" si="3"/>
        <v>1</v>
      </c>
      <c r="AB40" s="1811">
        <f t="shared" si="4"/>
        <v>1</v>
      </c>
      <c r="AC40" s="1811">
        <f t="shared" si="5"/>
        <v>1</v>
      </c>
    </row>
    <row r="41" spans="1:29" ht="15">
      <c r="A41" s="479" t="s">
        <v>2718</v>
      </c>
      <c r="B41" s="2704" t="s">
        <v>2798</v>
      </c>
      <c r="C41" s="682" t="s">
        <v>1</v>
      </c>
      <c r="D41" s="481"/>
      <c r="E41" s="482"/>
      <c r="F41" s="483"/>
      <c r="G41" s="484"/>
      <c r="H41" s="485"/>
      <c r="I41" s="482"/>
      <c r="J41" s="485"/>
      <c r="K41" s="783"/>
      <c r="L41" s="1143"/>
      <c r="M41" s="1131"/>
      <c r="N41" s="1131"/>
      <c r="O41" s="1144"/>
      <c r="P41" s="3299" t="str">
        <f>A41</f>
        <v>成交单价</v>
      </c>
      <c r="Q41" s="3299"/>
      <c r="R41" s="3330">
        <f>E41</f>
        <v>0</v>
      </c>
      <c r="S41" s="3330"/>
      <c r="T41" s="3330">
        <f>G41</f>
        <v>0</v>
      </c>
      <c r="U41" s="3330"/>
      <c r="V41" s="3330">
        <f>I41</f>
        <v>0</v>
      </c>
      <c r="W41" s="3330"/>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99" t="str">
        <f>A42</f>
        <v>比较价值（元/平方米）</v>
      </c>
      <c r="Q42" s="3299"/>
      <c r="R42" s="3360" t="e">
        <f>ROUND(PRODUCT(R41,AA7:AA40),0)</f>
        <v>#DIV/0!</v>
      </c>
      <c r="S42" s="3360"/>
      <c r="T42" s="3360" t="e">
        <f>ROUND(PRODUCT(T41,AB7:AB40),0)</f>
        <v>#DIV/0!</v>
      </c>
      <c r="U42" s="3360"/>
      <c r="V42" s="3360" t="e">
        <f>ROUND(PRODUCT(V41,AC7:AC40),0)</f>
        <v>#DIV/0!</v>
      </c>
      <c r="W42" s="3360"/>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96" t="str">
        <f>A43</f>
        <v>估价对象XX用房的比较价值（楼面单价，元/平方米）</v>
      </c>
      <c r="Q43" s="3297"/>
      <c r="R43" s="3361" t="e">
        <f>ROUND(AVERAGE(R42:V42),0)</f>
        <v>#DIV/0!</v>
      </c>
      <c r="S43" s="3361"/>
      <c r="T43" s="3361"/>
      <c r="U43" s="3361"/>
      <c r="V43" s="3361"/>
      <c r="W43" s="336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314" t="s">
        <v>2762</v>
      </c>
      <c r="H50" s="3362"/>
      <c r="I50" s="1814" t="s">
        <v>2799</v>
      </c>
      <c r="J50" s="1814">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2191.33</v>
      </c>
      <c r="F51" s="691" t="e">
        <f t="shared" ref="F51:F60" si="15">ROUND(B51*E51/10000,0)</f>
        <v>#DIV/0!</v>
      </c>
      <c r="G51" s="3310"/>
      <c r="H51" s="3299"/>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363"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363"/>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363"/>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363"/>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9"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9"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10"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16164.6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2800</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0.14000000000000001</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371"/>
      <c r="B4" s="3372"/>
      <c r="C4" s="3372"/>
      <c r="D4" s="3373"/>
      <c r="E4" s="3373"/>
      <c r="F4" s="3373"/>
      <c r="G4" s="3373"/>
      <c r="H4" s="3373"/>
      <c r="I4" s="3373"/>
      <c r="J4" s="3374"/>
      <c r="K4" s="1370"/>
      <c r="L4" s="2726"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2824</v>
      </c>
      <c r="C5" s="917" t="e">
        <f>ROUND(IF(E2="商业",C6*C7+C16,(IF(E2="住宅",C6*C12+C16,C6+C16))),0)</f>
        <v>#DIV/0!</v>
      </c>
      <c r="D5" s="1787" t="e">
        <f>ROUND(C6+C16,0)</f>
        <v>#DIV/0!</v>
      </c>
      <c r="E5" s="1787"/>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2"/>
      <c r="L6" s="2726"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375" t="str">
        <f>IF(E2="商业",IF(C8="不临58条商业街","",2),"")</f>
        <v/>
      </c>
      <c r="B7" s="2745" t="s">
        <v>2830</v>
      </c>
      <c r="C7" s="919" t="e">
        <f>IF(C8="不临58条商业街",1,ROUND(1+(1.6*E8+1.2*E9+0.8*E10+0.4*E11)*C9,4))</f>
        <v>#DIV/0!</v>
      </c>
      <c r="D7" s="2746" t="s">
        <v>2831</v>
      </c>
      <c r="E7" s="945"/>
      <c r="F7" s="2747"/>
      <c r="G7" s="2748"/>
      <c r="H7" s="2748"/>
      <c r="I7" s="2748"/>
      <c r="J7" s="2749"/>
      <c r="K7" s="1842"/>
      <c r="L7" s="2726"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0.14000000000000001</v>
      </c>
      <c r="AA7" s="1606"/>
      <c r="AB7" s="1606"/>
      <c r="AC7" s="1607"/>
      <c r="AD7" s="1608"/>
      <c r="AE7" s="1608"/>
      <c r="AF7" s="1608"/>
      <c r="AG7" s="1608"/>
      <c r="AH7" s="1608"/>
      <c r="AI7" s="1608"/>
      <c r="AJ7" s="1609"/>
    </row>
    <row r="8" spans="1:36" ht="15">
      <c r="A8" s="3376"/>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368" t="s">
        <v>2838</v>
      </c>
      <c r="X8" s="336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376"/>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7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76"/>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7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76"/>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70" t="s">
        <v>2862</v>
      </c>
      <c r="X11" s="1614" t="s">
        <v>2863</v>
      </c>
      <c r="Y11" s="1615">
        <f>$G$3</f>
        <v>0.14000000000000001</v>
      </c>
      <c r="Z11" s="1615">
        <f t="shared" ref="Z11:AJ11" si="3">$G$3</f>
        <v>0.14000000000000001</v>
      </c>
      <c r="AA11" s="1615">
        <f t="shared" si="3"/>
        <v>0.14000000000000001</v>
      </c>
      <c r="AB11" s="1615">
        <f t="shared" si="3"/>
        <v>0.14000000000000001</v>
      </c>
      <c r="AC11" s="1615">
        <f t="shared" si="3"/>
        <v>0.14000000000000001</v>
      </c>
      <c r="AD11" s="1615">
        <f t="shared" si="3"/>
        <v>0.14000000000000001</v>
      </c>
      <c r="AE11" s="1615">
        <f t="shared" si="3"/>
        <v>0.14000000000000001</v>
      </c>
      <c r="AF11" s="1615">
        <f t="shared" si="3"/>
        <v>0.14000000000000001</v>
      </c>
      <c r="AG11" s="1615">
        <f t="shared" si="3"/>
        <v>0.14000000000000001</v>
      </c>
      <c r="AH11" s="1615">
        <f t="shared" si="3"/>
        <v>0.14000000000000001</v>
      </c>
      <c r="AI11" s="1615">
        <f t="shared" si="3"/>
        <v>0.14000000000000001</v>
      </c>
      <c r="AJ11" s="1615">
        <f t="shared" si="3"/>
        <v>0.14000000000000001</v>
      </c>
    </row>
    <row r="12" spans="1:36" ht="25.5" thickBot="1">
      <c r="A12" s="3375"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7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77"/>
      <c r="B13" s="2764" t="s">
        <v>2869</v>
      </c>
      <c r="C13" s="2765" t="s">
        <v>2870</v>
      </c>
      <c r="D13" s="1808" t="s">
        <v>2871</v>
      </c>
      <c r="E13" s="1808" t="s">
        <v>2872</v>
      </c>
      <c r="F13" s="30" t="s">
        <v>2873</v>
      </c>
      <c r="G13" s="2766" t="s">
        <v>2874</v>
      </c>
      <c r="H13" s="2766" t="s">
        <v>2874</v>
      </c>
      <c r="I13" s="2766" t="s">
        <v>2874</v>
      </c>
      <c r="J13" s="2767" t="s">
        <v>2874</v>
      </c>
      <c r="K13" s="1370"/>
      <c r="L13" s="1370"/>
      <c r="M13" s="1370"/>
      <c r="N13" s="1370"/>
      <c r="O13" s="1370"/>
      <c r="P13" s="1370"/>
      <c r="Q13" s="1370"/>
      <c r="R13" s="1602">
        <v>12</v>
      </c>
      <c r="S13" s="1603"/>
      <c r="T13" s="1602" t="e">
        <f t="shared" si="0"/>
        <v>#DIV/0!</v>
      </c>
      <c r="U13" s="1603"/>
      <c r="V13" s="1602" t="e">
        <f t="shared" si="1"/>
        <v>#DIV/0!</v>
      </c>
      <c r="W13" s="3370"/>
      <c r="X13" s="1616"/>
      <c r="Y13" s="1613">
        <f>(-0.163*(Y12^2)-0.59*Y12+7617)*(10^(-4))/Y11</f>
        <v>5.4407142857142858</v>
      </c>
      <c r="Z13" s="1613">
        <f t="shared" ref="Z13:AJ13" si="5">(-0.163*(Z12^2)-0.59*Z12+7617)*(10^(-4))/Z11</f>
        <v>5.4407142857142858</v>
      </c>
      <c r="AA13" s="1613">
        <f t="shared" si="5"/>
        <v>5.4407142857142858</v>
      </c>
      <c r="AB13" s="1613">
        <f t="shared" si="5"/>
        <v>5.4407142857142858</v>
      </c>
      <c r="AC13" s="1613">
        <f t="shared" si="5"/>
        <v>5.4407142857142858</v>
      </c>
      <c r="AD13" s="1613">
        <f t="shared" si="5"/>
        <v>5.4407142857142858</v>
      </c>
      <c r="AE13" s="1613">
        <f t="shared" si="5"/>
        <v>5.4407142857142858</v>
      </c>
      <c r="AF13" s="1613">
        <f t="shared" si="5"/>
        <v>5.4407142857142858</v>
      </c>
      <c r="AG13" s="1613">
        <f t="shared" si="5"/>
        <v>5.4407142857142858</v>
      </c>
      <c r="AH13" s="1613">
        <f t="shared" si="5"/>
        <v>5.4407142857142858</v>
      </c>
      <c r="AI13" s="1613">
        <f t="shared" si="5"/>
        <v>5.4407142857142858</v>
      </c>
      <c r="AJ13" s="1613">
        <f t="shared" si="5"/>
        <v>5.4407142857142858</v>
      </c>
    </row>
    <row r="14" spans="1:36" ht="15">
      <c r="A14" s="3377"/>
      <c r="B14" s="2768"/>
      <c r="C14" s="2769"/>
      <c r="D14" s="2770"/>
      <c r="E14" s="2770"/>
      <c r="F14" s="2771"/>
      <c r="G14" s="2772" t="s">
        <v>2875</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78"/>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375" t="s">
        <v>2881</v>
      </c>
      <c r="B16" s="2745" t="s">
        <v>2882</v>
      </c>
      <c r="C16" s="2932" t="e">
        <f>ROUND(IF(F17="与级别开发程度一致",0,(G17-E17)/C17),0)</f>
        <v>#DIV/0!</v>
      </c>
      <c r="D16" s="3389" t="s">
        <v>2886</v>
      </c>
      <c r="E16" s="3390"/>
      <c r="F16" s="3389" t="s">
        <v>2883</v>
      </c>
      <c r="G16" s="3390"/>
      <c r="H16" s="2779"/>
      <c r="I16" s="2779"/>
      <c r="J16" s="2936"/>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379"/>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ROUND(IF(H19="按公示增长率计算",SUMPRODUCT((地价!A3:A28=YEAR(G19)&amp;"-"&amp;ROUNDUP(MONTH(G19)/3,0))*(地价!X2:AB2=E2)*(地价!X3:AB28)),IF(H19="地价指数",M20/M19,(1+I19)^O19)),4)</f>
        <v>#VALUE!</v>
      </c>
      <c r="D19" s="2789" t="s">
        <v>2890</v>
      </c>
      <c r="E19" s="925">
        <v>41640</v>
      </c>
      <c r="F19" s="2789" t="s">
        <v>2891</v>
      </c>
      <c r="G19" s="926">
        <f>'数据-取费表'!B2</f>
        <v>43817</v>
      </c>
      <c r="H19" s="2790"/>
      <c r="I19" s="927" t="str">
        <f>IF(H19="季度增幅（自定义）",SUMIF(N21:N24,E2,O21:O24),"")</f>
        <v/>
      </c>
      <c r="J19" s="2787"/>
      <c r="K19" s="1377"/>
      <c r="L19" s="2791" t="s">
        <v>2892</v>
      </c>
      <c r="M19" s="1734">
        <f>ROUND(SUMIF(地价!B2:F2,E2,地价!B28:F28),0)</f>
        <v>0</v>
      </c>
      <c r="N19" s="2792" t="s">
        <v>2893</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8">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5">
        <f>ROUND(SUMPRODUCT((地价!A4:A28=YEAR(G19)&amp;"-"&amp;ROUNDUP(MONTH(G19)/3,0))*(地价!B2:F2=E2)*(地价!B4:F28)),0)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10" t="s">
        <v>2905</v>
      </c>
      <c r="D22" s="1810">
        <f>IF(E22=G22,F22,IF(G3&lt;=10,ROUND(F22+(H22-F22)*(G3-E22)/(G22-E22),4),"——"))</f>
        <v>0</v>
      </c>
      <c r="E22" s="916">
        <f>ROUNDDOWN(G3,1)</f>
        <v>0.1</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386"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7"/>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7"/>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388"/>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9" t="s">
        <v>2941</v>
      </c>
      <c r="C47" s="1809" t="s">
        <v>2942</v>
      </c>
      <c r="D47" s="1809" t="s">
        <v>2943</v>
      </c>
      <c r="E47" s="819" t="s">
        <v>2944</v>
      </c>
      <c r="F47" s="2871" t="s">
        <v>2945</v>
      </c>
      <c r="G47" s="1809" t="s">
        <v>754</v>
      </c>
      <c r="H47" s="2872"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9"/>
      <c r="C58" s="1809" t="s">
        <v>2942</v>
      </c>
      <c r="D58" s="1809" t="s">
        <v>2943</v>
      </c>
      <c r="E58" s="819" t="s">
        <v>2944</v>
      </c>
      <c r="F58" s="2871" t="s">
        <v>2960</v>
      </c>
      <c r="G58" s="1809" t="s">
        <v>754</v>
      </c>
      <c r="H58" s="2872"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9"/>
      <c r="C69" s="1809" t="s">
        <v>2942</v>
      </c>
      <c r="D69" s="1809" t="s">
        <v>2943</v>
      </c>
      <c r="E69" s="819" t="s">
        <v>2944</v>
      </c>
      <c r="F69" s="2871" t="s">
        <v>2960</v>
      </c>
      <c r="G69" s="1809" t="s">
        <v>754</v>
      </c>
      <c r="H69" s="2872"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9"/>
      <c r="C80" s="1809" t="s">
        <v>2942</v>
      </c>
      <c r="D80" s="1809" t="s">
        <v>2943</v>
      </c>
      <c r="E80" s="819" t="s">
        <v>2944</v>
      </c>
      <c r="F80" s="2871" t="s">
        <v>2960</v>
      </c>
      <c r="G80" s="1809" t="s">
        <v>754</v>
      </c>
      <c r="H80" s="2872" t="s">
        <v>2946</v>
      </c>
      <c r="I80" s="1809"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380" t="s">
        <v>2970</v>
      </c>
      <c r="B90" s="3380"/>
      <c r="C90" s="3380"/>
      <c r="D90" s="3380"/>
      <c r="E90" s="3380"/>
      <c r="F90" s="3380"/>
      <c r="G90" s="3380"/>
      <c r="H90" s="3380"/>
      <c r="I90" s="3380"/>
      <c r="J90" s="3380"/>
      <c r="K90" s="2884"/>
      <c r="L90" s="2884"/>
      <c r="M90" s="2884"/>
      <c r="N90" s="2884"/>
    </row>
    <row r="91" spans="1:37">
      <c r="A91" s="3382" t="s">
        <v>2971</v>
      </c>
      <c r="B91" s="3382" t="s">
        <v>2972</v>
      </c>
      <c r="C91" s="2838" t="s">
        <v>2973</v>
      </c>
      <c r="D91" s="2839"/>
      <c r="E91" s="2839"/>
      <c r="F91" s="2839"/>
      <c r="G91" s="2839"/>
      <c r="H91" s="2839"/>
      <c r="I91" s="2839"/>
      <c r="J91" s="2885"/>
      <c r="K91" s="2886"/>
      <c r="L91" s="2886"/>
      <c r="M91" s="2886"/>
      <c r="N91" s="2886"/>
    </row>
    <row r="92" spans="1:37">
      <c r="A92" s="3382"/>
      <c r="B92" s="338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383"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84"/>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84"/>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84"/>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84"/>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84"/>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84"/>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85"/>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83" t="s">
        <v>2975</v>
      </c>
      <c r="B101" s="2891" t="s">
        <v>2976</v>
      </c>
      <c r="C101" s="2892">
        <f>$G$3</f>
        <v>0.14000000000000001</v>
      </c>
      <c r="D101" s="2892">
        <f t="shared" ref="D101:N101" si="31">$G$3</f>
        <v>0.14000000000000001</v>
      </c>
      <c r="E101" s="2892">
        <f t="shared" si="31"/>
        <v>0.14000000000000001</v>
      </c>
      <c r="F101" s="2892">
        <f t="shared" si="31"/>
        <v>0.14000000000000001</v>
      </c>
      <c r="G101" s="2892">
        <f t="shared" si="31"/>
        <v>0.14000000000000001</v>
      </c>
      <c r="H101" s="2892">
        <f t="shared" si="31"/>
        <v>0.14000000000000001</v>
      </c>
      <c r="I101" s="2892">
        <f t="shared" si="31"/>
        <v>0.14000000000000001</v>
      </c>
      <c r="J101" s="2892">
        <f t="shared" si="31"/>
        <v>0.14000000000000001</v>
      </c>
      <c r="K101" s="2892">
        <f t="shared" si="31"/>
        <v>0.14000000000000001</v>
      </c>
      <c r="L101" s="2892">
        <f t="shared" si="31"/>
        <v>0.14000000000000001</v>
      </c>
      <c r="M101" s="2892">
        <f t="shared" si="31"/>
        <v>0.14000000000000001</v>
      </c>
      <c r="N101" s="2892">
        <f t="shared" si="31"/>
        <v>0.14000000000000001</v>
      </c>
    </row>
    <row r="102" spans="1:14">
      <c r="A102" s="3384"/>
      <c r="B102" s="2887">
        <v>1</v>
      </c>
      <c r="C102" s="2888">
        <f>1.9362/C101</f>
        <v>13.829999999999998</v>
      </c>
      <c r="D102" s="2888">
        <f>1.9362/D101</f>
        <v>13.829999999999998</v>
      </c>
      <c r="E102" s="2888">
        <f>1.8629/E101</f>
        <v>13.306428571428571</v>
      </c>
      <c r="F102" s="2888">
        <f>1.8629/F101</f>
        <v>13.306428571428571</v>
      </c>
      <c r="G102" s="2888">
        <f>1.8629/G101</f>
        <v>13.306428571428571</v>
      </c>
      <c r="H102" s="2888">
        <f>1.8629/H101</f>
        <v>13.306428571428571</v>
      </c>
      <c r="I102" s="2888">
        <f>1.8629/I101</f>
        <v>13.306428571428571</v>
      </c>
      <c r="J102" s="2888">
        <f>1.942/J101</f>
        <v>13.87142857142857</v>
      </c>
      <c r="K102" s="2888">
        <f>1.942/K101</f>
        <v>13.87142857142857</v>
      </c>
      <c r="L102" s="2888">
        <f>1.942/L101</f>
        <v>13.87142857142857</v>
      </c>
      <c r="M102" s="2888">
        <f>1.942/M101</f>
        <v>13.87142857142857</v>
      </c>
      <c r="N102" s="2888">
        <f>1.942/N101</f>
        <v>13.87142857142857</v>
      </c>
    </row>
    <row r="103" spans="1:14">
      <c r="A103" s="3384"/>
      <c r="B103" s="2887">
        <v>2</v>
      </c>
      <c r="C103" s="2888">
        <f>1.4198/C101</f>
        <v>10.14142857142857</v>
      </c>
      <c r="D103" s="2888">
        <f>1.4198/D101</f>
        <v>10.14142857142857</v>
      </c>
      <c r="E103" s="2888">
        <f>1.3372/E101</f>
        <v>9.5514285714285698</v>
      </c>
      <c r="F103" s="2888">
        <f>1.3372/F101</f>
        <v>9.5514285714285698</v>
      </c>
      <c r="G103" s="2888">
        <f>1.3372/G101</f>
        <v>9.5514285714285698</v>
      </c>
      <c r="H103" s="2888">
        <f>1.3372/H101</f>
        <v>9.5514285714285698</v>
      </c>
      <c r="I103" s="2888">
        <f>1.3372/I101</f>
        <v>9.5514285714285698</v>
      </c>
      <c r="J103" s="2888">
        <f>1.2799/J101</f>
        <v>9.142142857142856</v>
      </c>
      <c r="K103" s="2888">
        <f>1.2799/K101</f>
        <v>9.142142857142856</v>
      </c>
      <c r="L103" s="2888">
        <f>1.2799/L101</f>
        <v>9.142142857142856</v>
      </c>
      <c r="M103" s="2888">
        <f>1.2799/M101</f>
        <v>9.142142857142856</v>
      </c>
      <c r="N103" s="2888">
        <f>1.2799/N101</f>
        <v>9.142142857142856</v>
      </c>
    </row>
    <row r="104" spans="1:14">
      <c r="A104" s="3384"/>
      <c r="B104" s="2887">
        <v>3</v>
      </c>
      <c r="C104" s="2888">
        <f>1.1594/C101</f>
        <v>8.2814285714285703</v>
      </c>
      <c r="D104" s="2888">
        <f>1.1594/D101</f>
        <v>8.2814285714285703</v>
      </c>
      <c r="E104" s="2888">
        <f>1.0788/E101</f>
        <v>7.7057142857142846</v>
      </c>
      <c r="F104" s="2888">
        <f>1.0788/F101</f>
        <v>7.7057142857142846</v>
      </c>
      <c r="G104" s="2888">
        <f>1.0788/G101</f>
        <v>7.7057142857142846</v>
      </c>
      <c r="H104" s="2888">
        <f>1.0788/H101</f>
        <v>7.7057142857142846</v>
      </c>
      <c r="I104" s="2888">
        <f>1.0788/I101</f>
        <v>7.7057142857142846</v>
      </c>
      <c r="J104" s="2888">
        <f>1.0072/J101</f>
        <v>7.194285714285714</v>
      </c>
      <c r="K104" s="2888">
        <f>1.0072/K101</f>
        <v>7.194285714285714</v>
      </c>
      <c r="L104" s="2888">
        <f>1.0072/L101</f>
        <v>7.194285714285714</v>
      </c>
      <c r="M104" s="2888">
        <f>1.0072/M101</f>
        <v>7.194285714285714</v>
      </c>
      <c r="N104" s="2888">
        <f>1.0072/N101</f>
        <v>7.194285714285714</v>
      </c>
    </row>
    <row r="105" spans="1:14">
      <c r="A105" s="3384"/>
      <c r="B105" s="2887">
        <v>4</v>
      </c>
      <c r="C105" s="2888">
        <f>0.9622/C101</f>
        <v>6.8728571428571428</v>
      </c>
      <c r="D105" s="2888">
        <f>0.9622/D101</f>
        <v>6.8728571428571428</v>
      </c>
      <c r="E105" s="2888">
        <f>0.8656/E101</f>
        <v>6.1828571428571424</v>
      </c>
      <c r="F105" s="2888">
        <f>0.8656/F101</f>
        <v>6.1828571428571424</v>
      </c>
      <c r="G105" s="2888">
        <f>0.8656/G101</f>
        <v>6.1828571428571424</v>
      </c>
      <c r="H105" s="2888">
        <f>0.8656/H101</f>
        <v>6.1828571428571424</v>
      </c>
      <c r="I105" s="2888">
        <f>0.8656/I101</f>
        <v>6.1828571428571424</v>
      </c>
      <c r="J105" s="2888">
        <f>0.7525/J101</f>
        <v>5.3749999999999991</v>
      </c>
      <c r="K105" s="2888">
        <f>0.7525/K101</f>
        <v>5.3749999999999991</v>
      </c>
      <c r="L105" s="2888">
        <f>0.7525/L101</f>
        <v>5.3749999999999991</v>
      </c>
      <c r="M105" s="2888">
        <f>0.7525/M101</f>
        <v>5.3749999999999991</v>
      </c>
      <c r="N105" s="2888">
        <f>0.7525/N101</f>
        <v>5.3749999999999991</v>
      </c>
    </row>
    <row r="106" spans="1:14">
      <c r="A106" s="3384"/>
      <c r="B106" s="2887">
        <v>5</v>
      </c>
      <c r="C106" s="2888">
        <f>0.8417/C101</f>
        <v>6.012142857142857</v>
      </c>
      <c r="D106" s="2888">
        <f>0.8417/D101</f>
        <v>6.012142857142857</v>
      </c>
      <c r="E106" s="2888">
        <f>0.7371/E101</f>
        <v>5.2649999999999997</v>
      </c>
      <c r="F106" s="2888">
        <f>0.7371/F101</f>
        <v>5.2649999999999997</v>
      </c>
      <c r="G106" s="2888">
        <f>0.7371/G101</f>
        <v>5.2649999999999997</v>
      </c>
      <c r="H106" s="2888">
        <f>0.7371/H101</f>
        <v>5.2649999999999997</v>
      </c>
      <c r="I106" s="2888">
        <f>0.7371/I101</f>
        <v>5.2649999999999997</v>
      </c>
      <c r="J106" s="2888">
        <f>0.5659/J101</f>
        <v>4.0421428571428564</v>
      </c>
      <c r="K106" s="2888">
        <f>0.5659/K101</f>
        <v>4.0421428571428564</v>
      </c>
      <c r="L106" s="2888">
        <f>0.5659/L101</f>
        <v>4.0421428571428564</v>
      </c>
      <c r="M106" s="2888">
        <f>0.5659/M101</f>
        <v>4.0421428571428564</v>
      </c>
      <c r="N106" s="2888">
        <f>0.5659/N101</f>
        <v>4.0421428571428564</v>
      </c>
    </row>
    <row r="107" spans="1:14">
      <c r="A107" s="3384"/>
      <c r="B107" s="2887">
        <v>6</v>
      </c>
      <c r="C107" s="2888">
        <f>0.7608/C101</f>
        <v>5.4342857142857142</v>
      </c>
      <c r="D107" s="2888">
        <f>0.7608/D101</f>
        <v>5.4342857142857142</v>
      </c>
      <c r="E107" s="2888">
        <f>0.6482/E101</f>
        <v>4.63</v>
      </c>
      <c r="F107" s="2888">
        <f>0.6482/F101</f>
        <v>4.63</v>
      </c>
      <c r="G107" s="2888">
        <f>0.6482/G101</f>
        <v>4.63</v>
      </c>
      <c r="H107" s="2888">
        <f>0.6482/H101</f>
        <v>4.63</v>
      </c>
      <c r="I107" s="2888">
        <f>0.6482/I101</f>
        <v>4.63</v>
      </c>
      <c r="J107" s="2888">
        <f>0.4525/J101</f>
        <v>3.2321428571428568</v>
      </c>
      <c r="K107" s="2888">
        <f>0.4525/K101</f>
        <v>3.2321428571428568</v>
      </c>
      <c r="L107" s="2888">
        <f>0.4525/L101</f>
        <v>3.2321428571428568</v>
      </c>
      <c r="M107" s="2888">
        <f>0.4525/M101</f>
        <v>3.2321428571428568</v>
      </c>
      <c r="N107" s="2888">
        <f>0.4525/N101</f>
        <v>3.2321428571428568</v>
      </c>
    </row>
    <row r="108" spans="1:14">
      <c r="A108" s="3384"/>
      <c r="B108" s="3222"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85"/>
      <c r="B109" s="3223"/>
      <c r="C109" s="2890">
        <f>(-0.163*(C108^2)-0.59*C108+7617)*(10^(-4))/C101</f>
        <v>5.4407142857142858</v>
      </c>
      <c r="D109" s="2890">
        <f>(-0.163*(D108^2)-0.59*D108+7617)*(10^(-4))/D101</f>
        <v>5.4407142857142858</v>
      </c>
      <c r="E109" s="2890">
        <f>(-0.161*(E108^2)-7.509*E108+6533)*(10^(-4))/E101</f>
        <v>4.6664285714285709</v>
      </c>
      <c r="F109" s="2890">
        <f>(-0.161*(F108^2)-7.509*F108+6533)*(10^(-4))/F101</f>
        <v>4.6664285714285709</v>
      </c>
      <c r="G109" s="2890">
        <f>(-0.161*(G108^2)-7.509*G108+6533)*(10^(-4))/G101</f>
        <v>4.6664285714285709</v>
      </c>
      <c r="H109" s="2890">
        <f>(-0.161*(H108^2)-7.509*H108+6533)*(10^(-4))/H101</f>
        <v>4.6664285714285709</v>
      </c>
      <c r="I109" s="2890">
        <f>(-0.161*(I108^2)-7.509*I108+6533)*(10^(-4))/I101</f>
        <v>4.6664285714285709</v>
      </c>
      <c r="J109" s="2890">
        <f>(-0.214*(J108^2)-21.991*J108+4665)*(10^(-4))/J101</f>
        <v>3.3321428571428569</v>
      </c>
      <c r="K109" s="2890">
        <f>(-0.214*(K108^2)-21.991*K108+4665)*(10^(-4))/K101</f>
        <v>3.3321428571428569</v>
      </c>
      <c r="L109" s="2890">
        <f>(-0.214*(L108^2)-21.991*L108+4665)*(10^(-4))/L101</f>
        <v>3.3321428571428569</v>
      </c>
      <c r="M109" s="2890">
        <f>(-0.214*(M108^2)-21.991*M108+4665)*(10^(-4))/M101</f>
        <v>3.3321428571428569</v>
      </c>
      <c r="N109" s="2890">
        <f>(-0.214*(N108^2)-21.991*N108+4665)*(10^(-4))/N101</f>
        <v>3.3321428571428569</v>
      </c>
    </row>
    <row r="110" spans="1:14">
      <c r="A110" s="3381" t="s">
        <v>2978</v>
      </c>
      <c r="B110" s="3381"/>
      <c r="C110" s="3381"/>
      <c r="D110" s="3381"/>
      <c r="E110" s="3381"/>
      <c r="F110" s="3381"/>
      <c r="G110" s="3381"/>
      <c r="H110" s="3381"/>
      <c r="I110" s="3381"/>
      <c r="J110" s="3381"/>
      <c r="K110" s="2893"/>
      <c r="L110" s="2893"/>
      <c r="M110" s="2893"/>
      <c r="N110" s="2893"/>
    </row>
    <row r="112" spans="1:14" ht="13.5" thickBot="1"/>
    <row r="113" spans="1:13" ht="25.5" thickBot="1">
      <c r="A113" s="903" t="s">
        <v>2979</v>
      </c>
      <c r="B113" s="1287">
        <f>G3</f>
        <v>0.14000000000000001</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2878</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2879</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2880</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91" t="s">
        <v>183</v>
      </c>
      <c r="B18" s="882" t="s">
        <v>560</v>
      </c>
      <c r="C18" s="883" t="s">
        <v>561</v>
      </c>
      <c r="D18" s="884"/>
      <c r="E18" s="882">
        <v>1</v>
      </c>
      <c r="F18" s="885" t="s">
        <v>562</v>
      </c>
      <c r="G18" s="886"/>
      <c r="H18" s="878"/>
      <c r="I18" s="878"/>
    </row>
    <row r="19" spans="1:9" s="887" customFormat="1" ht="19.5" customHeight="1">
      <c r="A19" s="3391"/>
      <c r="B19" s="3391" t="s">
        <v>563</v>
      </c>
      <c r="C19" s="883" t="s">
        <v>564</v>
      </c>
      <c r="D19" s="884"/>
      <c r="E19" s="882">
        <v>0.9</v>
      </c>
      <c r="F19" s="885" t="s">
        <v>565</v>
      </c>
      <c r="G19" s="886"/>
      <c r="H19" s="878"/>
      <c r="I19" s="878"/>
    </row>
    <row r="20" spans="1:9" s="887" customFormat="1" ht="19.5" customHeight="1">
      <c r="A20" s="3391"/>
      <c r="B20" s="3391"/>
      <c r="C20" s="883" t="s">
        <v>566</v>
      </c>
      <c r="D20" s="884"/>
      <c r="E20" s="882">
        <v>1.1000000000000001</v>
      </c>
      <c r="F20" s="885" t="s">
        <v>567</v>
      </c>
      <c r="G20" s="886"/>
      <c r="H20" s="878"/>
      <c r="I20" s="878"/>
    </row>
    <row r="21" spans="1:9" s="887" customFormat="1" ht="19.5" customHeight="1">
      <c r="A21" s="3391"/>
      <c r="B21" s="3391"/>
      <c r="C21" s="883" t="s">
        <v>568</v>
      </c>
      <c r="D21" s="884"/>
      <c r="E21" s="882">
        <v>0.8</v>
      </c>
      <c r="F21" s="885" t="s">
        <v>569</v>
      </c>
      <c r="G21" s="886"/>
      <c r="H21" s="878"/>
      <c r="I21" s="878"/>
    </row>
    <row r="22" spans="1:9" s="887" customFormat="1" ht="19.5" customHeight="1">
      <c r="A22" s="3391"/>
      <c r="B22" s="3391"/>
      <c r="C22" s="883" t="s">
        <v>570</v>
      </c>
      <c r="D22" s="884"/>
      <c r="E22" s="882">
        <v>0.5</v>
      </c>
      <c r="F22" s="885"/>
      <c r="G22" s="886"/>
      <c r="H22" s="878"/>
      <c r="I22" s="878"/>
    </row>
    <row r="23" spans="1:9" s="887" customFormat="1" ht="19.5" customHeight="1">
      <c r="A23" s="3391" t="s">
        <v>184</v>
      </c>
      <c r="B23" s="882" t="s">
        <v>560</v>
      </c>
      <c r="C23" s="883" t="s">
        <v>571</v>
      </c>
      <c r="D23" s="884"/>
      <c r="E23" s="882">
        <v>1</v>
      </c>
      <c r="F23" s="885" t="s">
        <v>572</v>
      </c>
      <c r="G23" s="886"/>
      <c r="H23" s="878"/>
      <c r="I23" s="878"/>
    </row>
    <row r="24" spans="1:9" s="887" customFormat="1" ht="19.5" customHeight="1">
      <c r="A24" s="3391"/>
      <c r="B24" s="3391" t="s">
        <v>563</v>
      </c>
      <c r="C24" s="883" t="s">
        <v>573</v>
      </c>
      <c r="D24" s="884"/>
      <c r="E24" s="882">
        <v>0.5</v>
      </c>
      <c r="F24" s="885"/>
      <c r="G24" s="886"/>
      <c r="H24" s="878"/>
      <c r="I24" s="878"/>
    </row>
    <row r="25" spans="1:9" s="887" customFormat="1" ht="19.5" customHeight="1">
      <c r="A25" s="3391"/>
      <c r="B25" s="3391"/>
      <c r="C25" s="883" t="s">
        <v>574</v>
      </c>
      <c r="D25" s="884"/>
      <c r="E25" s="882">
        <v>1.1000000000000001</v>
      </c>
      <c r="F25" s="885"/>
      <c r="G25" s="886"/>
      <c r="H25" s="878"/>
      <c r="I25" s="878"/>
    </row>
    <row r="26" spans="1:9" s="887" customFormat="1" ht="19.5" customHeight="1">
      <c r="A26" s="3391"/>
      <c r="B26" s="3391"/>
      <c r="C26" s="883" t="s">
        <v>575</v>
      </c>
      <c r="D26" s="884"/>
      <c r="E26" s="882">
        <v>1.1000000000000001</v>
      </c>
      <c r="F26" s="885"/>
      <c r="G26" s="886"/>
      <c r="H26" s="878"/>
      <c r="I26" s="878"/>
    </row>
    <row r="27" spans="1:9" s="887" customFormat="1" ht="19.5" customHeight="1">
      <c r="A27" s="3391"/>
      <c r="B27" s="3391"/>
      <c r="C27" s="883" t="s">
        <v>576</v>
      </c>
      <c r="D27" s="884"/>
      <c r="E27" s="882">
        <v>0.9</v>
      </c>
      <c r="F27" s="885" t="s">
        <v>577</v>
      </c>
      <c r="G27" s="886"/>
      <c r="H27" s="878"/>
      <c r="I27" s="878"/>
    </row>
    <row r="28" spans="1:9" s="887" customFormat="1" ht="19.5" customHeight="1">
      <c r="A28" s="3391"/>
      <c r="B28" s="3391"/>
      <c r="C28" s="883" t="s">
        <v>578</v>
      </c>
      <c r="D28" s="884"/>
      <c r="E28" s="882">
        <v>0.9</v>
      </c>
      <c r="F28" s="885" t="s">
        <v>579</v>
      </c>
      <c r="G28" s="886"/>
      <c r="H28" s="878"/>
      <c r="I28" s="878"/>
    </row>
    <row r="29" spans="1:9" s="887" customFormat="1" ht="19.5" customHeight="1">
      <c r="A29" s="3391"/>
      <c r="B29" s="3391"/>
      <c r="C29" s="883" t="s">
        <v>580</v>
      </c>
      <c r="D29" s="884"/>
      <c r="E29" s="882">
        <v>0.9</v>
      </c>
      <c r="F29" s="885" t="s">
        <v>581</v>
      </c>
      <c r="G29" s="886"/>
      <c r="H29" s="878"/>
      <c r="I29" s="878"/>
    </row>
    <row r="30" spans="1:9" s="887" customFormat="1" ht="19.5" customHeight="1">
      <c r="A30" s="3391"/>
      <c r="B30" s="3391"/>
      <c r="C30" s="883" t="s">
        <v>582</v>
      </c>
      <c r="D30" s="884"/>
      <c r="E30" s="882">
        <v>0.9</v>
      </c>
      <c r="F30" s="885" t="s">
        <v>583</v>
      </c>
      <c r="G30" s="886"/>
      <c r="H30" s="878"/>
      <c r="I30" s="878"/>
    </row>
    <row r="31" spans="1:9" s="887" customFormat="1" ht="19.5" customHeight="1">
      <c r="A31" s="3391"/>
      <c r="B31" s="3391"/>
      <c r="C31" s="883" t="s">
        <v>584</v>
      </c>
      <c r="D31" s="884"/>
      <c r="E31" s="882">
        <v>0.8</v>
      </c>
      <c r="F31" s="885" t="s">
        <v>585</v>
      </c>
      <c r="G31" s="886"/>
      <c r="H31" s="878"/>
      <c r="I31" s="878"/>
    </row>
    <row r="32" spans="1:9" s="887" customFormat="1" ht="19.5" customHeight="1">
      <c r="A32" s="3391"/>
      <c r="B32" s="3391"/>
      <c r="C32" s="883" t="s">
        <v>586</v>
      </c>
      <c r="D32" s="884"/>
      <c r="E32" s="882">
        <v>0.8</v>
      </c>
      <c r="F32" s="885" t="s">
        <v>587</v>
      </c>
      <c r="G32" s="886"/>
      <c r="H32" s="878"/>
      <c r="I32" s="878"/>
    </row>
    <row r="33" spans="1:9" s="887" customFormat="1" ht="19.5" customHeight="1">
      <c r="A33" s="3391" t="s">
        <v>185</v>
      </c>
      <c r="B33" s="882" t="s">
        <v>560</v>
      </c>
      <c r="C33" s="883" t="s">
        <v>588</v>
      </c>
      <c r="D33" s="884"/>
      <c r="E33" s="882">
        <v>1</v>
      </c>
      <c r="F33" s="885" t="s">
        <v>589</v>
      </c>
      <c r="G33" s="886"/>
      <c r="H33" s="878"/>
      <c r="I33" s="878"/>
    </row>
    <row r="34" spans="1:9" s="887" customFormat="1" ht="19.5" customHeight="1">
      <c r="A34" s="3391"/>
      <c r="B34" s="882" t="s">
        <v>563</v>
      </c>
      <c r="C34" s="883" t="s">
        <v>590</v>
      </c>
      <c r="D34" s="884"/>
      <c r="E34" s="882">
        <v>1.5</v>
      </c>
      <c r="F34" s="885" t="s">
        <v>591</v>
      </c>
      <c r="G34" s="886"/>
      <c r="H34" s="878"/>
      <c r="I34" s="878"/>
    </row>
    <row r="35" spans="1:9" s="887" customFormat="1" ht="19.5" customHeight="1">
      <c r="A35" s="3391" t="s">
        <v>186</v>
      </c>
      <c r="B35" s="882" t="s">
        <v>560</v>
      </c>
      <c r="C35" s="883" t="s">
        <v>592</v>
      </c>
      <c r="D35" s="884"/>
      <c r="E35" s="882">
        <v>1</v>
      </c>
      <c r="F35" s="885" t="s">
        <v>593</v>
      </c>
      <c r="G35" s="886"/>
      <c r="H35" s="878"/>
      <c r="I35" s="878"/>
    </row>
    <row r="36" spans="1:9" s="887" customFormat="1" ht="19.5" customHeight="1">
      <c r="A36" s="3391"/>
      <c r="B36" s="3391" t="s">
        <v>563</v>
      </c>
      <c r="C36" s="883" t="s">
        <v>594</v>
      </c>
      <c r="D36" s="884"/>
      <c r="E36" s="882">
        <v>1</v>
      </c>
      <c r="F36" s="885" t="s">
        <v>595</v>
      </c>
      <c r="G36" s="886"/>
      <c r="H36" s="878"/>
      <c r="I36" s="878"/>
    </row>
    <row r="37" spans="1:9" s="887" customFormat="1" ht="19.5" customHeight="1">
      <c r="A37" s="3391"/>
      <c r="B37" s="3391"/>
      <c r="C37" s="883" t="s">
        <v>596</v>
      </c>
      <c r="D37" s="884"/>
      <c r="E37" s="882">
        <v>1.5</v>
      </c>
      <c r="F37" s="885" t="s">
        <v>597</v>
      </c>
      <c r="G37" s="886"/>
      <c r="H37" s="878"/>
      <c r="I37" s="878"/>
    </row>
    <row r="38" spans="1:9" s="887" customFormat="1" ht="19.5" customHeight="1">
      <c r="A38" s="3391"/>
      <c r="B38" s="3391"/>
      <c r="C38" s="883" t="s">
        <v>598</v>
      </c>
      <c r="D38" s="884"/>
      <c r="E38" s="882">
        <v>1</v>
      </c>
      <c r="F38" s="885" t="s">
        <v>599</v>
      </c>
      <c r="G38" s="886"/>
      <c r="H38" s="878"/>
      <c r="I38" s="878"/>
    </row>
    <row r="39" spans="1:9" s="887" customFormat="1" ht="19.5" customHeight="1">
      <c r="A39" s="3391"/>
      <c r="B39" s="339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91" t="s">
        <v>614</v>
      </c>
      <c r="C61" s="818" t="s">
        <v>615</v>
      </c>
      <c r="D61" s="818" t="s">
        <v>616</v>
      </c>
      <c r="E61" s="895">
        <v>0.5</v>
      </c>
      <c r="F61" s="882">
        <v>80</v>
      </c>
    </row>
    <row r="62" spans="1:8" s="878" customFormat="1" ht="24">
      <c r="A62" s="882">
        <v>2</v>
      </c>
      <c r="B62" s="3391"/>
      <c r="C62" s="818" t="s">
        <v>617</v>
      </c>
      <c r="D62" s="818" t="s">
        <v>618</v>
      </c>
      <c r="E62" s="895">
        <v>0.5</v>
      </c>
      <c r="F62" s="882">
        <v>80</v>
      </c>
    </row>
    <row r="63" spans="1:8" s="878" customFormat="1" ht="36">
      <c r="A63" s="882">
        <v>3</v>
      </c>
      <c r="B63" s="3391"/>
      <c r="C63" s="818" t="s">
        <v>619</v>
      </c>
      <c r="D63" s="818" t="s">
        <v>620</v>
      </c>
      <c r="E63" s="895">
        <v>0.5</v>
      </c>
      <c r="F63" s="882">
        <v>80</v>
      </c>
    </row>
    <row r="64" spans="1:8" s="878" customFormat="1" ht="36">
      <c r="A64" s="882">
        <v>4</v>
      </c>
      <c r="B64" s="3391"/>
      <c r="C64" s="818" t="s">
        <v>621</v>
      </c>
      <c r="D64" s="818" t="s">
        <v>622</v>
      </c>
      <c r="E64" s="895">
        <v>0.4</v>
      </c>
      <c r="F64" s="882">
        <v>60</v>
      </c>
    </row>
    <row r="65" spans="1:6" s="878" customFormat="1" ht="36">
      <c r="A65" s="882">
        <v>5</v>
      </c>
      <c r="B65" s="3391"/>
      <c r="C65" s="818" t="s">
        <v>623</v>
      </c>
      <c r="D65" s="818" t="s">
        <v>624</v>
      </c>
      <c r="E65" s="895">
        <v>0.2</v>
      </c>
      <c r="F65" s="882">
        <v>30</v>
      </c>
    </row>
    <row r="66" spans="1:6" s="878" customFormat="1" ht="36">
      <c r="A66" s="882">
        <v>6</v>
      </c>
      <c r="B66" s="3391"/>
      <c r="C66" s="818" t="s">
        <v>625</v>
      </c>
      <c r="D66" s="818" t="s">
        <v>626</v>
      </c>
      <c r="E66" s="895">
        <v>0.3</v>
      </c>
      <c r="F66" s="882">
        <v>50</v>
      </c>
    </row>
    <row r="67" spans="1:6" s="878" customFormat="1" ht="36">
      <c r="A67" s="882">
        <v>7</v>
      </c>
      <c r="B67" s="3391"/>
      <c r="C67" s="818" t="s">
        <v>627</v>
      </c>
      <c r="D67" s="818" t="s">
        <v>628</v>
      </c>
      <c r="E67" s="895">
        <v>0.2</v>
      </c>
      <c r="F67" s="882">
        <v>30</v>
      </c>
    </row>
    <row r="68" spans="1:6" s="878" customFormat="1" ht="36">
      <c r="A68" s="882">
        <v>8</v>
      </c>
      <c r="B68" s="3391"/>
      <c r="C68" s="818" t="s">
        <v>629</v>
      </c>
      <c r="D68" s="818" t="s">
        <v>630</v>
      </c>
      <c r="E68" s="895">
        <v>0.2</v>
      </c>
      <c r="F68" s="882">
        <v>30</v>
      </c>
    </row>
    <row r="69" spans="1:6" s="878" customFormat="1" ht="36">
      <c r="A69" s="882">
        <v>9</v>
      </c>
      <c r="B69" s="3391"/>
      <c r="C69" s="818" t="s">
        <v>631</v>
      </c>
      <c r="D69" s="818" t="s">
        <v>632</v>
      </c>
      <c r="E69" s="895">
        <v>0.2</v>
      </c>
      <c r="F69" s="882">
        <v>30</v>
      </c>
    </row>
    <row r="70" spans="1:6" s="878" customFormat="1" ht="48">
      <c r="A70" s="882">
        <v>10</v>
      </c>
      <c r="B70" s="3391"/>
      <c r="C70" s="818" t="s">
        <v>633</v>
      </c>
      <c r="D70" s="818" t="s">
        <v>634</v>
      </c>
      <c r="E70" s="895">
        <v>0.2</v>
      </c>
      <c r="F70" s="882">
        <v>30</v>
      </c>
    </row>
    <row r="71" spans="1:6" s="878" customFormat="1" ht="48">
      <c r="A71" s="882">
        <v>11</v>
      </c>
      <c r="B71" s="3391"/>
      <c r="C71" s="818" t="s">
        <v>635</v>
      </c>
      <c r="D71" s="818" t="s">
        <v>636</v>
      </c>
      <c r="E71" s="895">
        <v>0.2</v>
      </c>
      <c r="F71" s="882">
        <v>30</v>
      </c>
    </row>
    <row r="72" spans="1:6" s="878" customFormat="1" ht="36">
      <c r="A72" s="882">
        <v>12</v>
      </c>
      <c r="B72" s="3391"/>
      <c r="C72" s="818" t="s">
        <v>637</v>
      </c>
      <c r="D72" s="818" t="s">
        <v>638</v>
      </c>
      <c r="E72" s="895">
        <v>0.5</v>
      </c>
      <c r="F72" s="882">
        <v>80</v>
      </c>
    </row>
    <row r="73" spans="1:6" s="878" customFormat="1" ht="24">
      <c r="A73" s="882">
        <v>13</v>
      </c>
      <c r="B73" s="3391"/>
      <c r="C73" s="818" t="s">
        <v>639</v>
      </c>
      <c r="D73" s="818" t="s">
        <v>640</v>
      </c>
      <c r="E73" s="895">
        <v>0.4</v>
      </c>
      <c r="F73" s="882">
        <v>60</v>
      </c>
    </row>
    <row r="74" spans="1:6" s="878" customFormat="1" ht="24">
      <c r="A74" s="882">
        <v>14</v>
      </c>
      <c r="B74" s="3391"/>
      <c r="C74" s="818" t="s">
        <v>641</v>
      </c>
      <c r="D74" s="818" t="s">
        <v>642</v>
      </c>
      <c r="E74" s="895">
        <v>0.2</v>
      </c>
      <c r="F74" s="882">
        <v>30</v>
      </c>
    </row>
    <row r="75" spans="1:6" s="878" customFormat="1" ht="24">
      <c r="A75" s="882">
        <v>15</v>
      </c>
      <c r="B75" s="3391"/>
      <c r="C75" s="818" t="s">
        <v>643</v>
      </c>
      <c r="D75" s="818" t="s">
        <v>644</v>
      </c>
      <c r="E75" s="895">
        <v>0.2</v>
      </c>
      <c r="F75" s="882">
        <v>30</v>
      </c>
    </row>
    <row r="76" spans="1:6" s="878" customFormat="1" ht="24">
      <c r="A76" s="882">
        <v>16</v>
      </c>
      <c r="B76" s="3391" t="s">
        <v>645</v>
      </c>
      <c r="C76" s="818" t="s">
        <v>646</v>
      </c>
      <c r="D76" s="818" t="s">
        <v>647</v>
      </c>
      <c r="E76" s="895">
        <v>0.5</v>
      </c>
      <c r="F76" s="882">
        <v>80</v>
      </c>
    </row>
    <row r="77" spans="1:6" s="878" customFormat="1" ht="24">
      <c r="A77" s="882">
        <v>17</v>
      </c>
      <c r="B77" s="3391"/>
      <c r="C77" s="818" t="s">
        <v>648</v>
      </c>
      <c r="D77" s="818" t="s">
        <v>649</v>
      </c>
      <c r="E77" s="895">
        <v>0.5</v>
      </c>
      <c r="F77" s="882">
        <v>80</v>
      </c>
    </row>
    <row r="78" spans="1:6" s="878" customFormat="1" ht="24">
      <c r="A78" s="882">
        <v>18</v>
      </c>
      <c r="B78" s="3391"/>
      <c r="C78" s="818" t="s">
        <v>650</v>
      </c>
      <c r="D78" s="818" t="s">
        <v>651</v>
      </c>
      <c r="E78" s="895">
        <v>0.2</v>
      </c>
      <c r="F78" s="882">
        <v>30</v>
      </c>
    </row>
    <row r="79" spans="1:6" s="878" customFormat="1" ht="24">
      <c r="A79" s="882">
        <v>19</v>
      </c>
      <c r="B79" s="3391"/>
      <c r="C79" s="818" t="s">
        <v>652</v>
      </c>
      <c r="D79" s="818" t="s">
        <v>653</v>
      </c>
      <c r="E79" s="895">
        <v>0.5</v>
      </c>
      <c r="F79" s="882">
        <v>80</v>
      </c>
    </row>
    <row r="80" spans="1:6" s="878" customFormat="1" ht="36">
      <c r="A80" s="882">
        <v>20</v>
      </c>
      <c r="B80" s="3391"/>
      <c r="C80" s="818" t="s">
        <v>654</v>
      </c>
      <c r="D80" s="818" t="s">
        <v>655</v>
      </c>
      <c r="E80" s="895">
        <v>0.2</v>
      </c>
      <c r="F80" s="882">
        <v>30</v>
      </c>
    </row>
    <row r="81" spans="1:6" s="878" customFormat="1" ht="36">
      <c r="A81" s="882">
        <v>21</v>
      </c>
      <c r="B81" s="3391"/>
      <c r="C81" s="818" t="s">
        <v>656</v>
      </c>
      <c r="D81" s="818" t="s">
        <v>657</v>
      </c>
      <c r="E81" s="895">
        <v>0.2</v>
      </c>
      <c r="F81" s="882">
        <v>30</v>
      </c>
    </row>
    <row r="82" spans="1:6" s="878" customFormat="1" ht="48">
      <c r="A82" s="882">
        <v>22</v>
      </c>
      <c r="B82" s="3391"/>
      <c r="C82" s="818" t="s">
        <v>658</v>
      </c>
      <c r="D82" s="818" t="s">
        <v>659</v>
      </c>
      <c r="E82" s="895">
        <v>0.2</v>
      </c>
      <c r="F82" s="882">
        <v>30</v>
      </c>
    </row>
    <row r="83" spans="1:6" s="878" customFormat="1" ht="48">
      <c r="A83" s="882">
        <v>23</v>
      </c>
      <c r="B83" s="3391"/>
      <c r="C83" s="818" t="s">
        <v>660</v>
      </c>
      <c r="D83" s="818" t="s">
        <v>661</v>
      </c>
      <c r="E83" s="895">
        <v>0.2</v>
      </c>
      <c r="F83" s="882">
        <v>30</v>
      </c>
    </row>
    <row r="84" spans="1:6" s="878" customFormat="1" ht="36">
      <c r="A84" s="882">
        <v>24</v>
      </c>
      <c r="B84" s="3391"/>
      <c r="C84" s="818" t="s">
        <v>662</v>
      </c>
      <c r="D84" s="818" t="s">
        <v>663</v>
      </c>
      <c r="E84" s="895">
        <v>0.2</v>
      </c>
      <c r="F84" s="882">
        <v>30</v>
      </c>
    </row>
    <row r="85" spans="1:6" s="878" customFormat="1" ht="36">
      <c r="A85" s="882">
        <v>25</v>
      </c>
      <c r="B85" s="3391"/>
      <c r="C85" s="818" t="s">
        <v>664</v>
      </c>
      <c r="D85" s="818" t="s">
        <v>665</v>
      </c>
      <c r="E85" s="895">
        <v>0.5</v>
      </c>
      <c r="F85" s="882">
        <v>80</v>
      </c>
    </row>
    <row r="86" spans="1:6" s="878" customFormat="1" ht="36">
      <c r="A86" s="882">
        <v>26</v>
      </c>
      <c r="B86" s="3391"/>
      <c r="C86" s="818" t="s">
        <v>666</v>
      </c>
      <c r="D86" s="818" t="s">
        <v>667</v>
      </c>
      <c r="E86" s="895">
        <v>0.2</v>
      </c>
      <c r="F86" s="882">
        <v>30</v>
      </c>
    </row>
    <row r="87" spans="1:6" s="878" customFormat="1" ht="36">
      <c r="A87" s="882">
        <v>27</v>
      </c>
      <c r="B87" s="3391"/>
      <c r="C87" s="818" t="s">
        <v>668</v>
      </c>
      <c r="D87" s="818" t="s">
        <v>669</v>
      </c>
      <c r="E87" s="895">
        <v>0.2</v>
      </c>
      <c r="F87" s="882">
        <v>30</v>
      </c>
    </row>
    <row r="88" spans="1:6" s="878" customFormat="1" ht="36">
      <c r="A88" s="882">
        <v>28</v>
      </c>
      <c r="B88" s="3391"/>
      <c r="C88" s="818" t="s">
        <v>670</v>
      </c>
      <c r="D88" s="818" t="s">
        <v>671</v>
      </c>
      <c r="E88" s="895">
        <v>0.2</v>
      </c>
      <c r="F88" s="882">
        <v>30</v>
      </c>
    </row>
    <row r="89" spans="1:6" s="878" customFormat="1" ht="24">
      <c r="A89" s="882">
        <v>29</v>
      </c>
      <c r="B89" s="3391"/>
      <c r="C89" s="818" t="s">
        <v>672</v>
      </c>
      <c r="D89" s="818" t="s">
        <v>673</v>
      </c>
      <c r="E89" s="895">
        <v>0.2</v>
      </c>
      <c r="F89" s="882">
        <v>30</v>
      </c>
    </row>
    <row r="90" spans="1:6" s="878" customFormat="1" ht="24">
      <c r="A90" s="882">
        <v>30</v>
      </c>
      <c r="B90" s="3391"/>
      <c r="C90" s="818" t="s">
        <v>674</v>
      </c>
      <c r="D90" s="818" t="s">
        <v>675</v>
      </c>
      <c r="E90" s="895">
        <v>0.2</v>
      </c>
      <c r="F90" s="882">
        <v>30</v>
      </c>
    </row>
    <row r="91" spans="1:6" s="878" customFormat="1" ht="36">
      <c r="A91" s="882">
        <v>31</v>
      </c>
      <c r="B91" s="3391"/>
      <c r="C91" s="818" t="s">
        <v>676</v>
      </c>
      <c r="D91" s="818" t="s">
        <v>677</v>
      </c>
      <c r="E91" s="895">
        <v>0.2</v>
      </c>
      <c r="F91" s="882">
        <v>30</v>
      </c>
    </row>
    <row r="92" spans="1:6" s="878" customFormat="1" ht="24">
      <c r="A92" s="882">
        <v>32</v>
      </c>
      <c r="B92" s="3391" t="s">
        <v>678</v>
      </c>
      <c r="C92" s="882" t="s">
        <v>679</v>
      </c>
      <c r="D92" s="818" t="s">
        <v>680</v>
      </c>
      <c r="E92" s="895">
        <v>0.2</v>
      </c>
      <c r="F92" s="882">
        <v>30</v>
      </c>
    </row>
    <row r="93" spans="1:6" s="878" customFormat="1" ht="36">
      <c r="A93" s="882">
        <v>33</v>
      </c>
      <c r="B93" s="3391"/>
      <c r="C93" s="882" t="s">
        <v>681</v>
      </c>
      <c r="D93" s="818" t="s">
        <v>682</v>
      </c>
      <c r="E93" s="895">
        <v>0.2</v>
      </c>
      <c r="F93" s="882">
        <v>30</v>
      </c>
    </row>
    <row r="94" spans="1:6" s="878" customFormat="1" ht="48">
      <c r="A94" s="882">
        <v>34</v>
      </c>
      <c r="B94" s="3391"/>
      <c r="C94" s="882" t="s">
        <v>683</v>
      </c>
      <c r="D94" s="818" t="s">
        <v>684</v>
      </c>
      <c r="E94" s="895">
        <v>0.2</v>
      </c>
      <c r="F94" s="882">
        <v>30</v>
      </c>
    </row>
    <row r="95" spans="1:6" s="878" customFormat="1" ht="36">
      <c r="A95" s="882">
        <v>35</v>
      </c>
      <c r="B95" s="3391"/>
      <c r="C95" s="882" t="s">
        <v>685</v>
      </c>
      <c r="D95" s="818" t="s">
        <v>686</v>
      </c>
      <c r="E95" s="895">
        <v>0.2</v>
      </c>
      <c r="F95" s="882">
        <v>30</v>
      </c>
    </row>
    <row r="96" spans="1:6" s="878" customFormat="1" ht="48">
      <c r="A96" s="882">
        <v>36</v>
      </c>
      <c r="B96" s="3391"/>
      <c r="C96" s="818" t="s">
        <v>687</v>
      </c>
      <c r="D96" s="818" t="s">
        <v>688</v>
      </c>
      <c r="E96" s="895">
        <v>0.2</v>
      </c>
      <c r="F96" s="882">
        <v>30</v>
      </c>
    </row>
    <row r="97" spans="1:6" s="878" customFormat="1" ht="36">
      <c r="A97" s="882">
        <v>37</v>
      </c>
      <c r="B97" s="3391"/>
      <c r="C97" s="882" t="s">
        <v>689</v>
      </c>
      <c r="D97" s="818" t="s">
        <v>690</v>
      </c>
      <c r="E97" s="895">
        <v>0.2</v>
      </c>
      <c r="F97" s="882">
        <v>30</v>
      </c>
    </row>
    <row r="98" spans="1:6" s="878" customFormat="1" ht="36">
      <c r="A98" s="882">
        <v>38</v>
      </c>
      <c r="B98" s="3391"/>
      <c r="C98" s="882" t="s">
        <v>691</v>
      </c>
      <c r="D98" s="818" t="s">
        <v>692</v>
      </c>
      <c r="E98" s="895">
        <v>0.2</v>
      </c>
      <c r="F98" s="882">
        <v>30</v>
      </c>
    </row>
    <row r="99" spans="1:6" s="878" customFormat="1" ht="36">
      <c r="A99" s="882">
        <v>39</v>
      </c>
      <c r="B99" s="3391" t="s">
        <v>693</v>
      </c>
      <c r="C99" s="882" t="s">
        <v>694</v>
      </c>
      <c r="D99" s="818" t="s">
        <v>695</v>
      </c>
      <c r="E99" s="895">
        <v>0.3</v>
      </c>
      <c r="F99" s="882">
        <v>50</v>
      </c>
    </row>
    <row r="100" spans="1:6" s="878" customFormat="1" ht="24">
      <c r="A100" s="882">
        <v>40</v>
      </c>
      <c r="B100" s="3391"/>
      <c r="C100" s="882" t="s">
        <v>696</v>
      </c>
      <c r="D100" s="818" t="s">
        <v>697</v>
      </c>
      <c r="E100" s="895">
        <v>0.2</v>
      </c>
      <c r="F100" s="882">
        <v>30</v>
      </c>
    </row>
    <row r="101" spans="1:6" s="878" customFormat="1" ht="36">
      <c r="A101" s="882">
        <v>41</v>
      </c>
      <c r="B101" s="339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91" t="s">
        <v>708</v>
      </c>
      <c r="C105" s="882" t="s">
        <v>709</v>
      </c>
      <c r="D105" s="818" t="s">
        <v>710</v>
      </c>
      <c r="E105" s="895">
        <v>0.2</v>
      </c>
      <c r="F105" s="882">
        <v>30</v>
      </c>
    </row>
    <row r="106" spans="1:6" s="878" customFormat="1" ht="36">
      <c r="A106" s="882">
        <v>46</v>
      </c>
      <c r="B106" s="3391"/>
      <c r="C106" s="882" t="s">
        <v>711</v>
      </c>
      <c r="D106" s="818" t="s">
        <v>712</v>
      </c>
      <c r="E106" s="895">
        <v>0.2</v>
      </c>
      <c r="F106" s="882">
        <v>30</v>
      </c>
    </row>
    <row r="107" spans="1:6" s="878" customFormat="1" ht="36">
      <c r="A107" s="882">
        <v>47</v>
      </c>
      <c r="B107" s="3391" t="s">
        <v>713</v>
      </c>
      <c r="C107" s="882" t="s">
        <v>714</v>
      </c>
      <c r="D107" s="818" t="s">
        <v>715</v>
      </c>
      <c r="E107" s="895">
        <v>0.3</v>
      </c>
      <c r="F107" s="882">
        <v>50</v>
      </c>
    </row>
    <row r="108" spans="1:6" s="878" customFormat="1" ht="36">
      <c r="A108" s="882">
        <v>48</v>
      </c>
      <c r="B108" s="339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91" t="s">
        <v>724</v>
      </c>
      <c r="C111" s="882" t="s">
        <v>725</v>
      </c>
      <c r="D111" s="818" t="s">
        <v>726</v>
      </c>
      <c r="E111" s="895">
        <v>0.2</v>
      </c>
      <c r="F111" s="882">
        <v>30</v>
      </c>
    </row>
    <row r="112" spans="1:6" s="878" customFormat="1" ht="24">
      <c r="A112" s="882">
        <v>52</v>
      </c>
      <c r="B112" s="3391"/>
      <c r="C112" s="882" t="s">
        <v>727</v>
      </c>
      <c r="D112" s="818" t="s">
        <v>728</v>
      </c>
      <c r="E112" s="895">
        <v>0.2</v>
      </c>
      <c r="F112" s="882">
        <v>30</v>
      </c>
    </row>
    <row r="113" spans="1:6" s="878" customFormat="1" ht="24">
      <c r="A113" s="882">
        <v>53</v>
      </c>
      <c r="B113" s="339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91" t="s">
        <v>737</v>
      </c>
      <c r="C116" s="882" t="s">
        <v>738</v>
      </c>
      <c r="D116" s="818" t="s">
        <v>739</v>
      </c>
      <c r="E116" s="895">
        <v>0.2</v>
      </c>
      <c r="F116" s="882">
        <v>30</v>
      </c>
    </row>
    <row r="117" spans="1:6" ht="36">
      <c r="A117" s="882">
        <v>57</v>
      </c>
      <c r="B117" s="339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7" t="s">
        <v>1145</v>
      </c>
      <c r="C1" s="3397"/>
      <c r="D1" s="3397"/>
      <c r="E1" s="3397"/>
      <c r="F1" s="3397"/>
      <c r="G1" s="3396" t="s">
        <v>1146</v>
      </c>
      <c r="H1" s="3396"/>
      <c r="I1" s="3396"/>
      <c r="J1" s="3396"/>
      <c r="K1" s="3396"/>
      <c r="L1" s="3396"/>
      <c r="N1" s="3396" t="s">
        <v>1147</v>
      </c>
      <c r="O1" s="3396"/>
      <c r="P1" s="3396"/>
      <c r="Q1" s="3396"/>
      <c r="R1" s="1446"/>
      <c r="S1" s="3396" t="s">
        <v>1148</v>
      </c>
      <c r="T1" s="3396"/>
      <c r="U1" s="3396"/>
      <c r="V1" s="3396"/>
      <c r="X1" s="3395" t="s">
        <v>1149</v>
      </c>
      <c r="Y1" s="3396"/>
      <c r="Z1" s="3396"/>
      <c r="AA1" s="3396"/>
      <c r="AB1" s="3396"/>
      <c r="AD1" s="3395" t="s">
        <v>1150</v>
      </c>
      <c r="AE1" s="3396"/>
      <c r="AF1" s="3396"/>
      <c r="AG1" s="3396"/>
      <c r="AH1" s="339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ROUND(AVERAGE($I4:$I28),2)</f>
        <v>1.98</v>
      </c>
      <c r="J3" s="2923">
        <f>ROUND(AVERAGE($J4:$J28),2)</f>
        <v>1.41</v>
      </c>
      <c r="K3" s="2923">
        <f>ROUND(AVERAGE($K4:$K28),2)</f>
        <v>2.16</v>
      </c>
      <c r="L3" s="2923">
        <f>ROUND(AVERAGE($L4:$L28),2)</f>
        <v>1.38</v>
      </c>
      <c r="N3" s="2921"/>
      <c r="O3" s="2924"/>
      <c r="P3" s="2924"/>
      <c r="Q3" s="2924"/>
      <c r="R3" s="2924"/>
      <c r="S3" s="2921"/>
      <c r="T3" s="2924"/>
      <c r="U3" s="2924"/>
      <c r="V3" s="2924"/>
      <c r="W3" s="2916"/>
      <c r="X3" s="2925">
        <f>ROUND(SUMPRODUCT(PRODUCT(1+N3:N$27)),4)</f>
        <v>1.5516000000000001</v>
      </c>
      <c r="Y3" s="2925">
        <f>ROUND(SUMPRODUCT(PRODUCT(1+O3:O$27)),4)</f>
        <v>1.3649</v>
      </c>
      <c r="Z3" s="2925">
        <f t="shared" ref="Z3:Z25" si="0">Y3</f>
        <v>1.3649</v>
      </c>
      <c r="AA3" s="2925">
        <f>ROUND(SUMPRODUCT(PRODUCT(1+P3:P$27)),4)</f>
        <v>1.6133999999999999</v>
      </c>
      <c r="AB3" s="2925">
        <f>ROUND(SUMPRODUCT(PRODUCT(1+Q3:Q$27)),4)</f>
        <v>1.3713</v>
      </c>
      <c r="AD3" s="2926">
        <f>ROUND(AVERAGE(I3:I$28)/100,4)</f>
        <v>1.9800000000000002E-2</v>
      </c>
      <c r="AE3" s="2926">
        <f>ROUND(AVERAGE(J3:J$28)/100,4)</f>
        <v>1.41E-2</v>
      </c>
      <c r="AF3" s="2926">
        <f t="shared" ref="AF3:AF26" si="1">AE3</f>
        <v>1.41E-2</v>
      </c>
      <c r="AG3" s="2926">
        <f>ROUND(AVERAGE(K3:K$28)/100,4)</f>
        <v>2.1600000000000001E-2</v>
      </c>
      <c r="AH3" s="2926">
        <f>ROUND(AVERAGE(L3:L$28)/100,4)</f>
        <v>1.38E-2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1">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1">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393">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393"/>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393"/>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402"/>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398">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393"/>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393"/>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402"/>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398">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393"/>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393"/>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394"/>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392">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393"/>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393"/>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394"/>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392">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393"/>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393"/>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394"/>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399">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400"/>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400"/>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401"/>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392">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393"/>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393"/>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394"/>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392">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393">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393">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394">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392">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393">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393">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394">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392">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393">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393">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394">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392">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393">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393">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394">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392">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393">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393">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394">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392">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393">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393">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394">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392">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393">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393">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394">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392">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393">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393">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394">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392">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393">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393">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394">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392">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393">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393">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394">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1614</v>
      </c>
      <c r="B1" s="1958"/>
      <c r="C1" s="1958"/>
      <c r="D1" s="1958"/>
      <c r="E1" s="195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估价结果一览表（市场价值不需“结果表-1”）</v>
      </c>
      <c r="B3" s="3069"/>
      <c r="C3" s="3069"/>
      <c r="D3" s="3069"/>
      <c r="E3" s="3069"/>
    </row>
    <row r="4" spans="1:5" ht="19.5" thickBot="1">
      <c r="A4" s="1960"/>
      <c r="B4" s="3067" t="s">
        <v>1623</v>
      </c>
      <c r="C4" s="3067"/>
      <c r="D4" s="3067"/>
      <c r="E4" s="1960"/>
    </row>
    <row r="5" spans="1:5" ht="16.5" thickTop="1">
      <c r="A5" s="1958"/>
      <c r="B5" s="3065" t="s">
        <v>1615</v>
      </c>
      <c r="C5" s="1961" t="s">
        <v>1616</v>
      </c>
      <c r="D5" s="1040">
        <f ca="1">结果表!H101</f>
        <v>2030</v>
      </c>
      <c r="E5" s="1958"/>
    </row>
    <row r="6" spans="1:5" ht="15.75">
      <c r="A6" s="1958"/>
      <c r="B6" s="3065"/>
      <c r="C6" s="1961" t="s">
        <v>1617</v>
      </c>
      <c r="D6" s="1040" t="str">
        <f ca="1">NUMBERSTRING(INT(D5*10000),2)&amp;"元整"</f>
        <v>贰仟零叁拾万元整</v>
      </c>
      <c r="E6" s="1958"/>
    </row>
    <row r="7" spans="1:5" ht="15.75">
      <c r="A7" s="1958"/>
      <c r="B7" s="3070"/>
      <c r="C7" s="1962" t="s">
        <v>1618</v>
      </c>
      <c r="D7" s="1041">
        <f ca="1">结果表!H102</f>
        <v>9264</v>
      </c>
      <c r="E7" s="1958"/>
    </row>
    <row r="8" spans="1:5" ht="15.75">
      <c r="A8" s="1958"/>
      <c r="B8" s="3071" t="str">
        <f>结果表!E103</f>
        <v>2.估价师知悉的法定优先受偿款</v>
      </c>
      <c r="C8" s="1963" t="s">
        <v>1619</v>
      </c>
      <c r="D8" s="1041">
        <f>结果表!H103</f>
        <v>0</v>
      </c>
      <c r="E8" s="1958"/>
    </row>
    <row r="9" spans="1:5" ht="15.75">
      <c r="A9" s="1958"/>
      <c r="B9" s="3073"/>
      <c r="C9" s="1961" t="s">
        <v>1617</v>
      </c>
      <c r="D9" s="1040" t="str">
        <f>NUMBERSTRING(INT(D8*10000),2)&amp;"元整"</f>
        <v>零元整</v>
      </c>
      <c r="E9" s="1958"/>
    </row>
    <row r="10" spans="1:5" ht="15">
      <c r="A10" s="1958"/>
      <c r="B10" s="1964" t="s">
        <v>1622</v>
      </c>
      <c r="C10" s="1965" t="s">
        <v>1620</v>
      </c>
      <c r="D10" s="1042">
        <f>结果表!H104</f>
        <v>0</v>
      </c>
      <c r="E10" s="1958"/>
    </row>
    <row r="11" spans="1:5" ht="15">
      <c r="A11" s="1958"/>
      <c r="B11" s="1964" t="s">
        <v>1624</v>
      </c>
      <c r="C11" s="1965" t="s">
        <v>1625</v>
      </c>
      <c r="D11" s="1042">
        <f>结果表!H105</f>
        <v>0</v>
      </c>
      <c r="E11" s="1958"/>
    </row>
    <row r="12" spans="1:5" ht="15">
      <c r="A12" s="1958"/>
      <c r="B12" s="1964" t="s">
        <v>1626</v>
      </c>
      <c r="C12" s="1965" t="s">
        <v>1625</v>
      </c>
      <c r="D12" s="1042">
        <f>结果表!H106</f>
        <v>0</v>
      </c>
      <c r="E12" s="1958"/>
    </row>
    <row r="13" spans="1:5" ht="15.75">
      <c r="A13" s="1958"/>
      <c r="B13" s="3064" t="str">
        <f>结果表!E107</f>
        <v>3.房地产抵押价值</v>
      </c>
      <c r="C13" s="1966" t="s">
        <v>1616</v>
      </c>
      <c r="D13" s="1043">
        <f ca="1">结果表!H107</f>
        <v>2030</v>
      </c>
      <c r="E13" s="1958"/>
    </row>
    <row r="14" spans="1:5" ht="15.75">
      <c r="A14" s="1958"/>
      <c r="B14" s="3065"/>
      <c r="C14" s="1961" t="s">
        <v>1617</v>
      </c>
      <c r="D14" s="1040" t="str">
        <f ca="1">NUMBERSTRING(INT(D13*10000),2)&amp;"元整"</f>
        <v>贰仟零叁拾万元整</v>
      </c>
      <c r="E14" s="1958"/>
    </row>
    <row r="15" spans="1:5" ht="15">
      <c r="A15" s="1958"/>
      <c r="B15" s="3070"/>
      <c r="C15" s="1962" t="s">
        <v>1627</v>
      </c>
      <c r="D15" s="1052">
        <f ca="1">结果表!H108</f>
        <v>9264</v>
      </c>
      <c r="E15" s="1958"/>
    </row>
    <row r="16" spans="1:5" ht="15">
      <c r="A16" s="1958"/>
      <c r="B16" s="3071" t="str">
        <f>结果表!E109</f>
        <v>——</v>
      </c>
      <c r="C16" s="1966" t="s">
        <v>1628</v>
      </c>
      <c r="D16" s="1967" t="str">
        <f>结果表!H109</f>
        <v>——</v>
      </c>
      <c r="E16" s="1958"/>
    </row>
    <row r="17" spans="1:5" ht="15.75">
      <c r="A17" s="1958"/>
      <c r="B17" s="3072"/>
      <c r="C17" s="1961" t="s">
        <v>1629</v>
      </c>
      <c r="D17" s="1040" t="e">
        <f>NUMBERSTRING(INT(D16*10000),2)&amp;"元整"</f>
        <v>#VALUE!</v>
      </c>
      <c r="E17" s="1958"/>
    </row>
    <row r="18" spans="1:5" ht="15">
      <c r="A18" s="1958"/>
      <c r="B18" s="3073"/>
      <c r="C18" s="1962" t="s">
        <v>1618</v>
      </c>
      <c r="D18" s="1052" t="str">
        <f>结果表!H110</f>
        <v>——</v>
      </c>
      <c r="E18" s="1958"/>
    </row>
    <row r="19" spans="1:5" ht="15.75">
      <c r="A19" s="1958"/>
      <c r="B19" s="3064" t="str">
        <f>结果表!E111</f>
        <v>——</v>
      </c>
      <c r="C19" s="1966" t="s">
        <v>1616</v>
      </c>
      <c r="D19" s="1041" t="str">
        <f>结果表!H111</f>
        <v>——</v>
      </c>
      <c r="E19" s="1958"/>
    </row>
    <row r="20" spans="1:5" ht="15.75">
      <c r="A20" s="1958"/>
      <c r="B20" s="3065"/>
      <c r="C20" s="1961" t="s">
        <v>1629</v>
      </c>
      <c r="D20" s="1040" t="e">
        <f>NUMBERSTRING(INT(D19*10000),2)&amp;"元整"</f>
        <v>#VALUE!</v>
      </c>
      <c r="E20" s="1958"/>
    </row>
    <row r="21" spans="1:5" ht="15.75" thickBot="1">
      <c r="A21" s="1958"/>
      <c r="B21" s="3066"/>
      <c r="C21" s="1968" t="s">
        <v>1627</v>
      </c>
      <c r="D21" s="1053" t="str">
        <f>结果表!H112</f>
        <v>——</v>
      </c>
      <c r="E21" s="1958"/>
    </row>
    <row r="22" spans="1:5" ht="15" thickTop="1">
      <c r="A22" s="1958"/>
      <c r="B22" s="1969" t="s">
        <v>1630</v>
      </c>
      <c r="C22" s="1958"/>
      <c r="D22" s="1958"/>
      <c r="E22" s="1958"/>
    </row>
    <row r="23" spans="1:5">
      <c r="A23" s="1958"/>
      <c r="B23" s="1958"/>
      <c r="C23" s="1958"/>
      <c r="D23" s="1958"/>
      <c r="E23" s="1958"/>
    </row>
    <row r="24" spans="1:5" ht="18.75">
      <c r="A24" s="1970"/>
      <c r="B24" s="1971" t="s">
        <v>1621</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404" t="s">
        <v>3004</v>
      </c>
      <c r="D1" s="3405"/>
      <c r="E1" s="3405"/>
      <c r="F1" s="3405"/>
      <c r="G1" s="3405"/>
      <c r="H1" s="3405"/>
      <c r="I1" s="3405"/>
      <c r="J1" s="3405"/>
      <c r="K1" s="3405"/>
      <c r="L1" s="3405"/>
      <c r="M1" s="3405"/>
      <c r="N1" s="3405"/>
      <c r="O1" s="3405"/>
      <c r="P1" s="3405"/>
      <c r="Q1" s="3405"/>
      <c r="R1" s="3405"/>
      <c r="S1" s="3406"/>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3"/>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244" t="s">
        <v>33</v>
      </c>
      <c r="D22" s="3245"/>
      <c r="E22" s="3245"/>
      <c r="F22" s="3245"/>
      <c r="G22" s="3245"/>
      <c r="H22" s="3245"/>
      <c r="I22" s="3245"/>
      <c r="J22" s="3245"/>
      <c r="K22" s="3245"/>
      <c r="L22" s="3245"/>
      <c r="M22" s="3245"/>
      <c r="N22" s="3245"/>
      <c r="O22" s="3245"/>
      <c r="P22" s="3245"/>
      <c r="Q22" s="340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27288</v>
      </c>
      <c r="C2" s="2" t="s">
        <v>133</v>
      </c>
      <c r="D2" s="243"/>
      <c r="E2" s="243"/>
      <c r="F2" s="243"/>
      <c r="G2" s="243"/>
    </row>
    <row r="3" spans="1:7" s="244" customFormat="1" ht="18" customHeight="1" thickBot="1">
      <c r="A3" s="247" t="s">
        <v>85</v>
      </c>
      <c r="B3" s="248">
        <f ca="1">ROUND(B2*10000/'数据-汇总表'!E3,0)</f>
        <v>124527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35</v>
      </c>
      <c r="D10" s="1032">
        <f>'数据-汇总表'!E6</f>
        <v>2191.33</v>
      </c>
      <c r="E10" s="269">
        <f>'数据-取费表'!B28</f>
        <v>160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44</v>
      </c>
      <c r="D19" s="1036">
        <f>'数据-汇总表'!E3</f>
        <v>2191.33</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453</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448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793</v>
      </c>
      <c r="B25" s="259" t="s">
        <v>1054</v>
      </c>
      <c r="C25" s="1355">
        <f ca="1">ROUND(IF('数据-取费表'!B22&lt;=1,C20*F22*'数据-取费表'!B23/2,C20*(POWER((1+F22),'数据-取费表'!B23/2)-1)),0)</f>
        <v>4</v>
      </c>
      <c r="D25" s="282"/>
      <c r="E25" s="285"/>
      <c r="F25" s="283"/>
      <c r="G25" s="286" t="s">
        <v>110</v>
      </c>
    </row>
    <row r="26" spans="1:7" s="258" customFormat="1">
      <c r="A26" s="951" t="s">
        <v>795</v>
      </c>
      <c r="B26" s="259" t="s">
        <v>1056</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3160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640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570</v>
      </c>
      <c r="D34" s="261"/>
      <c r="E34" s="264"/>
      <c r="F34" s="301">
        <f>IF('数据-取费表'!B24=0,1,'数据-取费表'!N16)</f>
        <v>1</v>
      </c>
      <c r="G34" s="263" t="s">
        <v>116</v>
      </c>
    </row>
    <row r="35" spans="1:7" ht="13.5" customHeight="1">
      <c r="A35" s="951" t="s">
        <v>796</v>
      </c>
      <c r="B35" s="259" t="s">
        <v>60</v>
      </c>
      <c r="C35" s="264">
        <f>ROUND(C34*F35,0)</f>
        <v>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798</v>
      </c>
      <c r="B37" s="259" t="s">
        <v>118</v>
      </c>
      <c r="C37" s="293">
        <f>ROUND(E37*D37*F34/10000,0)</f>
        <v>44</v>
      </c>
      <c r="D37" s="261">
        <f>'数据-汇总表'!E3</f>
        <v>2191.33</v>
      </c>
      <c r="E37" s="293">
        <f>'数据-取费表'!B35</f>
        <v>200</v>
      </c>
      <c r="F37" s="303"/>
      <c r="G37" s="305" t="s">
        <v>119</v>
      </c>
    </row>
    <row r="38" spans="1:7" ht="13.5" customHeight="1">
      <c r="A38" s="951" t="s">
        <v>799</v>
      </c>
      <c r="B38" s="259" t="s">
        <v>63</v>
      </c>
      <c r="C38" s="264">
        <f>ROUND(C34*F38,0)</f>
        <v>9</v>
      </c>
      <c r="D38" s="264"/>
      <c r="E38" s="264"/>
      <c r="F38" s="303">
        <f>'数据-取费表'!B36</f>
        <v>1.4999999999999999E-2</v>
      </c>
      <c r="G38" s="263" t="s">
        <v>117</v>
      </c>
    </row>
    <row r="39" spans="1:7" s="258" customFormat="1" ht="13.5" customHeight="1">
      <c r="A39" s="948" t="s">
        <v>783</v>
      </c>
      <c r="B39" s="254" t="s">
        <v>104</v>
      </c>
      <c r="C39" s="276">
        <f>ROUND(C33*F20,0)</f>
        <v>13</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v>
      </c>
      <c r="D41" s="279">
        <f ca="1">C44</f>
        <v>2.0000000000000001E-4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7</v>
      </c>
      <c r="D42" s="282"/>
      <c r="E42" s="282"/>
      <c r="F42" s="283"/>
      <c r="G42" s="3254" t="s">
        <v>121</v>
      </c>
    </row>
    <row r="43" spans="1:7" ht="13.5" customHeight="1">
      <c r="A43" s="951" t="s">
        <v>792</v>
      </c>
      <c r="B43" s="259" t="s">
        <v>1060</v>
      </c>
      <c r="C43" s="282">
        <f ca="1">ROUND(IF('数据-取费表'!B22&lt;=1,C39*F22*'数据-取费表'!B21/2,C39*(POWER((1+F22),'数据-取费表'!B21/2)-1)),0)</f>
        <v>0</v>
      </c>
      <c r="D43" s="282"/>
      <c r="E43" s="282"/>
      <c r="F43" s="283"/>
      <c r="G43" s="3255"/>
    </row>
    <row r="44" spans="1:7" ht="13.5" customHeight="1">
      <c r="A44" s="951" t="s">
        <v>793</v>
      </c>
      <c r="B44" s="259" t="s">
        <v>1062</v>
      </c>
      <c r="C44" s="282">
        <f ca="1">ROUND(IF('数据-取费表'!B22&lt;=1,C40*F22*'数据-取费表'!B21/2,C40*(POWER((1+F22),'数据-取费表'!B21/2)-1)),4)</f>
        <v>2.0000000000000001E-4</v>
      </c>
      <c r="D44" s="282"/>
      <c r="E44" s="282"/>
      <c r="F44" s="283"/>
      <c r="G44" s="3256"/>
    </row>
    <row r="45" spans="1:7" s="258" customFormat="1" ht="13.5" customHeight="1">
      <c r="A45" s="948" t="s">
        <v>786</v>
      </c>
      <c r="B45" s="288" t="s">
        <v>112</v>
      </c>
      <c r="C45" s="289">
        <f>C46</f>
        <v>98</v>
      </c>
      <c r="D45" s="279">
        <f>C47</f>
        <v>3.0000000000000001E-3</v>
      </c>
      <c r="E45" s="280" t="s">
        <v>129</v>
      </c>
      <c r="F45" s="290"/>
      <c r="G45" s="291" t="s">
        <v>1068</v>
      </c>
    </row>
    <row r="46" spans="1:7" s="258" customFormat="1" ht="13.5" customHeight="1">
      <c r="A46" s="951" t="s">
        <v>794</v>
      </c>
      <c r="B46" s="292" t="s">
        <v>1061</v>
      </c>
      <c r="C46" s="293">
        <f>ROUND((C33+C39)*F27,0)</f>
        <v>98</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820</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590</v>
      </c>
      <c r="D51" s="276"/>
      <c r="E51" s="276"/>
      <c r="F51" s="308"/>
      <c r="G51" s="278" t="s">
        <v>64</v>
      </c>
    </row>
    <row r="52" spans="1:7" s="252" customFormat="1" ht="16.5" thickBot="1">
      <c r="A52" s="309" t="s">
        <v>65</v>
      </c>
      <c r="B52" s="310"/>
      <c r="C52" s="311">
        <f ca="1">C31+C51</f>
        <v>27288</v>
      </c>
      <c r="D52" s="310"/>
      <c r="E52" s="310"/>
      <c r="F52" s="310"/>
      <c r="G52" s="312"/>
    </row>
    <row r="55" spans="1:7" ht="15">
      <c r="B55" s="314" t="s">
        <v>66</v>
      </c>
      <c r="C55" s="315"/>
    </row>
    <row r="56" spans="1:7">
      <c r="B56" s="317" t="s">
        <v>67</v>
      </c>
      <c r="C56" s="318">
        <f ca="1">ROUND(C51/C52,3)</f>
        <v>2.1999999999999999E-2</v>
      </c>
    </row>
    <row r="57" spans="1:7">
      <c r="B57" s="317" t="s">
        <v>68</v>
      </c>
      <c r="C57" s="319">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7" t="s">
        <v>156</v>
      </c>
      <c r="B1" s="3407"/>
      <c r="C1" s="3407"/>
      <c r="D1" s="3407"/>
      <c r="E1" s="3407"/>
      <c r="F1" s="34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8" t="s">
        <v>169</v>
      </c>
      <c r="B2" s="3408"/>
      <c r="C2" s="3408"/>
      <c r="D2" s="3408"/>
      <c r="E2" s="3408"/>
      <c r="F2" s="34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7" t="s">
        <v>867</v>
      </c>
      <c r="B1" s="340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43817</v>
      </c>
      <c r="D1" s="1700" t="s">
        <v>1296</v>
      </c>
      <c r="E1" s="1695">
        <f>'数据-取费表'!B22</f>
        <v>0.5</v>
      </c>
      <c r="F1" s="1700" t="s">
        <v>1297</v>
      </c>
      <c r="G1" s="1696">
        <f ca="1">INDIRECT("d"&amp;$K$1)/100</f>
        <v>4.3499999999999997E-2</v>
      </c>
      <c r="H1" s="1700" t="s">
        <v>1327</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L18"/>
  <sheetViews>
    <sheetView workbookViewId="0">
      <selection activeCell="F3" sqref="F3"/>
    </sheetView>
  </sheetViews>
  <sheetFormatPr defaultRowHeight="13.5"/>
  <cols>
    <col min="1" max="1" width="9" style="2956"/>
    <col min="2" max="2" width="22.5" style="2956" customWidth="1"/>
    <col min="3" max="3" width="16" style="2956" customWidth="1"/>
    <col min="4" max="4" width="10.75" style="2956" customWidth="1"/>
    <col min="5" max="5" width="15.25" style="2956" customWidth="1"/>
    <col min="6" max="7" width="9" style="2956"/>
    <col min="8" max="8" width="13.875" style="2956" customWidth="1"/>
    <col min="9" max="16384" width="9" style="2956"/>
  </cols>
  <sheetData>
    <row r="1" spans="2:12">
      <c r="B1" s="2955" t="s">
        <v>3087</v>
      </c>
      <c r="C1" s="2957">
        <v>43817</v>
      </c>
      <c r="D1" s="2955" t="s">
        <v>3232</v>
      </c>
      <c r="E1" s="2956">
        <v>2191.33</v>
      </c>
    </row>
    <row r="2" spans="2:12">
      <c r="B2" s="2955" t="s">
        <v>3071</v>
      </c>
    </row>
    <row r="3" spans="2:12">
      <c r="B3" s="2955" t="s">
        <v>3072</v>
      </c>
      <c r="C3" s="2955" t="s">
        <v>3074</v>
      </c>
      <c r="D3" s="2955" t="s">
        <v>3086</v>
      </c>
      <c r="E3" s="2955" t="s">
        <v>3233</v>
      </c>
      <c r="F3" s="2955" t="s">
        <v>3277</v>
      </c>
      <c r="G3" s="2955" t="s">
        <v>3276</v>
      </c>
      <c r="H3" s="2955" t="s">
        <v>3236</v>
      </c>
      <c r="I3" s="2956">
        <f>365*11+12</f>
        <v>4027</v>
      </c>
      <c r="L3" s="2956">
        <f>17/12*10000/30*12</f>
        <v>5666.6666666666679</v>
      </c>
    </row>
    <row r="4" spans="2:12">
      <c r="B4" s="2955" t="s">
        <v>3073</v>
      </c>
      <c r="C4" s="2956">
        <v>17</v>
      </c>
      <c r="D4" s="2956">
        <f>ROUND(12/365,2)</f>
        <v>0.03</v>
      </c>
      <c r="E4" s="2956">
        <f>ROUND(17/365*12,2)</f>
        <v>0.56000000000000005</v>
      </c>
      <c r="G4" s="2956">
        <f>ROUND(C4*10000/2191.33/365,2)</f>
        <v>0.21</v>
      </c>
      <c r="H4" s="2955" t="s">
        <v>3234</v>
      </c>
      <c r="I4" s="2956">
        <f>ROUND(E16*10000/I3/E1,2)</f>
        <v>0.28999999999999998</v>
      </c>
    </row>
    <row r="5" spans="2:12">
      <c r="B5" s="2955" t="s">
        <v>3075</v>
      </c>
      <c r="C5" s="3047">
        <v>18</v>
      </c>
      <c r="D5" s="2956">
        <v>1</v>
      </c>
      <c r="E5" s="2956">
        <v>18</v>
      </c>
      <c r="F5" s="2956">
        <f>C5/C4-1</f>
        <v>5.8823529411764719E-2</v>
      </c>
      <c r="G5" s="2956">
        <f t="shared" ref="G5:G15" si="0">ROUND(C5*10000/2191.33/365,2)</f>
        <v>0.23</v>
      </c>
    </row>
    <row r="6" spans="2:12">
      <c r="B6" s="2955" t="s">
        <v>3076</v>
      </c>
      <c r="C6" s="3047">
        <v>19</v>
      </c>
      <c r="D6" s="2956">
        <v>1</v>
      </c>
      <c r="E6" s="2956">
        <v>19</v>
      </c>
      <c r="F6" s="2956">
        <f t="shared" ref="F6:F15" si="1">C6/C5-1</f>
        <v>5.555555555555558E-2</v>
      </c>
      <c r="G6" s="2956">
        <f t="shared" si="0"/>
        <v>0.24</v>
      </c>
    </row>
    <row r="7" spans="2:12">
      <c r="B7" s="2955" t="s">
        <v>3077</v>
      </c>
      <c r="C7" s="3047">
        <v>20</v>
      </c>
      <c r="D7" s="2956">
        <v>1</v>
      </c>
      <c r="E7" s="2956">
        <v>20</v>
      </c>
      <c r="F7" s="2956">
        <f t="shared" si="1"/>
        <v>5.2631578947368363E-2</v>
      </c>
      <c r="G7" s="2956">
        <f t="shared" si="0"/>
        <v>0.25</v>
      </c>
    </row>
    <row r="8" spans="2:12">
      <c r="B8" s="2955" t="s">
        <v>3078</v>
      </c>
      <c r="C8" s="3047">
        <v>21</v>
      </c>
      <c r="D8" s="2956">
        <v>1</v>
      </c>
      <c r="E8" s="2956">
        <v>21</v>
      </c>
      <c r="F8" s="2956">
        <f t="shared" si="1"/>
        <v>5.0000000000000044E-2</v>
      </c>
      <c r="G8" s="2956">
        <f t="shared" si="0"/>
        <v>0.26</v>
      </c>
    </row>
    <row r="9" spans="2:12">
      <c r="B9" s="2955" t="s">
        <v>3079</v>
      </c>
      <c r="C9" s="3047">
        <v>22</v>
      </c>
      <c r="D9" s="2956">
        <v>1</v>
      </c>
      <c r="E9" s="2956">
        <v>22</v>
      </c>
      <c r="F9" s="2956">
        <f t="shared" si="1"/>
        <v>4.7619047619047672E-2</v>
      </c>
      <c r="G9" s="2956">
        <f t="shared" si="0"/>
        <v>0.28000000000000003</v>
      </c>
    </row>
    <row r="10" spans="2:12">
      <c r="B10" s="2955" t="s">
        <v>3080</v>
      </c>
      <c r="C10" s="3047">
        <v>23</v>
      </c>
      <c r="D10" s="2956">
        <v>1</v>
      </c>
      <c r="E10" s="2956">
        <v>23</v>
      </c>
      <c r="F10" s="2956">
        <f t="shared" si="1"/>
        <v>4.5454545454545414E-2</v>
      </c>
      <c r="G10" s="2956">
        <f t="shared" si="0"/>
        <v>0.28999999999999998</v>
      </c>
    </row>
    <row r="11" spans="2:12">
      <c r="B11" s="2955" t="s">
        <v>3081</v>
      </c>
      <c r="C11" s="3047">
        <v>24</v>
      </c>
      <c r="D11" s="2956">
        <v>1</v>
      </c>
      <c r="E11" s="2956">
        <v>24</v>
      </c>
      <c r="F11" s="2956">
        <f t="shared" si="1"/>
        <v>4.3478260869565188E-2</v>
      </c>
      <c r="G11" s="2956">
        <f t="shared" si="0"/>
        <v>0.3</v>
      </c>
    </row>
    <row r="12" spans="2:12">
      <c r="B12" s="2955" t="s">
        <v>3082</v>
      </c>
      <c r="C12" s="3047">
        <v>25</v>
      </c>
      <c r="D12" s="2956">
        <v>1</v>
      </c>
      <c r="E12" s="2956">
        <v>25</v>
      </c>
      <c r="F12" s="2956">
        <f t="shared" si="1"/>
        <v>4.1666666666666741E-2</v>
      </c>
      <c r="G12" s="2956">
        <f t="shared" si="0"/>
        <v>0.31</v>
      </c>
    </row>
    <row r="13" spans="2:12">
      <c r="B13" s="2955" t="s">
        <v>3083</v>
      </c>
      <c r="C13" s="3047">
        <v>26</v>
      </c>
      <c r="D13" s="2956">
        <v>1</v>
      </c>
      <c r="E13" s="2956">
        <v>26</v>
      </c>
      <c r="F13" s="2956">
        <f t="shared" si="1"/>
        <v>4.0000000000000036E-2</v>
      </c>
      <c r="G13" s="2956">
        <f t="shared" si="0"/>
        <v>0.33</v>
      </c>
    </row>
    <row r="14" spans="2:12">
      <c r="B14" s="2955" t="s">
        <v>3084</v>
      </c>
      <c r="C14" s="3047">
        <v>27</v>
      </c>
      <c r="D14" s="2956">
        <v>1</v>
      </c>
      <c r="E14" s="2956">
        <v>27</v>
      </c>
      <c r="F14" s="2956">
        <f t="shared" si="1"/>
        <v>3.8461538461538547E-2</v>
      </c>
      <c r="G14" s="2956">
        <f t="shared" si="0"/>
        <v>0.34</v>
      </c>
    </row>
    <row r="15" spans="2:12">
      <c r="B15" s="2955" t="s">
        <v>3085</v>
      </c>
      <c r="C15" s="3047">
        <v>28</v>
      </c>
      <c r="D15" s="2956">
        <v>1</v>
      </c>
      <c r="E15" s="2956">
        <v>28</v>
      </c>
      <c r="F15" s="2956">
        <f t="shared" si="1"/>
        <v>3.7037037037036979E-2</v>
      </c>
      <c r="G15" s="2956">
        <f t="shared" si="0"/>
        <v>0.35</v>
      </c>
    </row>
    <row r="16" spans="2:12">
      <c r="C16" s="2956">
        <f>SUM(C4:C15)</f>
        <v>270</v>
      </c>
      <c r="E16" s="2956">
        <f>SUM(E4:E15)</f>
        <v>253.56</v>
      </c>
    </row>
    <row r="17" spans="2:7">
      <c r="G17" s="3056">
        <f>AVERAGE(G4:G16)</f>
        <v>0.28250000000000003</v>
      </c>
    </row>
    <row r="18" spans="2:7">
      <c r="B18" s="3049" t="s">
        <v>3235</v>
      </c>
      <c r="C18" s="3047">
        <f>ROUND(E16*10000/(365*11+D4)/E1,2)</f>
        <v>0.28999999999999998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O6:Q55"/>
  <sheetViews>
    <sheetView topLeftCell="A10" workbookViewId="0">
      <selection activeCell="O36" sqref="O36"/>
    </sheetView>
  </sheetViews>
  <sheetFormatPr defaultRowHeight="13.5"/>
  <sheetData>
    <row r="6" spans="15:17">
      <c r="Q6">
        <f>(O9+O23+P36+P46+P55)/5</f>
        <v>1.9216666666666664</v>
      </c>
    </row>
    <row r="9" spans="15:17">
      <c r="O9">
        <f>76.92/30</f>
        <v>2.5640000000000001</v>
      </c>
    </row>
    <row r="23" spans="15:15">
      <c r="O23">
        <f>61.11/30</f>
        <v>2.0369999999999999</v>
      </c>
    </row>
    <row r="36" spans="16:16">
      <c r="P36">
        <f>41.83/30</f>
        <v>1.3943333333333332</v>
      </c>
    </row>
    <row r="46" spans="16:16">
      <c r="P46">
        <f>48.39/30</f>
        <v>1.613</v>
      </c>
    </row>
    <row r="55" spans="16:16">
      <c r="P55">
        <v>2</v>
      </c>
    </row>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196" workbookViewId="0">
      <selection activeCell="M234" sqref="M234"/>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3.5"/>
  <sheetData/>
  <phoneticPr fontId="143" type="noConversion"/>
  <pageMargins left="0.7" right="0.7" top="0.75" bottom="0.75" header="0.3" footer="0.3"/>
  <pageSetup paperSize="0" orientation="portrait" horizontalDpi="0" verticalDpi="0" copies="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83" t="str">
        <f>IF(项目基本情况!B9="房地产市场价值","估价结果一览表","结果表-2")</f>
        <v>估价结果一览表</v>
      </c>
      <c r="B1" s="3083"/>
      <c r="C1" s="3083"/>
      <c r="D1" s="3083"/>
      <c r="E1" s="3083"/>
      <c r="F1" s="3083"/>
      <c r="G1" s="3083"/>
      <c r="H1" s="3083"/>
      <c r="I1" s="3083"/>
    </row>
    <row r="2" spans="1:9" ht="30" customHeight="1" thickTop="1">
      <c r="A2" s="3084" t="s">
        <v>1634</v>
      </c>
      <c r="B2" s="3084" t="s">
        <v>1635</v>
      </c>
      <c r="C2" s="3084" t="s">
        <v>1636</v>
      </c>
      <c r="D2" s="3084" t="str">
        <f>结果表!D116</f>
        <v>出让国有建设用地使用权价值</v>
      </c>
      <c r="E2" s="3084"/>
      <c r="F2" s="3084" t="str">
        <f>结果表!F116</f>
        <v>在建建筑物价值</v>
      </c>
      <c r="G2" s="3084"/>
      <c r="H2" s="3084" t="str">
        <f>IF(项目基本情况!B9="房地产市场价值","房地产市场价值","房地产价值")</f>
        <v>房地产市场价值</v>
      </c>
      <c r="I2" s="3084"/>
    </row>
    <row r="3" spans="1:9" ht="15">
      <c r="A3" s="3078"/>
      <c r="B3" s="3078"/>
      <c r="C3" s="3078"/>
      <c r="D3" s="1044" t="s">
        <v>1631</v>
      </c>
      <c r="E3" s="1044" t="s">
        <v>1637</v>
      </c>
      <c r="F3" s="1044" t="s">
        <v>1631</v>
      </c>
      <c r="G3" s="1044" t="s">
        <v>1632</v>
      </c>
      <c r="H3" s="1044" t="s">
        <v>1631</v>
      </c>
      <c r="I3" s="1044" t="s">
        <v>1632</v>
      </c>
    </row>
    <row r="4" spans="1:9" ht="15">
      <c r="A4" s="1972" t="str">
        <f>项目基本情况!S2</f>
        <v>房地产</v>
      </c>
      <c r="B4" s="1044">
        <f>项目基本情况!C17</f>
        <v>2191.33</v>
      </c>
      <c r="C4" s="1044">
        <f>项目基本情况!C18</f>
        <v>16164.6</v>
      </c>
      <c r="D4" s="1044" t="e">
        <f ca="1">结果表!D118</f>
        <v>#REF!</v>
      </c>
      <c r="E4" s="1044" t="e">
        <f ca="1">结果表!E118</f>
        <v>#REF!</v>
      </c>
      <c r="F4" s="1044" t="e">
        <f ca="1">结果表!F118</f>
        <v>#REF!</v>
      </c>
      <c r="G4" s="1044" t="e">
        <f ca="1">结果表!G118</f>
        <v>#REF!</v>
      </c>
      <c r="H4" s="1044">
        <f ca="1">结果表!H118</f>
        <v>2030</v>
      </c>
      <c r="I4" s="1044">
        <f ca="1">结果表!I118</f>
        <v>9264</v>
      </c>
    </row>
    <row r="5" spans="1:9" ht="30" customHeight="1">
      <c r="A5" s="3078" t="s">
        <v>1633</v>
      </c>
      <c r="B5" s="3078"/>
      <c r="C5" s="3078"/>
      <c r="D5" s="3079" t="e">
        <f ca="1">结果表!D119</f>
        <v>#REF!</v>
      </c>
      <c r="E5" s="3079"/>
      <c r="F5" s="3079" t="e">
        <f ca="1">结果表!F119</f>
        <v>#REF!</v>
      </c>
      <c r="G5" s="3079"/>
      <c r="H5" s="3079" t="str">
        <f ca="1">结果表!H119</f>
        <v>贰仟零叁拾万元整</v>
      </c>
      <c r="I5" s="3079"/>
    </row>
    <row r="6" spans="1:9" ht="15.75">
      <c r="A6" s="3077" t="str">
        <f>结果表!A120</f>
        <v/>
      </c>
      <c r="B6" s="3077"/>
      <c r="C6" s="3077"/>
      <c r="D6" s="3077">
        <f>结果表!D120</f>
        <v>0</v>
      </c>
      <c r="E6" s="3077"/>
      <c r="F6" s="3077"/>
      <c r="G6" s="3077"/>
      <c r="H6" s="3077"/>
      <c r="I6" s="3077"/>
    </row>
    <row r="7" spans="1:9" ht="15">
      <c r="A7" s="3078" t="s">
        <v>1633</v>
      </c>
      <c r="B7" s="3078"/>
      <c r="C7" s="3078"/>
      <c r="D7" s="3080" t="str">
        <f>结果表!D121</f>
        <v>零元整</v>
      </c>
      <c r="E7" s="3081"/>
      <c r="F7" s="3081"/>
      <c r="G7" s="3081"/>
      <c r="H7" s="3081"/>
      <c r="I7" s="3082"/>
    </row>
    <row r="8" spans="1:9" ht="15.75">
      <c r="A8" s="3077" t="str">
        <f>结果表!A122</f>
        <v/>
      </c>
      <c r="B8" s="3077"/>
      <c r="C8" s="3077"/>
      <c r="D8" s="3077">
        <f ca="1">结果表!D122</f>
        <v>2030</v>
      </c>
      <c r="E8" s="3077"/>
      <c r="F8" s="3077"/>
      <c r="G8" s="3077"/>
      <c r="H8" s="3077"/>
      <c r="I8" s="3077"/>
    </row>
    <row r="9" spans="1:9" ht="15">
      <c r="A9" s="3078" t="s">
        <v>1633</v>
      </c>
      <c r="B9" s="3078"/>
      <c r="C9" s="3078"/>
      <c r="D9" s="3079" t="str">
        <f ca="1">结果表!D123</f>
        <v>贰仟零叁拾万元整</v>
      </c>
      <c r="E9" s="3079"/>
      <c r="F9" s="3079"/>
      <c r="G9" s="3079"/>
      <c r="H9" s="3079"/>
      <c r="I9" s="3079"/>
    </row>
    <row r="10" spans="1:9" ht="15.75">
      <c r="A10" s="3077" t="str">
        <f>结果表!A124</f>
        <v/>
      </c>
      <c r="B10" s="3077"/>
      <c r="C10" s="3077"/>
      <c r="D10" s="3077" t="str">
        <f>结果表!D124</f>
        <v>——</v>
      </c>
      <c r="E10" s="3077"/>
      <c r="F10" s="3077"/>
      <c r="G10" s="3077"/>
      <c r="H10" s="3077"/>
      <c r="I10" s="3077"/>
    </row>
    <row r="11" spans="1:9" ht="15">
      <c r="A11" s="3078" t="s">
        <v>1633</v>
      </c>
      <c r="B11" s="3078"/>
      <c r="C11" s="3078"/>
      <c r="D11" s="3079" t="e">
        <f>结果表!D125</f>
        <v>#VALUE!</v>
      </c>
      <c r="E11" s="3079"/>
      <c r="F11" s="3079"/>
      <c r="G11" s="3079"/>
      <c r="H11" s="3079"/>
      <c r="I11" s="3079"/>
    </row>
    <row r="12" spans="1:9" ht="15.75">
      <c r="A12" s="3077" t="str">
        <f>结果表!A126</f>
        <v/>
      </c>
      <c r="B12" s="3077"/>
      <c r="C12" s="3077"/>
      <c r="D12" s="3077" t="str">
        <f>结果表!D126</f>
        <v>——</v>
      </c>
      <c r="E12" s="3077"/>
      <c r="F12" s="3077"/>
      <c r="G12" s="3077"/>
      <c r="H12" s="3077"/>
      <c r="I12" s="3077"/>
    </row>
    <row r="13" spans="1:9" ht="15.75" thickBot="1">
      <c r="A13" s="3074" t="s">
        <v>1633</v>
      </c>
      <c r="B13" s="3074"/>
      <c r="C13" s="3074"/>
      <c r="D13" s="3075" t="e">
        <f>结果表!D127</f>
        <v>#VALUE!</v>
      </c>
      <c r="E13" s="3075"/>
      <c r="F13" s="3075"/>
      <c r="G13" s="3075"/>
      <c r="H13" s="3075"/>
      <c r="I13" s="3075"/>
    </row>
    <row r="14" spans="1:9" ht="15" thickTop="1">
      <c r="A14" s="3076" t="s">
        <v>1638</v>
      </c>
      <c r="B14" s="3076"/>
      <c r="C14" s="3076"/>
      <c r="D14" s="3076"/>
      <c r="E14" s="3076"/>
      <c r="F14" s="3076"/>
      <c r="G14" s="3076"/>
      <c r="H14" s="3076"/>
      <c r="I14" s="3076"/>
    </row>
    <row r="16" spans="1:9" ht="18.75">
      <c r="A16" s="1973" t="s">
        <v>1621</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91" t="s">
        <v>1655</v>
      </c>
      <c r="B1" s="3091"/>
      <c r="C1" s="3091"/>
      <c r="D1" s="3091"/>
    </row>
    <row r="2" spans="1:4" ht="18">
      <c r="A2" s="3092" t="s">
        <v>1639</v>
      </c>
      <c r="B2" s="3092"/>
      <c r="C2" s="3092"/>
      <c r="D2" s="3092"/>
    </row>
    <row r="3" spans="1:4" ht="18.75">
      <c r="A3" s="1976" t="s">
        <v>1640</v>
      </c>
      <c r="B3" s="1976" t="s">
        <v>1641</v>
      </c>
      <c r="C3" s="1976" t="s">
        <v>1642</v>
      </c>
      <c r="D3" s="1976" t="s">
        <v>1643</v>
      </c>
    </row>
    <row r="4" spans="1:4" ht="56.25" customHeight="1">
      <c r="A4" s="1977" t="str">
        <f>项目基本情况!B4</f>
        <v>叶凌</v>
      </c>
      <c r="B4" s="1978">
        <f ca="1">项目基本情况!C4</f>
        <v>1119970111</v>
      </c>
      <c r="C4" s="1979"/>
      <c r="D4" s="1980" t="s">
        <v>1644</v>
      </c>
    </row>
    <row r="5" spans="1:4" ht="56.25" customHeight="1">
      <c r="A5" s="1977" t="str">
        <f>项目基本情况!D4</f>
        <v>陈颖</v>
      </c>
      <c r="B5" s="1978">
        <f ca="1">项目基本情况!E4</f>
        <v>1120060040</v>
      </c>
      <c r="C5" s="1981"/>
      <c r="D5" s="1980" t="s">
        <v>1644</v>
      </c>
    </row>
    <row r="6" spans="1:4" ht="18">
      <c r="A6" s="3092" t="s">
        <v>1645</v>
      </c>
      <c r="B6" s="3092"/>
      <c r="C6" s="3092"/>
      <c r="D6" s="3092"/>
    </row>
    <row r="7" spans="1:4" ht="18.75">
      <c r="A7" s="1976" t="s">
        <v>1640</v>
      </c>
      <c r="B7" s="1978" t="s">
        <v>1646</v>
      </c>
      <c r="C7" s="1976" t="s">
        <v>1642</v>
      </c>
      <c r="D7" s="1976" t="s">
        <v>1643</v>
      </c>
    </row>
    <row r="8" spans="1:4" ht="56.25" customHeight="1">
      <c r="A8" s="1982" t="s">
        <v>865</v>
      </c>
      <c r="B8" s="1982" t="s">
        <v>1</v>
      </c>
      <c r="C8" s="1979"/>
      <c r="D8" s="1980" t="s">
        <v>1644</v>
      </c>
    </row>
    <row r="9" spans="1:4">
      <c r="A9" s="728"/>
      <c r="B9" s="728"/>
      <c r="C9" s="728"/>
      <c r="D9" s="728"/>
    </row>
    <row r="10" spans="1:4" ht="18.75">
      <c r="A10" s="1983" t="s">
        <v>1647</v>
      </c>
      <c r="B10" s="728"/>
      <c r="C10" s="728"/>
      <c r="D10" s="728"/>
    </row>
    <row r="11" spans="1:4" ht="30" customHeight="1">
      <c r="A11" s="3093" t="s">
        <v>1648</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0"/>
      <c r="C12" s="3090"/>
      <c r="D12" s="3090"/>
    </row>
    <row r="13" spans="1:4" ht="30" customHeight="1">
      <c r="A13" s="3085" t="str">
        <f>IF(项目基本情况!B8="抵押","3.抵押双方在办理抵押登记手续时，应使用本公司出具的正式《房地产评估报告》，特提醒报告使用者注意。","——")</f>
        <v>——</v>
      </c>
      <c r="B13" s="3090"/>
      <c r="C13" s="3090"/>
      <c r="D13" s="3090"/>
    </row>
    <row r="14" spans="1:4" ht="15.75" customHeight="1">
      <c r="A14" s="3085" t="str">
        <f>IF(项目基本情况!B8="抵押","4.本次评估估价师所知悉的法定优先受偿款情况说明如下：","——")</f>
        <v>——</v>
      </c>
      <c r="B14" s="3090"/>
      <c r="C14" s="3090"/>
      <c r="D14" s="3090"/>
    </row>
    <row r="15" spans="1:4" ht="42" customHeight="1">
      <c r="A15" s="3085" t="str">
        <f>IF(项目基本情况!B8="抵押","（1）"&amp;CONCATENATE(项目基本情况!L20,项目基本情况!L21,项目基本情况!L22),"——")</f>
        <v>——</v>
      </c>
      <c r="B15" s="3085"/>
      <c r="C15" s="3085"/>
      <c r="D15" s="3085"/>
    </row>
    <row r="16" spans="1:4" ht="30" customHeight="1">
      <c r="A16" s="3087" t="s">
        <v>1649</v>
      </c>
      <c r="B16" s="3087"/>
      <c r="C16" s="3087"/>
      <c r="D16" s="3087"/>
    </row>
    <row r="17" spans="1:4" ht="144" customHeight="1">
      <c r="A17" s="3087" t="s">
        <v>1650</v>
      </c>
      <c r="B17" s="3087"/>
      <c r="C17" s="3087"/>
      <c r="D17" s="3087"/>
    </row>
    <row r="18" spans="1:4" ht="15.75" customHeight="1">
      <c r="A18" s="3085" t="str">
        <f>IF(项目基本情况!B8="抵押",结果表!K120,"——")</f>
        <v>——</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5"/>
      <c r="C20" s="3085"/>
      <c r="D20" s="3085"/>
    </row>
    <row r="21" spans="1:4" ht="57.75" customHeight="1">
      <c r="A21" s="30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8"/>
      <c r="C21" s="3088"/>
      <c r="D21" s="3088"/>
    </row>
    <row r="22" spans="1:4" ht="18.75" customHeight="1">
      <c r="A22" s="3089" t="s">
        <v>1651</v>
      </c>
      <c r="B22" s="3089"/>
      <c r="C22" s="3089"/>
      <c r="D22" s="3089"/>
    </row>
    <row r="23" spans="1:4">
      <c r="A23" s="1984"/>
      <c r="B23" s="1956"/>
      <c r="C23" s="1956"/>
      <c r="D23" s="1956"/>
    </row>
    <row r="24" spans="1:4">
      <c r="A24" s="1984"/>
      <c r="B24" s="1956"/>
      <c r="C24" s="1956"/>
      <c r="D24" s="1956"/>
    </row>
    <row r="25" spans="1:4" ht="18.75">
      <c r="A25" s="1985" t="s">
        <v>1652</v>
      </c>
    </row>
    <row r="26" spans="1:4" ht="18">
      <c r="A26" s="1954"/>
    </row>
    <row r="27" spans="1:4" ht="18.75">
      <c r="A27" s="1954" t="s">
        <v>1653</v>
      </c>
    </row>
    <row r="30" spans="1:4" ht="18.75">
      <c r="D30" s="1985" t="s">
        <v>1654</v>
      </c>
    </row>
    <row r="31" spans="1:4" ht="13.5" customHeight="1">
      <c r="C31" s="3086">
        <v>42551</v>
      </c>
      <c r="D31" s="30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1656</v>
      </c>
    </row>
    <row r="3" spans="1:7">
      <c r="A3" s="1990" t="s">
        <v>82</v>
      </c>
      <c r="B3" s="1974" t="s">
        <v>1657</v>
      </c>
      <c r="G3" s="1991"/>
    </row>
    <row r="4" spans="1:7">
      <c r="G4" s="1991"/>
    </row>
    <row r="5" spans="1:7">
      <c r="A5" s="1993" t="s">
        <v>73</v>
      </c>
      <c r="B5" s="1974" t="s">
        <v>1658</v>
      </c>
      <c r="G5" s="1991"/>
    </row>
    <row r="6" spans="1:7">
      <c r="G6" s="1991"/>
    </row>
    <row r="7" spans="1:7">
      <c r="A7" s="1994" t="s">
        <v>135</v>
      </c>
      <c r="B7" s="1974" t="s">
        <v>1659</v>
      </c>
      <c r="G7" s="1991"/>
    </row>
    <row r="8" spans="1:7">
      <c r="G8" s="1991"/>
    </row>
    <row r="9" spans="1:7">
      <c r="A9" s="1995" t="s">
        <v>74</v>
      </c>
      <c r="B9" s="1974" t="s">
        <v>1660</v>
      </c>
    </row>
    <row r="11" spans="1:7">
      <c r="A11" s="1996" t="s">
        <v>75</v>
      </c>
      <c r="B11" s="1997" t="s">
        <v>72</v>
      </c>
    </row>
    <row r="13" spans="1:7">
      <c r="A13" s="1998" t="s">
        <v>1661</v>
      </c>
    </row>
    <row r="15" spans="1:7" ht="13.5">
      <c r="A15" s="3099" t="s">
        <v>1662</v>
      </c>
      <c r="B15" s="3094" t="s">
        <v>136</v>
      </c>
      <c r="C15" s="3095"/>
    </row>
    <row r="16" spans="1:7" ht="13.5">
      <c r="A16" s="3100"/>
      <c r="B16" s="3094" t="s">
        <v>69</v>
      </c>
      <c r="C16" s="3095"/>
    </row>
    <row r="17" spans="1:3" ht="13.5">
      <c r="A17" s="3100"/>
      <c r="B17" s="3097" t="s">
        <v>1663</v>
      </c>
      <c r="C17" s="1999" t="s">
        <v>1662</v>
      </c>
    </row>
    <row r="18" spans="1:3" ht="13.5">
      <c r="A18" s="3100"/>
      <c r="B18" s="3097"/>
      <c r="C18" s="1999" t="s">
        <v>1664</v>
      </c>
    </row>
    <row r="19" spans="1:3" ht="13.5">
      <c r="A19" s="3100"/>
      <c r="B19" s="3097"/>
      <c r="C19" s="1999" t="s">
        <v>1665</v>
      </c>
    </row>
    <row r="20" spans="1:3" ht="13.5">
      <c r="A20" s="3101"/>
      <c r="B20" s="3096" t="s">
        <v>1666</v>
      </c>
      <c r="C20" s="3095"/>
    </row>
    <row r="21" spans="1:3" ht="13.5">
      <c r="A21" s="2000" t="s">
        <v>1667</v>
      </c>
      <c r="B21" s="2001"/>
      <c r="C21" s="2002"/>
    </row>
    <row r="22" spans="1:3" ht="13.5">
      <c r="A22" s="3098" t="s">
        <v>1668</v>
      </c>
      <c r="B22" s="3096" t="s">
        <v>1669</v>
      </c>
      <c r="C22" s="3095"/>
    </row>
    <row r="23" spans="1:3" ht="13.5">
      <c r="A23" s="3098"/>
      <c r="B23" s="3096" t="s">
        <v>1670</v>
      </c>
      <c r="C23" s="3095"/>
    </row>
    <row r="24" spans="1:3" ht="13.5">
      <c r="A24" s="3098"/>
      <c r="B24" s="3096" t="s">
        <v>1671</v>
      </c>
      <c r="C24" s="3095"/>
    </row>
    <row r="25" spans="1:3" ht="13.5">
      <c r="A25" s="3098"/>
      <c r="B25" s="3097" t="s">
        <v>1672</v>
      </c>
      <c r="C25" s="1999" t="s">
        <v>1673</v>
      </c>
    </row>
    <row r="26" spans="1:3" ht="13.5">
      <c r="A26" s="3098"/>
      <c r="B26" s="3097"/>
      <c r="C26" s="1999" t="s">
        <v>1674</v>
      </c>
    </row>
    <row r="27" spans="1:3" ht="13.5">
      <c r="A27" s="3098"/>
      <c r="B27" s="3097"/>
      <c r="C27" s="1999" t="s">
        <v>1675</v>
      </c>
    </row>
    <row r="28" spans="1:3" ht="13.5">
      <c r="A28" s="3098"/>
      <c r="B28" s="3097"/>
      <c r="C28" s="1999" t="s">
        <v>1676</v>
      </c>
    </row>
    <row r="29" spans="1:3" ht="13.5">
      <c r="A29" s="3098"/>
      <c r="B29" s="3097"/>
      <c r="C29" s="1999" t="s">
        <v>1677</v>
      </c>
    </row>
    <row r="30" spans="1:3" ht="13.5">
      <c r="A30" s="3098"/>
      <c r="B30" s="3097"/>
      <c r="C30" s="1999" t="s">
        <v>1678</v>
      </c>
    </row>
    <row r="31" spans="1:3" ht="13.5">
      <c r="A31" s="3098"/>
      <c r="B31" s="3097"/>
      <c r="C31" s="1999" t="s">
        <v>1679</v>
      </c>
    </row>
    <row r="32" spans="1:3" ht="13.5">
      <c r="A32" s="3098"/>
      <c r="B32" s="3097"/>
      <c r="C32" s="1999" t="s">
        <v>1680</v>
      </c>
    </row>
    <row r="33" spans="1:3" ht="13.5">
      <c r="A33" s="3098"/>
      <c r="B33" s="3097"/>
      <c r="C33" s="1999" t="s">
        <v>1681</v>
      </c>
    </row>
    <row r="34" spans="1:3">
      <c r="A34" s="2003" t="s">
        <v>76</v>
      </c>
    </row>
    <row r="37" spans="1:3">
      <c r="A37" s="2003" t="s">
        <v>1682</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43822</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f ca="1">IF(C8&lt;B2,"已过期",1120000080)</f>
        <v>1120000080</v>
      </c>
      <c r="C8" s="2346">
        <v>43849</v>
      </c>
      <c r="D8" s="2349" t="s">
        <v>835</v>
      </c>
      <c r="E8" s="1022">
        <f ca="1">IF(F8&lt;B2,"已过期",2000110082)</f>
        <v>2000110082</v>
      </c>
      <c r="F8" s="1030">
        <v>46387</v>
      </c>
    </row>
    <row r="9" spans="1:6" ht="24" customHeight="1">
      <c r="A9" s="1702" t="s">
        <v>836</v>
      </c>
      <c r="B9" s="1022">
        <f ca="1">IF(C9&lt;B2,"已过期",1419970001)</f>
        <v>1419970001</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8"/>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8"/>
      <c r="D16" s="2349"/>
      <c r="E16" s="1022"/>
      <c r="F16" s="1030"/>
    </row>
    <row r="17" spans="1:7" ht="24" customHeight="1">
      <c r="A17" s="1702"/>
      <c r="B17" s="1022"/>
      <c r="C17" s="2346"/>
      <c r="D17" s="2349"/>
      <c r="E17" s="1022"/>
      <c r="F17" s="1030"/>
    </row>
    <row r="18" spans="1:7" ht="24" customHeight="1">
      <c r="A18" s="1702" t="s">
        <v>3052</v>
      </c>
      <c r="B18" s="1022">
        <v>1120190079</v>
      </c>
      <c r="C18" s="2928">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8">
        <v>44339</v>
      </c>
      <c r="D22" s="2349" t="s">
        <v>841</v>
      </c>
      <c r="E22" s="1022">
        <f ca="1">IF(F22&lt;B2,"已过期",2000110137)</f>
        <v>2000110137</v>
      </c>
      <c r="F22" s="1030">
        <v>46387</v>
      </c>
    </row>
    <row r="23" spans="1:7" ht="24" customHeight="1">
      <c r="A23" s="1702" t="s">
        <v>3054</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102" t="s">
        <v>842</v>
      </c>
      <c r="B25" s="3102"/>
      <c r="C25" s="3102"/>
      <c r="D25" s="3102"/>
      <c r="E25" s="3102"/>
      <c r="F25" s="3102"/>
      <c r="G25" s="3102"/>
    </row>
    <row r="26" spans="1:7" s="1025" customFormat="1" ht="24" customHeight="1">
      <c r="A26" s="3103" t="s">
        <v>843</v>
      </c>
      <c r="B26" s="3103"/>
      <c r="C26" s="3104"/>
      <c r="D26" s="3105" t="s">
        <v>844</v>
      </c>
      <c r="E26" s="3103"/>
      <c r="F26" s="310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收益法（租约）</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市场租金案例</vt:lpstr>
      <vt:lpstr>市场售价案例</vt:lpstr>
      <vt:lpstr>基础数据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2019-12-23T02:04:43Z</dcterms:modified>
</cp:coreProperties>
</file>